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G:\S O P A\All SPPA Users\GAD\GAD Factor Review 2026\Calculators\2. Undergoing testing\To be released\"/>
    </mc:Choice>
  </mc:AlternateContent>
  <xr:revisionPtr revIDLastSave="0" documentId="13_ncr:1_{196CBB88-19F8-45C0-831A-4D5A8D9DBCB8}" xr6:coauthVersionLast="47" xr6:coauthVersionMax="47" xr10:uidLastSave="{00000000-0000-0000-0000-000000000000}"/>
  <bookViews>
    <workbookView xWindow="28680" yWindow="-120" windowWidth="29040" windowHeight="15720" tabRatio="765" xr2:uid="{00000000-000D-0000-FFFF-FFFF00000000}"/>
  </bookViews>
  <sheets>
    <sheet name="Contributions calculator" sheetId="1" r:id="rId1"/>
    <sheet name="Guidance notes" sheetId="20" state="veryHidden" r:id="rId2"/>
    <sheet name="Illustration and Guidance" sheetId="24" r:id="rId3"/>
    <sheet name="Codes" sheetId="3" state="veryHidden" r:id="rId4"/>
    <sheet name="State pension age" sheetId="7" state="veryHidden" r:id="rId5"/>
    <sheet name="Lump Sum" sheetId="5" state="veryHidden" r:id="rId6"/>
    <sheet name="NRA60" sheetId="18" state="veryHidden" r:id="rId7"/>
    <sheet name="NRA65" sheetId="10" state="veryHidden" r:id="rId8"/>
    <sheet name="NRA66" sheetId="11" state="veryHidden" r:id="rId9"/>
    <sheet name="NRA67" sheetId="12" state="veryHidden" r:id="rId10"/>
    <sheet name="NRA68" sheetId="8" state="veryHidden" r:id="rId11"/>
    <sheet name="ERF" sheetId="17" state="veryHidden" r:id="rId12"/>
  </sheets>
  <definedNames>
    <definedName name="AP_Available">Table1[AP Available]</definedName>
    <definedName name="Buy_out_months">Codes!$D$7:$D$8</definedName>
    <definedName name="Contribution_period">Codes!$D$13:$D$32</definedName>
    <definedName name="Existing_AP">Codes!$B$13:$B$41</definedName>
    <definedName name="Form_of_AP">Codes!$D$2:$D$3</definedName>
    <definedName name="Oldest_allowed">Codes!$B$2</definedName>
    <definedName name="Payment_type">Codes!$C$2:$C$3</definedName>
    <definedName name="_xlnm.Print_Area" localSheetId="0">'Contributions calculator'!$B$3:$G$22</definedName>
    <definedName name="_xlnm.Print_Area" localSheetId="1">'Guidance notes'!$B$2:$B$6</definedName>
    <definedName name="_xlnm.Print_Area" localSheetId="2">'Illustration and Guidance'!$A$1:$F$25</definedName>
    <definedName name="Years">Codes!$C$7:$C$10</definedName>
    <definedName name="Yes_No">Codes!$B$7:$B$8</definedName>
    <definedName name="Youngest_allowed">Codes!$B$3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1" l="1"/>
  <c r="C13" i="24"/>
  <c r="C14" i="24"/>
  <c r="C12" i="24"/>
  <c r="C11" i="24"/>
  <c r="C7" i="24"/>
  <c r="C5" i="24"/>
  <c r="C19" i="24"/>
  <c r="P14" i="3" l="1"/>
  <c r="D11" i="1" s="1"/>
  <c r="K15" i="7" l="1"/>
  <c r="F16" i="7"/>
  <c r="E16" i="7" s="1"/>
  <c r="F29" i="7"/>
  <c r="E29" i="7" s="1"/>
  <c r="B3" i="3"/>
  <c r="B21" i="1"/>
  <c r="B20" i="1"/>
  <c r="D8" i="1"/>
  <c r="C8" i="24" s="1"/>
  <c r="B40" i="7"/>
  <c r="D40" i="7" s="1"/>
  <c r="B2" i="3"/>
  <c r="B4" i="7"/>
  <c r="B15" i="7"/>
  <c r="D15" i="7" s="1"/>
  <c r="B6" i="7"/>
  <c r="C6" i="7" s="1"/>
  <c r="B7" i="7"/>
  <c r="M7" i="7" s="1"/>
  <c r="B8" i="7"/>
  <c r="F8" i="7" s="1"/>
  <c r="B9" i="7"/>
  <c r="M9" i="7" s="1"/>
  <c r="B10" i="7"/>
  <c r="C10" i="7" s="1"/>
  <c r="B11" i="7"/>
  <c r="M11" i="7" s="1"/>
  <c r="B12" i="7"/>
  <c r="G12" i="7" s="1"/>
  <c r="B13" i="7"/>
  <c r="M13" i="7" s="1"/>
  <c r="B14" i="7"/>
  <c r="D14" i="7" s="1"/>
  <c r="B17" i="7"/>
  <c r="F17" i="7" s="1"/>
  <c r="E17" i="7" s="1"/>
  <c r="B18" i="7"/>
  <c r="B19" i="7"/>
  <c r="F19" i="7" s="1"/>
  <c r="E19" i="7" s="1"/>
  <c r="B20" i="7"/>
  <c r="F20" i="7" s="1"/>
  <c r="E20" i="7" s="1"/>
  <c r="B21" i="7"/>
  <c r="F21" i="7" s="1"/>
  <c r="E21" i="7" s="1"/>
  <c r="B22" i="7"/>
  <c r="B23" i="7"/>
  <c r="D23" i="7" s="1"/>
  <c r="B24" i="7"/>
  <c r="B25" i="7"/>
  <c r="F25" i="7" s="1"/>
  <c r="E25" i="7" s="1"/>
  <c r="B26" i="7"/>
  <c r="F26" i="7" s="1"/>
  <c r="E26" i="7" s="1"/>
  <c r="B27" i="7"/>
  <c r="B28" i="7"/>
  <c r="D28" i="7" s="1"/>
  <c r="B30" i="7"/>
  <c r="G30" i="7" s="1"/>
  <c r="B31" i="7"/>
  <c r="B32" i="7"/>
  <c r="B33" i="7"/>
  <c r="M33" i="7" s="1"/>
  <c r="B34" i="7"/>
  <c r="B35" i="7"/>
  <c r="F35" i="7" s="1"/>
  <c r="B36" i="7"/>
  <c r="B37" i="7"/>
  <c r="D37" i="7" s="1"/>
  <c r="B38" i="7"/>
  <c r="M38" i="7" s="1"/>
  <c r="B39" i="7"/>
  <c r="C39" i="7" s="1"/>
  <c r="B41" i="7"/>
  <c r="C41" i="7" s="1"/>
  <c r="B5" i="7"/>
  <c r="M5" i="7" s="1"/>
  <c r="J42" i="7"/>
  <c r="B42" i="7" s="1"/>
  <c r="J2" i="3" l="1"/>
  <c r="E8" i="1"/>
  <c r="J4" i="3"/>
  <c r="J12" i="3"/>
  <c r="J7" i="3"/>
  <c r="J5" i="3"/>
  <c r="J6" i="3"/>
  <c r="J3" i="3"/>
  <c r="M15" i="7"/>
  <c r="G9" i="7"/>
  <c r="C13" i="7"/>
  <c r="F13" i="7"/>
  <c r="G14" i="7"/>
  <c r="M14" i="7"/>
  <c r="M6" i="7"/>
  <c r="F41" i="7"/>
  <c r="C15" i="7"/>
  <c r="G13" i="7"/>
  <c r="D21" i="7"/>
  <c r="D11" i="7"/>
  <c r="F40" i="7"/>
  <c r="C9" i="7"/>
  <c r="D9" i="7"/>
  <c r="C40" i="7"/>
  <c r="F9" i="7"/>
  <c r="C11" i="7"/>
  <c r="D13" i="7"/>
  <c r="G40" i="7"/>
  <c r="M40" i="7"/>
  <c r="F14" i="7"/>
  <c r="D19" i="7"/>
  <c r="F6" i="7"/>
  <c r="F11" i="7"/>
  <c r="F7" i="7"/>
  <c r="D10" i="7"/>
  <c r="D6" i="7"/>
  <c r="G6" i="7"/>
  <c r="M35" i="7"/>
  <c r="G35" i="7"/>
  <c r="E35" i="7" s="1"/>
  <c r="G39" i="7"/>
  <c r="M39" i="7"/>
  <c r="D39" i="7"/>
  <c r="C35" i="7"/>
  <c r="M8" i="7"/>
  <c r="D12" i="7"/>
  <c r="D35" i="7"/>
  <c r="F39" i="7"/>
  <c r="D26" i="7"/>
  <c r="C14" i="7"/>
  <c r="G38" i="7"/>
  <c r="G5" i="7"/>
  <c r="M37" i="7"/>
  <c r="G11" i="7"/>
  <c r="F23" i="7"/>
  <c r="E23" i="7" s="1"/>
  <c r="D5" i="7"/>
  <c r="F5" i="7"/>
  <c r="F12" i="7"/>
  <c r="E12" i="7" s="1"/>
  <c r="C5" i="7"/>
  <c r="C38" i="7"/>
  <c r="D38" i="7"/>
  <c r="F38" i="7"/>
  <c r="M12" i="7"/>
  <c r="D8" i="7"/>
  <c r="J9" i="3"/>
  <c r="C33" i="7"/>
  <c r="C12" i="7"/>
  <c r="D33" i="7"/>
  <c r="F33" i="7"/>
  <c r="C8" i="7"/>
  <c r="G8" i="7"/>
  <c r="E8" i="7" s="1"/>
  <c r="G33" i="7"/>
  <c r="C37" i="7"/>
  <c r="G37" i="7"/>
  <c r="F37" i="7"/>
  <c r="G10" i="7"/>
  <c r="D25" i="7"/>
  <c r="M41" i="7"/>
  <c r="D20" i="7"/>
  <c r="D41" i="7"/>
  <c r="G7" i="7"/>
  <c r="D7" i="7"/>
  <c r="D17" i="7"/>
  <c r="G41" i="7"/>
  <c r="C31" i="7"/>
  <c r="F31" i="7" s="1"/>
  <c r="M31" i="7" s="1"/>
  <c r="G31" i="7" s="1"/>
  <c r="C7" i="7"/>
  <c r="M10" i="7"/>
  <c r="F10" i="7"/>
  <c r="D42" i="7"/>
  <c r="M42" i="7" s="1"/>
  <c r="K42" i="7"/>
  <c r="G36" i="7"/>
  <c r="D36" i="7"/>
  <c r="M36" i="7"/>
  <c r="C36" i="7"/>
  <c r="F36" i="7"/>
  <c r="J15" i="3"/>
  <c r="J13" i="3"/>
  <c r="J8" i="3"/>
  <c r="J11" i="3"/>
  <c r="J14" i="3"/>
  <c r="I8" i="1"/>
  <c r="J10" i="3"/>
  <c r="J16" i="3"/>
  <c r="M34" i="7"/>
  <c r="D34" i="7"/>
  <c r="G34" i="7"/>
  <c r="F34" i="7"/>
  <c r="C34" i="7"/>
  <c r="D27" i="7"/>
  <c r="F27" i="7"/>
  <c r="E27" i="7" s="1"/>
  <c r="D22" i="7"/>
  <c r="F22" i="7"/>
  <c r="E22" i="7" s="1"/>
  <c r="B14" i="3"/>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D32" i="7"/>
  <c r="F32" i="7"/>
  <c r="C32" i="7"/>
  <c r="G32" i="7"/>
  <c r="M32" i="7"/>
  <c r="F18" i="7"/>
  <c r="E18" i="7" s="1"/>
  <c r="D18" i="7"/>
  <c r="M30" i="7"/>
  <c r="D30" i="7"/>
  <c r="C30" i="7"/>
  <c r="F30" i="7"/>
  <c r="E30" i="7" s="1"/>
  <c r="D24" i="7"/>
  <c r="F24" i="7"/>
  <c r="E24" i="7" s="1"/>
  <c r="D31" i="7" l="1"/>
  <c r="D7" i="1" s="1"/>
  <c r="B46" i="3"/>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E9" i="7"/>
  <c r="E13" i="7"/>
  <c r="E40" i="7"/>
  <c r="E38" i="7"/>
  <c r="E6" i="7"/>
  <c r="E11" i="7"/>
  <c r="E5" i="7"/>
  <c r="E7" i="7"/>
  <c r="E39" i="7"/>
  <c r="E31" i="7"/>
  <c r="F7" i="1" s="1"/>
  <c r="I25" i="3" s="1"/>
  <c r="E33" i="7"/>
  <c r="E37" i="7"/>
  <c r="E34" i="7"/>
  <c r="E10" i="7"/>
  <c r="E32" i="7"/>
  <c r="C13" i="3"/>
  <c r="C14" i="3" s="1"/>
  <c r="C15" i="3" s="1"/>
  <c r="C16" i="3" s="1"/>
  <c r="C17" i="3" s="1"/>
  <c r="C18" i="3" s="1"/>
  <c r="C19" i="3" s="1"/>
  <c r="C20" i="3" s="1"/>
  <c r="I12" i="1"/>
  <c r="E36" i="7"/>
  <c r="C6" i="24" l="1"/>
  <c r="F8" i="3"/>
  <c r="E9" i="1"/>
  <c r="C21" i="3"/>
  <c r="C22" i="3" s="1"/>
  <c r="C23" i="3" s="1"/>
  <c r="C24" i="3" s="1"/>
  <c r="C25" i="3" s="1"/>
  <c r="C26" i="3" s="1"/>
  <c r="C27" i="3" s="1"/>
  <c r="C28" i="3" s="1"/>
  <c r="C29" i="3" s="1"/>
  <c r="C30" i="3" s="1"/>
  <c r="C31" i="3" s="1"/>
  <c r="C32" i="3" s="1"/>
  <c r="C33" i="3" s="1"/>
  <c r="C34" i="3" s="1"/>
  <c r="C35" i="3" s="1"/>
  <c r="C36" i="3" s="1"/>
  <c r="C37" i="3" s="1"/>
  <c r="E7" i="1"/>
  <c r="F2" i="3"/>
  <c r="E8" i="3"/>
  <c r="C10" i="3"/>
  <c r="C9" i="3"/>
  <c r="C8" i="3"/>
  <c r="I24" i="3" l="1"/>
  <c r="I30" i="3" s="1"/>
  <c r="D9" i="1"/>
  <c r="I6" i="1" s="1"/>
  <c r="H28" i="3"/>
  <c r="I28" i="3" s="1"/>
  <c r="C38" i="3"/>
  <c r="C39" i="3" s="1"/>
  <c r="C40" i="3" s="1"/>
  <c r="C41" i="3" s="1"/>
  <c r="C42" i="3" s="1"/>
  <c r="C43" i="3" s="1"/>
  <c r="C44" i="3" s="1"/>
  <c r="C45" i="3" s="1"/>
  <c r="C46" i="3" s="1"/>
  <c r="C47" i="3" s="1"/>
  <c r="H27" i="3"/>
  <c r="I27" i="3" s="1"/>
  <c r="J20" i="3" l="1"/>
  <c r="C48" i="3"/>
  <c r="C49" i="3" s="1"/>
  <c r="C50" i="3" s="1"/>
  <c r="C51" i="3" s="1"/>
  <c r="C52" i="3" s="1"/>
  <c r="C53" i="3" s="1"/>
  <c r="C54" i="3" s="1"/>
  <c r="C55" i="3" s="1"/>
  <c r="C56" i="3" s="1"/>
  <c r="C57" i="3" s="1"/>
  <c r="C58" i="3" s="1"/>
  <c r="C59" i="3" s="1"/>
  <c r="C60" i="3" s="1"/>
  <c r="C61" i="3" s="1"/>
  <c r="C62" i="3" s="1"/>
  <c r="C63" i="3" s="1"/>
  <c r="C64" i="3" s="1"/>
  <c r="C65" i="3" s="1"/>
  <c r="C66" i="3" s="1"/>
  <c r="C67" i="3" s="1"/>
  <c r="C68" i="3" s="1"/>
  <c r="C69" i="3" s="1"/>
  <c r="C70" i="3" s="1"/>
  <c r="C71" i="3" s="1"/>
  <c r="C72" i="3" s="1"/>
  <c r="C73" i="3" s="1"/>
  <c r="C74" i="3" s="1"/>
  <c r="I13" i="1"/>
  <c r="I31" i="3"/>
  <c r="I15" i="1"/>
  <c r="I5" i="1"/>
  <c r="C3" i="3"/>
  <c r="B18" i="24" s="1"/>
  <c r="D14" i="3"/>
  <c r="D15" i="3" s="1"/>
  <c r="D16" i="3" s="1"/>
  <c r="D17" i="3" s="1"/>
  <c r="D18" i="3" s="1"/>
  <c r="D19" i="3" s="1"/>
  <c r="D20" i="3" s="1"/>
  <c r="D21" i="3" s="1"/>
  <c r="D22" i="3" s="1"/>
  <c r="D23" i="3" s="1"/>
  <c r="D24" i="3" s="1"/>
  <c r="D25" i="3" s="1"/>
  <c r="D26" i="3" s="1"/>
  <c r="D27" i="3" s="1"/>
  <c r="D28" i="3" s="1"/>
  <c r="D29" i="3" s="1"/>
  <c r="D30" i="3" s="1"/>
  <c r="D31" i="3" s="1"/>
  <c r="D32" i="3" s="1"/>
  <c r="I32" i="3"/>
  <c r="B19" i="1" l="1"/>
  <c r="I18" i="3"/>
  <c r="I33" i="3"/>
  <c r="D19" i="1"/>
  <c r="C17" i="24" s="1"/>
  <c r="D20" i="1" l="1"/>
  <c r="D21" i="1" l="1"/>
  <c r="C18" i="2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u418778</author>
  </authors>
  <commentList>
    <comment ref="H28" authorId="0" shapeId="0" xr:uid="{00000000-0006-0000-0300-000001000000}">
      <text>
        <r>
          <rPr>
            <b/>
            <sz val="9"/>
            <color indexed="81"/>
            <rFont val="Tahoma"/>
            <family val="2"/>
          </rPr>
          <t>u418778:</t>
        </r>
        <r>
          <rPr>
            <sz val="9"/>
            <color indexed="81"/>
            <rFont val="Tahoma"/>
            <family val="2"/>
          </rPr>
          <t xml:space="preserve">
For regular conts and non integer NPA, this is the NPA rounded up for interpolation</t>
        </r>
      </text>
    </comment>
  </commentList>
</comments>
</file>

<file path=xl/sharedStrings.xml><?xml version="1.0" encoding="utf-8"?>
<sst xmlns="http://schemas.openxmlformats.org/spreadsheetml/2006/main" count="338" uniqueCount="165">
  <si>
    <t>Yes</t>
  </si>
  <si>
    <t>No</t>
  </si>
  <si>
    <t>Years (N)</t>
  </si>
  <si>
    <t>Yes/No</t>
  </si>
  <si>
    <t>Member Details</t>
  </si>
  <si>
    <t>Years</t>
  </si>
  <si>
    <t>Months</t>
  </si>
  <si>
    <t>DOB between</t>
  </si>
  <si>
    <t xml:space="preserve"> </t>
  </si>
  <si>
    <t>Date of birth</t>
  </si>
  <si>
    <t>Increase from 65 to 66</t>
  </si>
  <si>
    <t>Increase from 66 to 67</t>
  </si>
  <si>
    <t>Increase from 67 to 68</t>
  </si>
  <si>
    <t>Personal</t>
  </si>
  <si>
    <t>Cost of £250 of AP</t>
  </si>
  <si>
    <t>Member only</t>
  </si>
  <si>
    <t>Form of AP</t>
  </si>
  <si>
    <t>Member and dependant</t>
  </si>
  <si>
    <t>P65</t>
  </si>
  <si>
    <t>P66</t>
  </si>
  <si>
    <t>P67</t>
  </si>
  <si>
    <t>P68</t>
  </si>
  <si>
    <t>D65</t>
  </si>
  <si>
    <t>D66</t>
  </si>
  <si>
    <t>D67</t>
  </si>
  <si>
    <t>D68</t>
  </si>
  <si>
    <t>Payment</t>
  </si>
  <si>
    <t>Regular conts for personal AP of £250 with PNPA 65</t>
  </si>
  <si>
    <t>Regular conts for personal AP of £250 with PNPA 66</t>
  </si>
  <si>
    <t>Regular conts for personal AP of £250 with PNPA 67</t>
  </si>
  <si>
    <t>Regular conts for personal AP of £250 with PNPA 68</t>
  </si>
  <si>
    <t>Regular conts for personal AP of £250 with PNPA 65 + dependants AP</t>
  </si>
  <si>
    <t>Regular conts for personal AP of £250 with PNPA 66 + dependants AP</t>
  </si>
  <si>
    <t>Regular conts for personal AP of £250 with PNPA 67 + dependants AP</t>
  </si>
  <si>
    <t>Regular conts for personal AP of £250 with PNPA 68 + dependants AP</t>
  </si>
  <si>
    <t>Lump Sum Elections</t>
  </si>
  <si>
    <t>Benefits</t>
  </si>
  <si>
    <t>Personal and dependant's</t>
  </si>
  <si>
    <t>Age when notice of election given</t>
  </si>
  <si>
    <t>Single premium to purchase £250 of APB at date of election, £</t>
  </si>
  <si>
    <t>Regular Contribution Elections</t>
  </si>
  <si>
    <t>Monthly contribution to purchase £250 of APB at date of election, £</t>
  </si>
  <si>
    <t>Lump Sum</t>
  </si>
  <si>
    <t>=</t>
  </si>
  <si>
    <t>NPA:</t>
  </si>
  <si>
    <t>Part years</t>
  </si>
  <si>
    <t>TABLE ERF1_NHSSS_2015</t>
  </si>
  <si>
    <t>NHS SUPERANNUATION SCHEME SCOTLAND (2015): ACTUARIAL FACTORS</t>
  </si>
  <si>
    <t>BENEFITS PAYABLE TO THE MEMBER ON VOLUNTARY EARLY RETIREMENT (WITH ACTUARIAL REDUCTION)</t>
  </si>
  <si>
    <t>FACTORS APPLICABLE TO MAIN SCHEME PENSION AND ADDITIONAL PENSION</t>
  </si>
  <si>
    <t>PENSION FACTORS</t>
  </si>
  <si>
    <t xml:space="preserve">  Notes: </t>
  </si>
  <si>
    <t>(1) NPA should be substituted for RRA where appropriate</t>
  </si>
  <si>
    <t xml:space="preserve">             </t>
  </si>
  <si>
    <t>(2) AP should be pro-rated to take account of unpaid contributions at date of retirement. Any paid up AP entitlement should include PI to DOR</t>
  </si>
  <si>
    <t xml:space="preserve">(3) The appropriate factor is based on the period between DOR and NPA (or RRA) in years and months, rounded up to the next higher month.  </t>
  </si>
  <si>
    <t>AP Table results</t>
  </si>
  <si>
    <t>Interpolation for monthly contributions for non-integer NPA</t>
  </si>
  <si>
    <t>AP Available</t>
  </si>
  <si>
    <t>Existing AP</t>
  </si>
  <si>
    <t>Contribution period</t>
  </si>
  <si>
    <t>Additional pension contract details</t>
  </si>
  <si>
    <t>Results</t>
  </si>
  <si>
    <r>
      <t xml:space="preserve">Age when notice of election given
</t>
    </r>
    <r>
      <rPr>
        <b/>
        <sz val="9"/>
        <rFont val="Wingdings"/>
        <charset val="2"/>
      </rPr>
      <t>â</t>
    </r>
  </si>
  <si>
    <r>
      <t xml:space="preserve">Payment period (in years) </t>
    </r>
    <r>
      <rPr>
        <b/>
        <sz val="9"/>
        <rFont val="Wingdings"/>
        <charset val="2"/>
      </rPr>
      <t>à</t>
    </r>
  </si>
  <si>
    <r>
      <t>Time to NPA: Months</t>
    </r>
    <r>
      <rPr>
        <b/>
        <sz val="9"/>
        <color indexed="8"/>
        <rFont val="Wingdings"/>
        <charset val="2"/>
      </rPr>
      <t xml:space="preserve">à
</t>
    </r>
    <r>
      <rPr>
        <b/>
        <sz val="9"/>
        <color indexed="8"/>
        <rFont val="Arial"/>
        <family val="2"/>
      </rPr>
      <t xml:space="preserve">Years </t>
    </r>
    <r>
      <rPr>
        <b/>
        <sz val="9"/>
        <color indexed="8"/>
        <rFont val="Wingdings"/>
        <charset val="2"/>
      </rPr>
      <t>â</t>
    </r>
  </si>
  <si>
    <r>
      <t xml:space="preserve">Table </t>
    </r>
    <r>
      <rPr>
        <b/>
        <u/>
        <sz val="16"/>
        <color indexed="8"/>
        <rFont val="Calibri"/>
        <family val="2"/>
      </rPr>
      <t>D65</t>
    </r>
    <r>
      <rPr>
        <b/>
        <sz val="11"/>
        <color indexed="8"/>
        <rFont val="Calibri"/>
        <family val="2"/>
      </rPr>
      <t>: Personal and Dependant’s Benefits, NRA 65</t>
    </r>
  </si>
  <si>
    <r>
      <t xml:space="preserve">Table </t>
    </r>
    <r>
      <rPr>
        <b/>
        <u/>
        <sz val="16"/>
        <color indexed="8"/>
        <rFont val="Calibri"/>
        <family val="2"/>
      </rPr>
      <t>P65</t>
    </r>
    <r>
      <rPr>
        <b/>
        <sz val="11"/>
        <color indexed="8"/>
        <rFont val="Calibri"/>
        <family val="2"/>
      </rPr>
      <t xml:space="preserve">: Personal Benefits, NRA 65 </t>
    </r>
  </si>
  <si>
    <r>
      <t xml:space="preserve">Table </t>
    </r>
    <r>
      <rPr>
        <b/>
        <u/>
        <sz val="16"/>
        <color indexed="8"/>
        <rFont val="Calibri"/>
        <family val="2"/>
      </rPr>
      <t>D66</t>
    </r>
    <r>
      <rPr>
        <b/>
        <sz val="11"/>
        <color indexed="8"/>
        <rFont val="Calibri"/>
        <family val="2"/>
      </rPr>
      <t>: Personal and Dependant’s Benefits, NRA 66</t>
    </r>
  </si>
  <si>
    <r>
      <t xml:space="preserve">Table </t>
    </r>
    <r>
      <rPr>
        <b/>
        <u/>
        <sz val="16"/>
        <color indexed="8"/>
        <rFont val="Calibri"/>
        <family val="2"/>
      </rPr>
      <t>P66</t>
    </r>
    <r>
      <rPr>
        <b/>
        <sz val="11"/>
        <color indexed="8"/>
        <rFont val="Calibri"/>
        <family val="2"/>
      </rPr>
      <t xml:space="preserve">: Personal Benefits, NRA 66 </t>
    </r>
  </si>
  <si>
    <r>
      <t xml:space="preserve">Table </t>
    </r>
    <r>
      <rPr>
        <b/>
        <u/>
        <sz val="16"/>
        <color indexed="8"/>
        <rFont val="Calibri"/>
        <family val="2"/>
      </rPr>
      <t>D67</t>
    </r>
    <r>
      <rPr>
        <b/>
        <sz val="11"/>
        <color indexed="8"/>
        <rFont val="Calibri"/>
        <family val="2"/>
      </rPr>
      <t>: Personal and Dependant’s Benefits, NRA 67</t>
    </r>
  </si>
  <si>
    <r>
      <t xml:space="preserve">Table </t>
    </r>
    <r>
      <rPr>
        <b/>
        <u/>
        <sz val="16"/>
        <color indexed="8"/>
        <rFont val="Calibri"/>
        <family val="2"/>
      </rPr>
      <t>P67</t>
    </r>
    <r>
      <rPr>
        <b/>
        <sz val="11"/>
        <color indexed="8"/>
        <rFont val="Calibri"/>
        <family val="2"/>
      </rPr>
      <t xml:space="preserve">: Personal Benefits, NRA 67 </t>
    </r>
  </si>
  <si>
    <r>
      <t xml:space="preserve">Table </t>
    </r>
    <r>
      <rPr>
        <b/>
        <u/>
        <sz val="16"/>
        <color indexed="8"/>
        <rFont val="Calibri"/>
        <family val="2"/>
      </rPr>
      <t>D68</t>
    </r>
    <r>
      <rPr>
        <b/>
        <sz val="11"/>
        <color indexed="8"/>
        <rFont val="Calibri"/>
        <family val="2"/>
      </rPr>
      <t>: Personal and Dependant’s Benefits, NRA 68</t>
    </r>
  </si>
  <si>
    <r>
      <t xml:space="preserve">Table </t>
    </r>
    <r>
      <rPr>
        <b/>
        <u/>
        <sz val="16"/>
        <color indexed="8"/>
        <rFont val="Calibri"/>
        <family val="2"/>
      </rPr>
      <t>P68</t>
    </r>
    <r>
      <rPr>
        <b/>
        <sz val="11"/>
        <color indexed="8"/>
        <rFont val="Calibri"/>
        <family val="2"/>
      </rPr>
      <t xml:space="preserve">: Personal Benefits, NRA 68 </t>
    </r>
  </si>
  <si>
    <t>Regular Contribution Elections made after 31 March 2011</t>
  </si>
  <si>
    <r>
      <t>Table</t>
    </r>
    <r>
      <rPr>
        <b/>
        <sz val="16"/>
        <color indexed="8"/>
        <rFont val="Calibri"/>
        <family val="2"/>
      </rPr>
      <t xml:space="preserve"> </t>
    </r>
    <r>
      <rPr>
        <b/>
        <u/>
        <sz val="16"/>
        <color indexed="8"/>
        <rFont val="Calibri"/>
        <family val="2"/>
      </rPr>
      <t>D60</t>
    </r>
    <r>
      <rPr>
        <b/>
        <sz val="11"/>
        <color indexed="8"/>
        <rFont val="Calibri"/>
        <family val="2"/>
      </rPr>
      <t>: Personal and Dependant's Benefits, NRA 60</t>
    </r>
  </si>
  <si>
    <r>
      <t xml:space="preserve">Table </t>
    </r>
    <r>
      <rPr>
        <b/>
        <u/>
        <sz val="16"/>
        <color indexed="8"/>
        <rFont val="Calibri"/>
        <family val="2"/>
      </rPr>
      <t>P60</t>
    </r>
    <r>
      <rPr>
        <b/>
        <sz val="11"/>
        <color indexed="8"/>
        <rFont val="Calibri"/>
        <family val="2"/>
      </rPr>
      <t xml:space="preserve">: Personal Benefits, NRA 60 </t>
    </r>
  </si>
  <si>
    <t>State Pension Age</t>
  </si>
  <si>
    <t>P60</t>
  </si>
  <si>
    <t>D60</t>
  </si>
  <si>
    <t>Regular conts for personal AP of £250 with PNPA 60</t>
  </si>
  <si>
    <t>Regular conts for personal AP of £250 with PNPA 60 + dependants AP</t>
  </si>
  <si>
    <t>Lump sum table</t>
  </si>
  <si>
    <t>Chosen NPA</t>
  </si>
  <si>
    <t>NPA Options</t>
  </si>
  <si>
    <t>AP Limits</t>
  </si>
  <si>
    <t>Applicable Limit</t>
  </si>
  <si>
    <t>SPA</t>
  </si>
  <si>
    <t>Date of Birth:</t>
  </si>
  <si>
    <t xml:space="preserve">How much additional pension do you wish to purchase?  </t>
  </si>
  <si>
    <t xml:space="preserve">Would you like to buy dependants benefits?  </t>
  </si>
  <si>
    <t xml:space="preserve">Maximum additional pension:   </t>
  </si>
  <si>
    <t xml:space="preserve">Age at start of agreement:  </t>
  </si>
  <si>
    <t xml:space="preserve">Date of Birth:  </t>
  </si>
  <si>
    <t xml:space="preserve">Date of AP election:  </t>
  </si>
  <si>
    <t xml:space="preserve">Please select your payment method:  </t>
  </si>
  <si>
    <t>G</t>
  </si>
  <si>
    <t>SPPA
7 Tweedside Park
Galashiels
TD1 3TE                         Telephone: 01896 893000</t>
  </si>
  <si>
    <t>Additional Pension guidance notes</t>
  </si>
  <si>
    <t>Table APS60: NPA 60, STSS</t>
  </si>
  <si>
    <t>Table APS65: NPA 65, STSS and STPS</t>
  </si>
  <si>
    <t>Table APS66: NPA 66, STPS</t>
  </si>
  <si>
    <t>Single premium to purchase £250 of AP at date of election, £</t>
  </si>
  <si>
    <t>Table APS67: NPA 67, STPS</t>
  </si>
  <si>
    <t>Table APS68: NPA 68, STPS</t>
  </si>
  <si>
    <t>APS60</t>
  </si>
  <si>
    <t>APS65</t>
  </si>
  <si>
    <t>APS66</t>
  </si>
  <si>
    <t>APS67</t>
  </si>
  <si>
    <t>APS68</t>
  </si>
  <si>
    <t>Lump sum NPA 60</t>
  </si>
  <si>
    <t>Lump sum NPA 65</t>
  </si>
  <si>
    <t>Lump sum NPA 66</t>
  </si>
  <si>
    <t>Lump sum NPA 67</t>
  </si>
  <si>
    <t>Lump sum NPA 68</t>
  </si>
  <si>
    <t>Teachers Additional Pension Benefit Cost Calculator</t>
  </si>
  <si>
    <t>Days</t>
  </si>
  <si>
    <t>Total whole Months</t>
  </si>
  <si>
    <t>Months- altair rounding-up</t>
  </si>
  <si>
    <t>DOB from</t>
  </si>
  <si>
    <t>DOB to</t>
  </si>
  <si>
    <t>SPA date</t>
  </si>
  <si>
    <t>• Scottish Teacgers Superannuation Scheme (Scotland)</t>
  </si>
  <si>
    <t>• Teachers Pension Scheme (Scotland) 2013</t>
  </si>
  <si>
    <t>x-706</t>
  </si>
  <si>
    <t>x-707</t>
  </si>
  <si>
    <t>x-708</t>
  </si>
  <si>
    <t>x-709</t>
  </si>
  <si>
    <t>x-711</t>
  </si>
  <si>
    <t>x-710</t>
  </si>
  <si>
    <t>x-712</t>
  </si>
  <si>
    <t>x-713</t>
  </si>
  <si>
    <t>x-715</t>
  </si>
  <si>
    <t>x-714</t>
  </si>
  <si>
    <t>x-701</t>
  </si>
  <si>
    <t>x-702</t>
  </si>
  <si>
    <t>x-703</t>
  </si>
  <si>
    <t>x-704</t>
  </si>
  <si>
    <t>x-705</t>
  </si>
  <si>
    <t>x-408</t>
  </si>
  <si>
    <t>Date Factors Issued to Client</t>
  </si>
  <si>
    <t/>
  </si>
  <si>
    <t>Implementation date</t>
  </si>
  <si>
    <t>01/08/2026 for NEW elections only</t>
  </si>
  <si>
    <t xml:space="preserve">Prospective Normal Pension Age:  </t>
  </si>
  <si>
    <t>Factors date</t>
  </si>
  <si>
    <t>Years to NPA</t>
  </si>
  <si>
    <t>ILLUSTRATION OF ADDITIONAL PENSION COST</t>
  </si>
  <si>
    <t>YOUR DETAILS</t>
  </si>
  <si>
    <t>State Pension Age:</t>
  </si>
  <si>
    <t>Date of Election:</t>
  </si>
  <si>
    <t>Age at Election:</t>
  </si>
  <si>
    <t>ADDITIONAL PENSION ELECTION</t>
  </si>
  <si>
    <t>Additional Pension Selected:</t>
  </si>
  <si>
    <t>Payment Method:</t>
  </si>
  <si>
    <t>Contribution Term:</t>
  </si>
  <si>
    <t>Dependant Benefits Included:</t>
  </si>
  <si>
    <t>ESTIMATED COST</t>
  </si>
  <si>
    <t>Calculation Produced:</t>
  </si>
  <si>
    <t>Estimated Cost:</t>
  </si>
  <si>
    <r>
      <rPr>
        <u/>
        <sz val="10"/>
        <color indexed="8"/>
        <rFont val="Montserrat"/>
      </rPr>
      <t>Disclaimer:</t>
    </r>
    <r>
      <rPr>
        <sz val="10"/>
        <color theme="1"/>
        <rFont val="Montserrat"/>
      </rPr>
      <t xml:space="preserve">
This calculation is intended for illustrative purposes only. This is not a statement of you legal entitlement. While every care has been taken in the preparation of this calculator the Scottish Public Pension Agency will accept no responsibility for the accuracy of the information it provides.
Please refer to pages on the SPPA website for points of contact and other benefits available.</t>
    </r>
  </si>
  <si>
    <r>
      <rPr>
        <b/>
        <u/>
        <sz val="10"/>
        <color theme="1"/>
        <rFont val="Montserrat"/>
      </rPr>
      <t>Using the calculator</t>
    </r>
    <r>
      <rPr>
        <sz val="10"/>
        <color theme="1"/>
        <rFont val="Montserrat"/>
      </rPr>
      <t xml:space="preserve">
This calculator is for active members of the Teachers’ Pension Scheme (Scotland) 2015 who are considering purchasing Additional Pension to increase their retirement benefits. Additional Pension can only be purchased in relation to benefits built up in the 2015 Career Average Revalued Earnings (CARE) Scheme.
Additional pension can be bought at any time during the year. This can be just for you or it can also provide benefits for your dependants after you die. It does not include an automatic lump sum on retirement, but you can exchange some of your additional pension to provide a lump sum on retirement.
Additional Pension can be purchased by either:
a) a one-off lump sum payment, or
b) regular monthly contributions over an agreed period.
Regular contribution elections must be for a period of whole years and cannot extend beyond your Normal Pension Age. The cost of purchasing Additional Pension depends on your age, the amount of Additional Pension you wish to buy, the type of cover selected, and your prospective Normal Pension Age.
For new Additional Pension elections, your cost is calculated by reference to your prospective Normal Pension Age in the Teachers’ Pension Scheme (Scotland) 2015. This is normally your State Pension Age, subject to a minimum age of 65.
Additional Pension is payable unreduced from your actual Normal Pension Age. If you take your benefits before or after your Normal Pension Age, early or late retirement adjustments may apply.
Additional Pension may be purchased in multiples of £250 per year and is subject to the scheme maximum for the relevant scheme year. Any existing Additional Pension and any Early Retirement Reduction Buy Out (ERRBO) agreement may reduce the amount of Additional Pension you can buy.
Additional pension purchased in the 2015 Scheme is revalued by a Treasury Order each year before the additional pension comes into payment and increased in accordance with Pensions Increase legislation whilst it is being paid.
This calculator provides an illustration only. It is not a statement of entitlement and does not override the Teachers' Pension Scheme (Scotland) Regulations, actuarial guidance, or any decision made by the scheme administrator.</t>
    </r>
  </si>
  <si>
    <t>ABOUT ADDITIONAL PENSION
Additional Pension allows active members of the Teachers' Pension Scheme (Scotland) 2015 to increase the retirement benefits they build up in the 2015 Career Average Revalued Earnings (CARE) Scheme.
Additional Pension can be purchased:
• For the member only, or with dependant benefits included
• As a one-off lump sum payment, or through regular monthly contributions over an agreed period
The cost depends on your age at election, Normal Pension Age, the amount of Additional Pension selected, the payment method chosen and whether dependant benefits are included. 
Regular contribution elections must be for a period of whole years and cannot extend beyond the member's Normal Pension Age. 
Additional Pension is payable in full from the member's Normal Pension Age. If benefits are taken before or after Normal Pension Age, actuarial reductions or increases may apply.
Any existing Additional Pension and any Early Retirement Reduction Buy Out (ERRBO) agreement may reduce the amount of Additional Pension available for purchase.
Additional Pension purchased is revalued annually in accordance with the applicable Treasury Order before it comes into payment and is subsequently increased in line with Pensions Increase legislation while in payment.</t>
  </si>
  <si>
    <t>Return to Calculator</t>
  </si>
  <si>
    <t xml:space="preserve">IMPORTANT INFORMATION
This calculator is intended for active members of the Teachers' Pension Scheme (Scotland) 2015 who are considering the purchase of Additional Pension. The figures provided are estimates for illustrative purposes only and should not be regarded as a statement of entitlement. The actual cost of purchasing Additional Pension will be determined in accordance with the scheme regulations, actuarial guidance, and administrative procedures applicable at the time an election is processed.
This illustration does not override the relevant scheme regulations, actuarial guidance, or administrative decisions. While every effort has been made to ensure the accuracy of the information provided, no responsibility can be accepted for any loss, cost, inconvenience, or other consequence arising from reliance on these estimates.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</si>
</sst>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quot;£&quot;* #,##0.00_-;_-&quot;£&quot;* &quot;-&quot;??_-;_-@_-"/>
    <numFmt numFmtId="43" formatCode="_-* #,##0.00_-;\-* #,##0.00_-;_-* &quot;-&quot;??_-;_-@_-"/>
    <numFmt numFmtId="164" formatCode="dd/mm/yyyy;@"/>
    <numFmt numFmtId="165" formatCode="[$-809]dd\ mmmm\ yyyy;@"/>
    <numFmt numFmtId="166" formatCode="[$-809]d\ mmmm\ yyyy;@"/>
    <numFmt numFmtId="167" formatCode="&quot;£&quot;#,##0.00"/>
    <numFmt numFmtId="168" formatCode="[$-F800]dddd\,\ mmmm\ dd\,\ yyyy"/>
    <numFmt numFmtId="169" formatCode="0.000"/>
    <numFmt numFmtId="170" formatCode="#\ ??/12"/>
    <numFmt numFmtId="171" formatCode="_-* #,##0_-;\-* #,##0_-;_-* &quot;-&quot;??_-;_-@_-"/>
    <numFmt numFmtId="172" formatCode="&quot;£&quot;#,##0"/>
  </numFmts>
  <fonts count="66" x14ac:knownFonts="1">
    <font>
      <sz val="10"/>
      <color theme="1"/>
      <name val="Arial"/>
      <family val="2"/>
    </font>
    <font>
      <sz val="10"/>
      <name val="Arial"/>
      <family val="2"/>
    </font>
    <font>
      <b/>
      <sz val="10"/>
      <name val="Arial"/>
      <family val="2"/>
    </font>
    <font>
      <b/>
      <sz val="9"/>
      <name val="Arial"/>
      <family val="2"/>
    </font>
    <font>
      <sz val="9"/>
      <name val="Arial"/>
      <family val="2"/>
    </font>
    <font>
      <b/>
      <sz val="11"/>
      <color indexed="8"/>
      <name val="Calibri"/>
      <family val="2"/>
    </font>
    <font>
      <b/>
      <sz val="9"/>
      <name val="Wingdings"/>
      <charset val="2"/>
    </font>
    <font>
      <b/>
      <sz val="9"/>
      <color indexed="8"/>
      <name val="Wingdings"/>
      <charset val="2"/>
    </font>
    <font>
      <b/>
      <sz val="9"/>
      <color indexed="8"/>
      <name val="Arial"/>
      <family val="2"/>
    </font>
    <font>
      <b/>
      <u/>
      <sz val="16"/>
      <color indexed="8"/>
      <name val="Calibri"/>
      <family val="2"/>
    </font>
    <font>
      <b/>
      <sz val="16"/>
      <color indexed="8"/>
      <name val="Calibri"/>
      <family val="2"/>
    </font>
    <font>
      <sz val="9"/>
      <color indexed="81"/>
      <name val="Tahoma"/>
      <family val="2"/>
    </font>
    <font>
      <b/>
      <sz val="9"/>
      <color indexed="81"/>
      <name val="Tahoma"/>
      <family val="2"/>
    </font>
    <font>
      <sz val="11"/>
      <name val="Arial"/>
      <family val="2"/>
    </font>
    <font>
      <sz val="10"/>
      <name val="Arial"/>
      <family val="2"/>
    </font>
    <font>
      <b/>
      <sz val="11"/>
      <name val="Arial"/>
      <family val="2"/>
    </font>
    <font>
      <sz val="11"/>
      <name val="Calibri"/>
      <family val="2"/>
    </font>
    <font>
      <sz val="10"/>
      <color theme="0"/>
      <name val="Arial"/>
      <family val="2"/>
    </font>
    <font>
      <b/>
      <sz val="10"/>
      <color theme="0"/>
      <name val="Arial"/>
      <family val="2"/>
    </font>
    <font>
      <sz val="11"/>
      <color theme="1"/>
      <name val="Calibri"/>
      <family val="2"/>
      <scheme val="minor"/>
    </font>
    <font>
      <b/>
      <sz val="10"/>
      <color theme="1"/>
      <name val="Arial"/>
      <family val="2"/>
    </font>
    <font>
      <sz val="11"/>
      <color theme="1"/>
      <name val="Arial"/>
      <family val="2"/>
    </font>
    <font>
      <sz val="10"/>
      <color rgb="FF333333"/>
      <name val="Times New Roman"/>
      <family val="1"/>
    </font>
    <font>
      <sz val="11"/>
      <color theme="1"/>
      <name val="Calibri"/>
      <family val="2"/>
    </font>
    <font>
      <b/>
      <sz val="11"/>
      <color rgb="FF000000"/>
      <name val="Calibri"/>
      <family val="2"/>
    </font>
    <font>
      <b/>
      <sz val="11"/>
      <color theme="1"/>
      <name val="Arial"/>
      <family val="2"/>
    </font>
    <font>
      <b/>
      <sz val="12"/>
      <color theme="0"/>
      <name val="Arial"/>
      <family val="2"/>
    </font>
    <font>
      <sz val="10"/>
      <color rgb="FF000000"/>
      <name val="Calibri"/>
      <family val="2"/>
    </font>
    <font>
      <b/>
      <sz val="10"/>
      <color rgb="FF000000"/>
      <name val="Calibri"/>
      <family val="2"/>
    </font>
    <font>
      <b/>
      <sz val="9"/>
      <color rgb="FF000000"/>
      <name val="Calibri"/>
      <family val="2"/>
    </font>
    <font>
      <b/>
      <sz val="16"/>
      <color theme="1"/>
      <name val="Arial"/>
      <family val="2"/>
    </font>
    <font>
      <b/>
      <sz val="11"/>
      <color theme="1"/>
      <name val="Calibri"/>
      <family val="2"/>
      <scheme val="minor"/>
    </font>
    <font>
      <b/>
      <u/>
      <sz val="12"/>
      <color theme="1"/>
      <name val="Arial"/>
      <family val="2"/>
    </font>
    <font>
      <b/>
      <sz val="11"/>
      <color rgb="FF000000"/>
      <name val="Arial"/>
      <family val="2"/>
    </font>
    <font>
      <b/>
      <u/>
      <sz val="16"/>
      <color theme="1"/>
      <name val="Arial"/>
      <family val="2"/>
    </font>
    <font>
      <b/>
      <sz val="14"/>
      <color theme="1"/>
      <name val="Arial"/>
      <family val="2"/>
    </font>
    <font>
      <b/>
      <sz val="14"/>
      <color rgb="FF00B050"/>
      <name val="Arial"/>
      <family val="2"/>
    </font>
    <font>
      <sz val="10"/>
      <color rgb="FF000000"/>
      <name val="Arial"/>
      <family val="2"/>
    </font>
    <font>
      <sz val="10"/>
      <color theme="1"/>
      <name val="Calibri"/>
      <family val="2"/>
    </font>
    <font>
      <b/>
      <sz val="9"/>
      <color theme="1"/>
      <name val="Calibri"/>
      <family val="2"/>
    </font>
    <font>
      <u/>
      <sz val="10"/>
      <color theme="10"/>
      <name val="Arial"/>
      <family val="2"/>
    </font>
    <font>
      <sz val="10"/>
      <color theme="1"/>
      <name val="Montserrat"/>
    </font>
    <font>
      <b/>
      <sz val="18"/>
      <color rgb="FF002060"/>
      <name val="Montserrat"/>
    </font>
    <font>
      <b/>
      <sz val="10"/>
      <color theme="1"/>
      <name val="Montserrat"/>
    </font>
    <font>
      <sz val="10"/>
      <name val="Montserrat"/>
    </font>
    <font>
      <sz val="10"/>
      <color rgb="FFFFFFCC"/>
      <name val="Montserrat"/>
    </font>
    <font>
      <sz val="9"/>
      <name val="Montserrat"/>
    </font>
    <font>
      <sz val="10"/>
      <color rgb="FFFF0000"/>
      <name val="Montserrat"/>
    </font>
    <font>
      <sz val="11"/>
      <name val="Montserrat"/>
    </font>
    <font>
      <b/>
      <u/>
      <sz val="14"/>
      <name val="Montserrat"/>
    </font>
    <font>
      <u/>
      <sz val="11"/>
      <name val="Montserrat"/>
    </font>
    <font>
      <sz val="11"/>
      <color theme="1"/>
      <name val="Montserrat"/>
    </font>
    <font>
      <u/>
      <sz val="10"/>
      <color theme="10"/>
      <name val="Montserrat"/>
    </font>
    <font>
      <b/>
      <sz val="12"/>
      <name val="Montserrat"/>
    </font>
    <font>
      <b/>
      <sz val="16"/>
      <color rgb="FF002060"/>
      <name val="Montserrat"/>
    </font>
    <font>
      <sz val="11"/>
      <color rgb="FF000000"/>
      <name val="Montserrat"/>
    </font>
    <font>
      <b/>
      <sz val="11"/>
      <color rgb="FF000000"/>
      <name val="Montserrat"/>
    </font>
    <font>
      <sz val="14"/>
      <color rgb="FF000000"/>
      <name val="Montserrat"/>
    </font>
    <font>
      <sz val="10"/>
      <color rgb="FF000000"/>
      <name val="Montserrat"/>
    </font>
    <font>
      <b/>
      <sz val="16"/>
      <color theme="0"/>
      <name val="Montserrat"/>
    </font>
    <font>
      <b/>
      <u/>
      <sz val="14"/>
      <color theme="1"/>
      <name val="Montserrat"/>
    </font>
    <font>
      <u/>
      <sz val="10"/>
      <color indexed="8"/>
      <name val="Montserrat"/>
    </font>
    <font>
      <b/>
      <u/>
      <sz val="10"/>
      <color theme="1"/>
      <name val="Montserrat"/>
    </font>
    <font>
      <sz val="9"/>
      <color rgb="FF000000"/>
      <name val="Montserrat"/>
    </font>
    <font>
      <sz val="9"/>
      <color theme="1"/>
      <name val="Arial"/>
      <family val="2"/>
    </font>
    <font>
      <sz val="9"/>
      <color theme="1"/>
      <name val="Montserrat"/>
    </font>
  </fonts>
  <fills count="10">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1"/>
        <bgColor indexed="64"/>
      </patternFill>
    </fill>
    <fill>
      <patternFill patternType="solid">
        <fgColor rgb="FFFFFFCC"/>
        <bgColor indexed="64"/>
      </patternFill>
    </fill>
    <fill>
      <patternFill patternType="solid">
        <fgColor rgb="FFFFFF0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004158"/>
        <bgColor rgb="FF000000"/>
      </patternFill>
    </fill>
  </fills>
  <borders count="50">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top/>
      <bottom style="thick">
        <color indexed="64"/>
      </bottom>
      <diagonal/>
    </border>
    <border>
      <left/>
      <right/>
      <top style="thick">
        <color indexed="64"/>
      </top>
      <bottom style="thick">
        <color indexed="64"/>
      </bottom>
      <diagonal/>
    </border>
    <border>
      <left style="thick">
        <color indexed="64"/>
      </left>
      <right/>
      <top style="thick">
        <color indexed="64"/>
      </top>
      <bottom/>
      <diagonal/>
    </border>
    <border>
      <left/>
      <right style="thick">
        <color indexed="64"/>
      </right>
      <top style="thick">
        <color indexed="64"/>
      </top>
      <bottom/>
      <diagonal/>
    </border>
    <border>
      <left/>
      <right/>
      <top style="thick">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thick">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style="thick">
        <color indexed="64"/>
      </top>
      <bottom/>
      <diagonal/>
    </border>
    <border>
      <left style="medium">
        <color indexed="64"/>
      </left>
      <right/>
      <top style="medium">
        <color indexed="64"/>
      </top>
      <bottom style="medium">
        <color indexed="64"/>
      </bottom>
      <diagonal/>
    </border>
    <border>
      <left style="thick">
        <color indexed="64"/>
      </left>
      <right style="thick">
        <color indexed="64"/>
      </right>
      <top style="thin">
        <color indexed="64"/>
      </top>
      <bottom/>
      <diagonal/>
    </border>
    <border>
      <left style="thick">
        <color indexed="64"/>
      </left>
      <right style="thick">
        <color indexed="64"/>
      </right>
      <top/>
      <bottom style="thin">
        <color indexed="64"/>
      </bottom>
      <diagonal/>
    </border>
  </borders>
  <cellStyleXfs count="9">
    <xf numFmtId="0" fontId="0"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0" fontId="19" fillId="0" borderId="0"/>
    <xf numFmtId="0" fontId="1" fillId="0" borderId="0"/>
    <xf numFmtId="0" fontId="14" fillId="0" borderId="0"/>
    <xf numFmtId="0" fontId="1" fillId="0" borderId="0"/>
    <xf numFmtId="0" fontId="40" fillId="0" borderId="0" applyNumberFormat="0" applyFill="0" applyBorder="0" applyAlignment="0" applyProtection="0"/>
  </cellStyleXfs>
  <cellXfs count="229">
    <xf numFmtId="0" fontId="0" fillId="0" borderId="0" xfId="0"/>
    <xf numFmtId="0" fontId="20" fillId="0" borderId="0" xfId="0" applyFont="1"/>
    <xf numFmtId="166" fontId="20" fillId="0" borderId="0" xfId="0" applyNumberFormat="1" applyFont="1" applyAlignment="1">
      <alignment horizontal="center"/>
    </xf>
    <xf numFmtId="14" fontId="0" fillId="0" borderId="0" xfId="0" applyNumberFormat="1" applyAlignment="1">
      <alignment horizontal="center"/>
    </xf>
    <xf numFmtId="13" fontId="0" fillId="0" borderId="0" xfId="0" applyNumberFormat="1" applyAlignment="1">
      <alignment horizontal="center"/>
    </xf>
    <xf numFmtId="0" fontId="0" fillId="0" borderId="0" xfId="0" applyAlignment="1">
      <alignment horizontal="center"/>
    </xf>
    <xf numFmtId="166" fontId="0" fillId="0" borderId="0" xfId="0" applyNumberFormat="1" applyAlignment="1">
      <alignment horizontal="center"/>
    </xf>
    <xf numFmtId="0" fontId="0" fillId="0" borderId="0" xfId="0" applyAlignment="1">
      <alignment horizontal="left"/>
    </xf>
    <xf numFmtId="1" fontId="0" fillId="0" borderId="0" xfId="0" applyNumberFormat="1"/>
    <xf numFmtId="168" fontId="0" fillId="0" borderId="0" xfId="0" applyNumberFormat="1" applyAlignment="1">
      <alignment horizontal="left"/>
    </xf>
    <xf numFmtId="14" fontId="0" fillId="0" borderId="0" xfId="0" applyNumberFormat="1"/>
    <xf numFmtId="169" fontId="0" fillId="0" borderId="0" xfId="0" applyNumberFormat="1" applyAlignment="1">
      <alignment horizontal="left"/>
    </xf>
    <xf numFmtId="168" fontId="0" fillId="0" borderId="0" xfId="0" applyNumberFormat="1"/>
    <xf numFmtId="0" fontId="22" fillId="0" borderId="0" xfId="0" applyFont="1" applyAlignment="1">
      <alignment horizontal="left" vertical="center"/>
    </xf>
    <xf numFmtId="170" fontId="0" fillId="0" borderId="0" xfId="0" applyNumberFormat="1"/>
    <xf numFmtId="0" fontId="23" fillId="0" borderId="0" xfId="0" applyFont="1"/>
    <xf numFmtId="0" fontId="24" fillId="0" borderId="0" xfId="0" applyFont="1"/>
    <xf numFmtId="0" fontId="3" fillId="0" borderId="0" xfId="0" applyFont="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2" fontId="4" fillId="0" borderId="0" xfId="0" applyNumberFormat="1" applyFont="1"/>
    <xf numFmtId="2" fontId="0" fillId="0" borderId="0" xfId="0" applyNumberFormat="1" applyAlignment="1">
      <alignment horizontal="left"/>
    </xf>
    <xf numFmtId="0" fontId="0" fillId="0" borderId="0" xfId="0" applyAlignment="1">
      <alignment horizontal="right"/>
    </xf>
    <xf numFmtId="14" fontId="0" fillId="0" borderId="3" xfId="0" applyNumberFormat="1" applyBorder="1" applyAlignment="1">
      <alignment horizontal="center"/>
    </xf>
    <xf numFmtId="2" fontId="0" fillId="0" borderId="4" xfId="0" applyNumberFormat="1" applyBorder="1"/>
    <xf numFmtId="14" fontId="0" fillId="0" borderId="5" xfId="0" applyNumberFormat="1" applyBorder="1" applyAlignment="1">
      <alignment horizontal="center"/>
    </xf>
    <xf numFmtId="2" fontId="0" fillId="0" borderId="6" xfId="0" applyNumberFormat="1" applyBorder="1"/>
    <xf numFmtId="14" fontId="0" fillId="3" borderId="7" xfId="0" applyNumberFormat="1" applyFill="1" applyBorder="1" applyAlignment="1">
      <alignment horizontal="center"/>
    </xf>
    <xf numFmtId="14" fontId="0" fillId="3" borderId="8" xfId="0" applyNumberFormat="1" applyFill="1" applyBorder="1" applyAlignment="1">
      <alignment horizontal="center"/>
    </xf>
    <xf numFmtId="14" fontId="0" fillId="0" borderId="0" xfId="0" applyNumberFormat="1" applyAlignment="1">
      <alignment horizontal="left"/>
    </xf>
    <xf numFmtId="14" fontId="0" fillId="0" borderId="9" xfId="0" applyNumberFormat="1" applyBorder="1" applyAlignment="1">
      <alignment horizontal="left"/>
    </xf>
    <xf numFmtId="0" fontId="0" fillId="3" borderId="7" xfId="0" applyFill="1" applyBorder="1" applyAlignment="1">
      <alignment horizontal="center"/>
    </xf>
    <xf numFmtId="0" fontId="25" fillId="3" borderId="10" xfId="0" applyFont="1" applyFill="1" applyBorder="1"/>
    <xf numFmtId="49" fontId="0" fillId="0" borderId="0" xfId="0" applyNumberFormat="1" applyAlignment="1">
      <alignment horizontal="center"/>
    </xf>
    <xf numFmtId="0" fontId="17" fillId="4" borderId="11" xfId="0" applyFont="1" applyFill="1" applyBorder="1"/>
    <xf numFmtId="166" fontId="18" fillId="4" borderId="12" xfId="0" applyNumberFormat="1" applyFont="1" applyFill="1" applyBorder="1"/>
    <xf numFmtId="166" fontId="26" fillId="4" borderId="13" xfId="0" applyNumberFormat="1" applyFont="1" applyFill="1" applyBorder="1" applyAlignment="1">
      <alignment horizontal="center"/>
    </xf>
    <xf numFmtId="0" fontId="0" fillId="0" borderId="14" xfId="0" applyBorder="1" applyAlignment="1">
      <alignment horizontal="left"/>
    </xf>
    <xf numFmtId="0" fontId="0" fillId="0" borderId="15" xfId="0" applyBorder="1" applyAlignment="1">
      <alignment horizontal="center"/>
    </xf>
    <xf numFmtId="170" fontId="0" fillId="0" borderId="0" xfId="0" applyNumberFormat="1" applyAlignment="1">
      <alignment horizontal="left"/>
    </xf>
    <xf numFmtId="0" fontId="0" fillId="0" borderId="15" xfId="0" applyBorder="1"/>
    <xf numFmtId="0" fontId="0" fillId="0" borderId="14" xfId="0" applyBorder="1"/>
    <xf numFmtId="0" fontId="0" fillId="0" borderId="14" xfId="0" applyBorder="1" applyAlignment="1">
      <alignment horizontal="right"/>
    </xf>
    <xf numFmtId="0" fontId="17" fillId="4" borderId="16" xfId="0" applyFont="1" applyFill="1" applyBorder="1"/>
    <xf numFmtId="166" fontId="26" fillId="4" borderId="17" xfId="0" applyNumberFormat="1" applyFont="1" applyFill="1" applyBorder="1" applyAlignment="1">
      <alignment horizontal="center"/>
    </xf>
    <xf numFmtId="166" fontId="18" fillId="4" borderId="18" xfId="0" applyNumberFormat="1" applyFont="1" applyFill="1" applyBorder="1"/>
    <xf numFmtId="14" fontId="0" fillId="0" borderId="19" xfId="0" applyNumberFormat="1" applyBorder="1" applyAlignment="1">
      <alignment horizontal="center"/>
    </xf>
    <xf numFmtId="14" fontId="0" fillId="0" borderId="20" xfId="0" applyNumberFormat="1" applyBorder="1" applyAlignment="1">
      <alignment horizontal="center"/>
    </xf>
    <xf numFmtId="14" fontId="0" fillId="0" borderId="21" xfId="0" applyNumberFormat="1" applyBorder="1" applyAlignment="1">
      <alignment horizontal="center"/>
    </xf>
    <xf numFmtId="0" fontId="27" fillId="0" borderId="22" xfId="0" applyFont="1" applyBorder="1" applyAlignment="1">
      <alignment horizontal="center" vertical="center"/>
    </xf>
    <xf numFmtId="0" fontId="23" fillId="0" borderId="0" xfId="0" applyFont="1" applyAlignment="1">
      <alignment vertical="center" wrapText="1"/>
    </xf>
    <xf numFmtId="0" fontId="28" fillId="0" borderId="0" xfId="0" applyFont="1" applyAlignment="1">
      <alignment vertical="center"/>
    </xf>
    <xf numFmtId="0" fontId="23" fillId="0" borderId="24" xfId="0" applyFont="1" applyBorder="1" applyAlignment="1">
      <alignment vertical="center"/>
    </xf>
    <xf numFmtId="0" fontId="27" fillId="0" borderId="23" xfId="0" applyFont="1" applyBorder="1" applyAlignment="1">
      <alignment horizontal="center" vertical="center"/>
    </xf>
    <xf numFmtId="169" fontId="23" fillId="0" borderId="0" xfId="0" applyNumberFormat="1" applyFont="1"/>
    <xf numFmtId="0" fontId="27" fillId="0" borderId="0" xfId="0" applyFont="1" applyAlignment="1">
      <alignment horizontal="left" vertical="center" indent="4"/>
    </xf>
    <xf numFmtId="0" fontId="27" fillId="0" borderId="0" xfId="0" applyFont="1" applyAlignment="1">
      <alignment vertical="center"/>
    </xf>
    <xf numFmtId="0" fontId="27" fillId="0" borderId="0" xfId="0" applyFont="1"/>
    <xf numFmtId="0" fontId="0" fillId="0" borderId="27" xfId="0" applyBorder="1"/>
    <xf numFmtId="0" fontId="0" fillId="0" borderId="28" xfId="0" applyBorder="1"/>
    <xf numFmtId="166" fontId="26" fillId="4" borderId="29" xfId="0" applyNumberFormat="1" applyFont="1" applyFill="1" applyBorder="1" applyAlignment="1">
      <alignment horizontal="left"/>
    </xf>
    <xf numFmtId="0" fontId="0" fillId="0" borderId="30" xfId="0"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0" fillId="0" borderId="23" xfId="0" applyBorder="1" applyAlignment="1">
      <alignment horizontal="center"/>
    </xf>
    <xf numFmtId="170" fontId="25" fillId="3" borderId="10" xfId="0" applyNumberFormat="1" applyFont="1" applyFill="1" applyBorder="1" applyAlignment="1">
      <alignment horizontal="center"/>
    </xf>
    <xf numFmtId="166" fontId="18" fillId="4" borderId="36" xfId="0" applyNumberFormat="1" applyFont="1" applyFill="1" applyBorder="1" applyAlignment="1">
      <alignment horizontal="center"/>
    </xf>
    <xf numFmtId="0" fontId="3" fillId="0" borderId="2" xfId="0" applyFont="1" applyBorder="1" applyAlignment="1">
      <alignment horizontal="right" vertical="center" wrapText="1"/>
    </xf>
    <xf numFmtId="0" fontId="29" fillId="0" borderId="36" xfId="0" applyFont="1" applyBorder="1" applyAlignment="1">
      <alignment horizontal="center" vertical="center" wrapText="1"/>
    </xf>
    <xf numFmtId="0" fontId="2" fillId="0" borderId="0" xfId="0" applyFont="1"/>
    <xf numFmtId="171" fontId="4" fillId="0" borderId="0" xfId="1" applyNumberFormat="1" applyFont="1"/>
    <xf numFmtId="3" fontId="0" fillId="0" borderId="0" xfId="0" applyNumberFormat="1"/>
    <xf numFmtId="0" fontId="2" fillId="0" borderId="0" xfId="0" applyFont="1" applyAlignment="1">
      <alignment horizontal="center"/>
    </xf>
    <xf numFmtId="17" fontId="0" fillId="0" borderId="0" xfId="0" quotePrefix="1" applyNumberFormat="1"/>
    <xf numFmtId="0" fontId="2" fillId="0" borderId="0" xfId="0" applyFont="1" applyAlignment="1">
      <alignment horizontal="center" vertical="center"/>
    </xf>
    <xf numFmtId="0" fontId="0" fillId="0" borderId="27" xfId="0" applyBorder="1" applyAlignment="1">
      <alignment horizontal="center"/>
    </xf>
    <xf numFmtId="0" fontId="0" fillId="0" borderId="37" xfId="0" applyBorder="1" applyAlignment="1">
      <alignment horizontal="center"/>
    </xf>
    <xf numFmtId="171" fontId="0" fillId="0" borderId="0" xfId="0" applyNumberFormat="1"/>
    <xf numFmtId="2" fontId="30" fillId="3" borderId="8" xfId="0" applyNumberFormat="1" applyFont="1" applyFill="1" applyBorder="1" applyAlignment="1">
      <alignment horizontal="left"/>
    </xf>
    <xf numFmtId="166" fontId="18" fillId="4" borderId="0" xfId="0" applyNumberFormat="1" applyFont="1" applyFill="1" applyAlignment="1">
      <alignment horizontal="center"/>
    </xf>
    <xf numFmtId="0" fontId="31" fillId="0" borderId="0" xfId="0" applyFont="1"/>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0" fillId="0" borderId="37" xfId="0" applyBorder="1"/>
    <xf numFmtId="0" fontId="0" fillId="0" borderId="38" xfId="0" applyBorder="1"/>
    <xf numFmtId="0" fontId="0" fillId="0" borderId="39" xfId="0" applyBorder="1" applyAlignment="1">
      <alignment horizontal="center"/>
    </xf>
    <xf numFmtId="0" fontId="0" fillId="0" borderId="24" xfId="0" applyBorder="1" applyAlignment="1">
      <alignment horizontal="center"/>
    </xf>
    <xf numFmtId="0" fontId="0" fillId="0" borderId="40" xfId="0" applyBorder="1"/>
    <xf numFmtId="0" fontId="0" fillId="0" borderId="20" xfId="0" applyBorder="1"/>
    <xf numFmtId="0" fontId="0" fillId="0" borderId="41" xfId="0" applyBorder="1"/>
    <xf numFmtId="172" fontId="20" fillId="0" borderId="42" xfId="0" applyNumberFormat="1" applyFont="1" applyBorder="1"/>
    <xf numFmtId="1" fontId="32" fillId="0" borderId="0" xfId="0" applyNumberFormat="1" applyFont="1"/>
    <xf numFmtId="172" fontId="1" fillId="6" borderId="39" xfId="0" applyNumberFormat="1" applyFont="1" applyFill="1" applyBorder="1" applyAlignment="1">
      <alignment horizontal="left"/>
    </xf>
    <xf numFmtId="172" fontId="1" fillId="6" borderId="43" xfId="0" applyNumberFormat="1" applyFont="1" applyFill="1" applyBorder="1" applyAlignment="1">
      <alignment horizontal="left"/>
    </xf>
    <xf numFmtId="0" fontId="33" fillId="0" borderId="0" xfId="0" applyFont="1" applyAlignment="1">
      <alignment horizontal="center" vertical="center" wrapText="1"/>
    </xf>
    <xf numFmtId="3" fontId="13" fillId="0" borderId="0" xfId="0" applyNumberFormat="1" applyFont="1" applyAlignment="1">
      <alignment horizontal="center" vertical="center" wrapText="1"/>
    </xf>
    <xf numFmtId="0" fontId="33" fillId="0" borderId="20" xfId="0" applyFont="1" applyBorder="1" applyAlignment="1">
      <alignment horizontal="center" vertical="center" wrapText="1"/>
    </xf>
    <xf numFmtId="3" fontId="13" fillId="0" borderId="20" xfId="0" applyNumberFormat="1" applyFont="1" applyBorder="1" applyAlignment="1">
      <alignment horizontal="center" vertical="center" wrapText="1"/>
    </xf>
    <xf numFmtId="0" fontId="21" fillId="0" borderId="0" xfId="4" applyFont="1"/>
    <xf numFmtId="0" fontId="34" fillId="0" borderId="0" xfId="0" applyFont="1"/>
    <xf numFmtId="2" fontId="21" fillId="0" borderId="0" xfId="4" applyNumberFormat="1" applyFont="1"/>
    <xf numFmtId="2" fontId="21" fillId="0" borderId="20" xfId="4" applyNumberFormat="1" applyFont="1" applyBorder="1"/>
    <xf numFmtId="0" fontId="15" fillId="0" borderId="0" xfId="0" applyFont="1" applyAlignment="1">
      <alignment horizontal="center" vertical="center" wrapText="1"/>
    </xf>
    <xf numFmtId="3" fontId="1" fillId="0" borderId="0" xfId="0" applyNumberFormat="1" applyFont="1"/>
    <xf numFmtId="0" fontId="16" fillId="0" borderId="0" xfId="0" applyFont="1"/>
    <xf numFmtId="168" fontId="0" fillId="0" borderId="0" xfId="0" applyNumberFormat="1" applyAlignment="1">
      <alignment horizontal="left" wrapText="1"/>
    </xf>
    <xf numFmtId="1" fontId="0" fillId="0" borderId="0" xfId="0" applyNumberFormat="1" applyAlignment="1">
      <alignment wrapText="1"/>
    </xf>
    <xf numFmtId="1" fontId="0" fillId="0" borderId="0" xfId="0" applyNumberFormat="1" applyAlignment="1">
      <alignment horizontal="right"/>
    </xf>
    <xf numFmtId="0" fontId="36" fillId="0" borderId="0" xfId="0" applyFont="1"/>
    <xf numFmtId="0" fontId="37" fillId="0" borderId="0" xfId="7" applyFont="1" applyAlignment="1">
      <alignment horizontal="left" wrapText="1"/>
    </xf>
    <xf numFmtId="168" fontId="37" fillId="0" borderId="0" xfId="7" applyNumberFormat="1" applyFont="1" applyAlignment="1">
      <alignment horizontal="centerContinuous" wrapText="1"/>
    </xf>
    <xf numFmtId="14" fontId="37" fillId="0" borderId="0" xfId="7" applyNumberFormat="1" applyFont="1" applyAlignment="1">
      <alignment horizontal="left" wrapText="1"/>
    </xf>
    <xf numFmtId="169" fontId="38" fillId="0" borderId="24" xfId="0" applyNumberFormat="1" applyFont="1" applyBorder="1" applyAlignment="1">
      <alignment horizontal="center" vertical="center"/>
    </xf>
    <xf numFmtId="0" fontId="38" fillId="0" borderId="23" xfId="0" applyFont="1" applyBorder="1" applyAlignment="1">
      <alignment horizontal="center" vertical="center"/>
    </xf>
    <xf numFmtId="0" fontId="39" fillId="0" borderId="23" xfId="0" applyFont="1" applyBorder="1" applyAlignment="1">
      <alignment horizontal="center" vertical="center"/>
    </xf>
    <xf numFmtId="14" fontId="0" fillId="6" borderId="0" xfId="0" applyNumberFormat="1" applyFill="1" applyAlignment="1">
      <alignment horizontal="right"/>
    </xf>
    <xf numFmtId="166" fontId="26" fillId="4" borderId="0" xfId="0" applyNumberFormat="1" applyFont="1" applyFill="1" applyAlignment="1">
      <alignment horizontal="center"/>
    </xf>
    <xf numFmtId="0" fontId="21" fillId="0" borderId="0" xfId="0" applyFont="1"/>
    <xf numFmtId="0" fontId="41" fillId="0" borderId="0" xfId="0" applyFont="1" applyAlignment="1">
      <alignment horizontal="center"/>
    </xf>
    <xf numFmtId="0" fontId="41" fillId="0" borderId="0" xfId="0" applyFont="1"/>
    <xf numFmtId="0" fontId="41" fillId="0" borderId="0" xfId="0" applyFont="1" applyAlignment="1">
      <alignment horizontal="right"/>
    </xf>
    <xf numFmtId="0" fontId="41" fillId="0" borderId="0" xfId="0" applyFont="1" applyAlignment="1">
      <alignment horizontal="left"/>
    </xf>
    <xf numFmtId="0" fontId="41" fillId="5" borderId="25" xfId="0" applyFont="1" applyFill="1" applyBorder="1" applyAlignment="1">
      <alignment horizontal="center"/>
    </xf>
    <xf numFmtId="0" fontId="43" fillId="5" borderId="0" xfId="0" applyFont="1" applyFill="1"/>
    <xf numFmtId="0" fontId="41" fillId="5" borderId="0" xfId="0" applyFont="1" applyFill="1" applyAlignment="1">
      <alignment horizontal="center" vertical="center"/>
    </xf>
    <xf numFmtId="0" fontId="41" fillId="5" borderId="0" xfId="0" applyFont="1" applyFill="1"/>
    <xf numFmtId="0" fontId="41" fillId="5" borderId="0" xfId="0" applyFont="1" applyFill="1" applyAlignment="1">
      <alignment horizontal="left"/>
    </xf>
    <xf numFmtId="0" fontId="41" fillId="5" borderId="26" xfId="0" applyFont="1" applyFill="1" applyBorder="1" applyAlignment="1">
      <alignment horizontal="left"/>
    </xf>
    <xf numFmtId="0" fontId="45" fillId="5" borderId="0" xfId="0" applyFont="1" applyFill="1" applyAlignment="1">
      <alignment horizontal="center" vertical="center"/>
    </xf>
    <xf numFmtId="0" fontId="41" fillId="5" borderId="25" xfId="0" applyFont="1" applyFill="1" applyBorder="1" applyAlignment="1">
      <alignment horizontal="center" vertical="center"/>
    </xf>
    <xf numFmtId="0" fontId="44" fillId="5" borderId="0" xfId="0" applyFont="1" applyFill="1" applyAlignment="1">
      <alignment horizontal="left" vertical="center"/>
    </xf>
    <xf numFmtId="165" fontId="41" fillId="2" borderId="1" xfId="0" applyNumberFormat="1" applyFont="1" applyFill="1" applyBorder="1" applyAlignment="1" applyProtection="1">
      <alignment horizontal="center" vertical="center"/>
      <protection locked="0"/>
    </xf>
    <xf numFmtId="165" fontId="41" fillId="5" borderId="0" xfId="0" applyNumberFormat="1" applyFont="1" applyFill="1" applyAlignment="1">
      <alignment horizontal="center" vertical="center"/>
    </xf>
    <xf numFmtId="165" fontId="41" fillId="5" borderId="0" xfId="0" applyNumberFormat="1" applyFont="1" applyFill="1" applyAlignment="1">
      <alignment horizontal="left" vertical="center"/>
    </xf>
    <xf numFmtId="165" fontId="41" fillId="5" borderId="26" xfId="0" applyNumberFormat="1" applyFont="1" applyFill="1" applyBorder="1" applyAlignment="1">
      <alignment horizontal="left" vertical="center"/>
    </xf>
    <xf numFmtId="0" fontId="41" fillId="5" borderId="0" xfId="0" applyFont="1" applyFill="1" applyAlignment="1">
      <alignment horizontal="left" vertical="center"/>
    </xf>
    <xf numFmtId="0" fontId="41" fillId="5" borderId="0" xfId="0" applyFont="1" applyFill="1" applyAlignment="1">
      <alignment horizontal="right" vertical="center"/>
    </xf>
    <xf numFmtId="0" fontId="41" fillId="5" borderId="26" xfId="0" applyFont="1" applyFill="1" applyBorder="1" applyAlignment="1">
      <alignment horizontal="left" vertical="center"/>
    </xf>
    <xf numFmtId="1" fontId="41" fillId="5" borderId="0" xfId="0" applyNumberFormat="1" applyFont="1" applyFill="1" applyAlignment="1">
      <alignment horizontal="right" vertical="center"/>
    </xf>
    <xf numFmtId="0" fontId="46" fillId="5" borderId="0" xfId="0" applyFont="1" applyFill="1" applyAlignment="1">
      <alignment horizontal="left" vertical="center" wrapText="1"/>
    </xf>
    <xf numFmtId="1" fontId="44" fillId="5" borderId="0" xfId="0" applyNumberFormat="1" applyFont="1" applyFill="1" applyAlignment="1">
      <alignment horizontal="right" vertical="center"/>
    </xf>
    <xf numFmtId="0" fontId="43" fillId="5" borderId="0" xfId="0" applyFont="1" applyFill="1" applyAlignment="1">
      <alignment horizontal="left"/>
    </xf>
    <xf numFmtId="0" fontId="41" fillId="5" borderId="0" xfId="0" applyFont="1" applyFill="1" applyAlignment="1">
      <alignment horizontal="center" vertical="center" wrapText="1"/>
    </xf>
    <xf numFmtId="167" fontId="41" fillId="5" borderId="0" xfId="0" applyNumberFormat="1" applyFont="1" applyFill="1" applyAlignment="1">
      <alignment horizontal="center" vertical="center" wrapText="1"/>
    </xf>
    <xf numFmtId="0" fontId="41" fillId="5" borderId="0" xfId="0" applyFont="1" applyFill="1" applyAlignment="1">
      <alignment horizontal="center"/>
    </xf>
    <xf numFmtId="0" fontId="44" fillId="5" borderId="0" xfId="0" applyFont="1" applyFill="1" applyAlignment="1">
      <alignment horizontal="left"/>
    </xf>
    <xf numFmtId="172" fontId="41" fillId="2" borderId="1" xfId="0" applyNumberFormat="1" applyFont="1" applyFill="1" applyBorder="1" applyAlignment="1" applyProtection="1">
      <alignment horizontal="center" vertical="center"/>
      <protection locked="0"/>
    </xf>
    <xf numFmtId="13" fontId="41" fillId="0" borderId="1" xfId="0" applyNumberFormat="1" applyFont="1" applyBorder="1" applyAlignment="1" applyProtection="1">
      <alignment horizontal="center" vertical="center"/>
      <protection locked="0"/>
    </xf>
    <xf numFmtId="3" fontId="41" fillId="0" borderId="1" xfId="0" applyNumberFormat="1" applyFont="1" applyBorder="1" applyAlignment="1" applyProtection="1">
      <alignment horizontal="center" vertical="center"/>
      <protection locked="0"/>
    </xf>
    <xf numFmtId="164" fontId="41" fillId="0" borderId="1" xfId="0" applyNumberFormat="1" applyFont="1" applyBorder="1" applyAlignment="1" applyProtection="1">
      <alignment horizontal="center" vertical="center"/>
      <protection locked="0"/>
    </xf>
    <xf numFmtId="0" fontId="41" fillId="5" borderId="37" xfId="0" applyFont="1" applyFill="1" applyBorder="1" applyAlignment="1">
      <alignment horizontal="center"/>
    </xf>
    <xf numFmtId="0" fontId="47" fillId="5" borderId="38" xfId="0" applyFont="1" applyFill="1" applyBorder="1"/>
    <xf numFmtId="0" fontId="41" fillId="5" borderId="38" xfId="0" applyFont="1" applyFill="1" applyBorder="1" applyAlignment="1">
      <alignment horizontal="center" vertical="center"/>
    </xf>
    <xf numFmtId="0" fontId="41" fillId="5" borderId="38" xfId="0" applyFont="1" applyFill="1" applyBorder="1"/>
    <xf numFmtId="0" fontId="41" fillId="5" borderId="38" xfId="0" applyFont="1" applyFill="1" applyBorder="1" applyAlignment="1">
      <alignment horizontal="left"/>
    </xf>
    <xf numFmtId="0" fontId="41" fillId="5" borderId="24" xfId="0" applyFont="1" applyFill="1" applyBorder="1" applyAlignment="1">
      <alignment horizontal="left"/>
    </xf>
    <xf numFmtId="0" fontId="48" fillId="7" borderId="27" xfId="0" applyFont="1" applyFill="1" applyBorder="1" applyAlignment="1">
      <alignment horizontal="center"/>
    </xf>
    <xf numFmtId="0" fontId="49" fillId="7" borderId="28" xfId="0" applyFont="1" applyFill="1" applyBorder="1" applyAlignment="1">
      <alignment horizontal="right" vertical="center"/>
    </xf>
    <xf numFmtId="0" fontId="50" fillId="7" borderId="28" xfId="0" applyFont="1" applyFill="1" applyBorder="1" applyAlignment="1">
      <alignment horizontal="center" vertical="center"/>
    </xf>
    <xf numFmtId="0" fontId="48" fillId="7" borderId="28" xfId="0" applyFont="1" applyFill="1" applyBorder="1"/>
    <xf numFmtId="0" fontId="48" fillId="7" borderId="28" xfId="0" applyFont="1" applyFill="1" applyBorder="1" applyAlignment="1">
      <alignment horizontal="center"/>
    </xf>
    <xf numFmtId="0" fontId="48" fillId="7" borderId="28" xfId="0" applyFont="1" applyFill="1" applyBorder="1" applyAlignment="1">
      <alignment horizontal="left"/>
    </xf>
    <xf numFmtId="0" fontId="48" fillId="7" borderId="39" xfId="0" applyFont="1" applyFill="1" applyBorder="1" applyAlignment="1">
      <alignment horizontal="left"/>
    </xf>
    <xf numFmtId="0" fontId="44" fillId="7" borderId="0" xfId="0" applyFont="1" applyFill="1" applyAlignment="1">
      <alignment horizontal="center" vertical="center" wrapText="1"/>
    </xf>
    <xf numFmtId="0" fontId="44" fillId="7" borderId="0" xfId="0" applyFont="1" applyFill="1"/>
    <xf numFmtId="0" fontId="44" fillId="7" borderId="0" xfId="0" applyFont="1" applyFill="1" applyAlignment="1">
      <alignment horizontal="left"/>
    </xf>
    <xf numFmtId="0" fontId="44" fillId="7" borderId="26" xfId="0" applyFont="1" applyFill="1" applyBorder="1" applyAlignment="1">
      <alignment horizontal="left"/>
    </xf>
    <xf numFmtId="0" fontId="48" fillId="7" borderId="0" xfId="0" applyFont="1" applyFill="1"/>
    <xf numFmtId="0" fontId="48" fillId="7" borderId="0" xfId="0" applyFont="1" applyFill="1" applyAlignment="1">
      <alignment horizontal="center"/>
    </xf>
    <xf numFmtId="0" fontId="48" fillId="7" borderId="0" xfId="0" applyFont="1" applyFill="1" applyAlignment="1">
      <alignment horizontal="left"/>
    </xf>
    <xf numFmtId="0" fontId="48" fillId="7" borderId="26" xfId="0" applyFont="1" applyFill="1" applyBorder="1" applyAlignment="1">
      <alignment horizontal="left"/>
    </xf>
    <xf numFmtId="0" fontId="48" fillId="7" borderId="38" xfId="0" applyFont="1" applyFill="1" applyBorder="1"/>
    <xf numFmtId="0" fontId="48" fillId="7" borderId="38" xfId="0" applyFont="1" applyFill="1" applyBorder="1" applyAlignment="1">
      <alignment horizontal="center"/>
    </xf>
    <xf numFmtId="0" fontId="48" fillId="7" borderId="38" xfId="0" applyFont="1" applyFill="1" applyBorder="1" applyAlignment="1">
      <alignment horizontal="left"/>
    </xf>
    <xf numFmtId="0" fontId="48" fillId="7" borderId="24" xfId="0" applyFont="1" applyFill="1" applyBorder="1" applyAlignment="1">
      <alignment horizontal="left"/>
    </xf>
    <xf numFmtId="0" fontId="51" fillId="0" borderId="0" xfId="0" applyFont="1"/>
    <xf numFmtId="0" fontId="52" fillId="0" borderId="0" xfId="8" applyFont="1" applyFill="1" applyProtection="1"/>
    <xf numFmtId="167" fontId="53" fillId="7" borderId="0" xfId="0" applyNumberFormat="1" applyFont="1" applyFill="1" applyAlignment="1">
      <alignment horizontal="center" vertical="center"/>
    </xf>
    <xf numFmtId="167" fontId="53" fillId="7" borderId="38" xfId="0" applyNumberFormat="1" applyFont="1" applyFill="1" applyBorder="1" applyAlignment="1">
      <alignment horizontal="center" vertical="center"/>
    </xf>
    <xf numFmtId="0" fontId="55" fillId="0" borderId="0" xfId="0" applyFont="1"/>
    <xf numFmtId="0" fontId="55" fillId="0" borderId="0" xfId="0" applyFont="1" applyAlignment="1">
      <alignment horizontal="left"/>
    </xf>
    <xf numFmtId="1" fontId="55" fillId="0" borderId="0" xfId="0" applyNumberFormat="1" applyFont="1" applyAlignment="1">
      <alignment horizontal="left"/>
    </xf>
    <xf numFmtId="0" fontId="56" fillId="0" borderId="0" xfId="0" applyFont="1"/>
    <xf numFmtId="0" fontId="58" fillId="0" borderId="0" xfId="0" applyFont="1"/>
    <xf numFmtId="15" fontId="55" fillId="0" borderId="0" xfId="0" applyNumberFormat="1" applyFont="1" applyAlignment="1">
      <alignment horizontal="left"/>
    </xf>
    <xf numFmtId="13" fontId="55" fillId="0" borderId="0" xfId="0" applyNumberFormat="1" applyFont="1" applyAlignment="1">
      <alignment horizontal="left"/>
    </xf>
    <xf numFmtId="0" fontId="57" fillId="0" borderId="47" xfId="0" applyFont="1" applyBorder="1"/>
    <xf numFmtId="0" fontId="57" fillId="0" borderId="2" xfId="0" applyFont="1" applyBorder="1" applyAlignment="1">
      <alignment horizontal="left"/>
    </xf>
    <xf numFmtId="0" fontId="41" fillId="0" borderId="2" xfId="0" applyFont="1" applyBorder="1"/>
    <xf numFmtId="0" fontId="41" fillId="0" borderId="22" xfId="0" applyFont="1" applyBorder="1"/>
    <xf numFmtId="167" fontId="55" fillId="0" borderId="0" xfId="0" applyNumberFormat="1" applyFont="1" applyAlignment="1">
      <alignment horizontal="left"/>
    </xf>
    <xf numFmtId="44" fontId="42" fillId="0" borderId="39" xfId="0" applyNumberFormat="1" applyFont="1" applyBorder="1" applyAlignment="1">
      <alignment vertical="center"/>
    </xf>
    <xf numFmtId="44" fontId="42" fillId="0" borderId="27" xfId="0" applyNumberFormat="1" applyFont="1" applyBorder="1" applyAlignment="1">
      <alignment vertical="center"/>
    </xf>
    <xf numFmtId="0" fontId="59" fillId="9" borderId="0" xfId="0" applyFont="1" applyFill="1"/>
    <xf numFmtId="0" fontId="59" fillId="9" borderId="0" xfId="0" applyFont="1" applyFill="1" applyAlignment="1">
      <alignment horizontal="left"/>
    </xf>
    <xf numFmtId="0" fontId="60" fillId="0" borderId="46" xfId="0" applyFont="1" applyBorder="1" applyAlignment="1">
      <alignment horizontal="center" vertical="center"/>
    </xf>
    <xf numFmtId="0" fontId="41" fillId="0" borderId="44" xfId="0" applyFont="1" applyBorder="1" applyAlignment="1">
      <alignment vertical="center" wrapText="1"/>
    </xf>
    <xf numFmtId="0" fontId="41" fillId="0" borderId="0" xfId="0" applyFont="1" applyAlignment="1">
      <alignment wrapText="1"/>
    </xf>
    <xf numFmtId="0" fontId="41" fillId="0" borderId="45" xfId="0" applyFont="1" applyBorder="1" applyAlignment="1">
      <alignment wrapText="1"/>
    </xf>
    <xf numFmtId="0" fontId="63" fillId="8" borderId="0" xfId="0" applyFont="1" applyFill="1" applyAlignment="1">
      <alignment horizontal="left" vertical="top" wrapText="1"/>
    </xf>
    <xf numFmtId="0" fontId="64" fillId="8" borderId="0" xfId="0" applyFont="1" applyFill="1" applyAlignment="1">
      <alignment horizontal="right"/>
    </xf>
    <xf numFmtId="0" fontId="65" fillId="8" borderId="0" xfId="0" applyFont="1" applyFill="1"/>
    <xf numFmtId="0" fontId="63" fillId="8" borderId="0" xfId="0" applyFont="1" applyFill="1" applyAlignment="1">
      <alignment horizontal="justify" vertical="top" wrapText="1"/>
    </xf>
    <xf numFmtId="44" fontId="54" fillId="0" borderId="28" xfId="0" applyNumberFormat="1" applyFont="1" applyBorder="1" applyAlignment="1">
      <alignment horizontal="right" vertical="center"/>
    </xf>
    <xf numFmtId="44" fontId="54" fillId="0" borderId="37" xfId="0" applyNumberFormat="1" applyFont="1" applyBorder="1" applyAlignment="1">
      <alignment horizontal="center" vertical="center"/>
    </xf>
    <xf numFmtId="44" fontId="54" fillId="0" borderId="38" xfId="0" applyNumberFormat="1" applyFont="1" applyBorder="1" applyAlignment="1">
      <alignment horizontal="center" vertical="center"/>
    </xf>
    <xf numFmtId="44" fontId="54" fillId="0" borderId="24" xfId="0" applyNumberFormat="1" applyFont="1" applyBorder="1" applyAlignment="1">
      <alignment horizontal="center" vertical="center"/>
    </xf>
    <xf numFmtId="0" fontId="53" fillId="7" borderId="25" xfId="0" applyFont="1" applyFill="1" applyBorder="1" applyAlignment="1">
      <alignment horizontal="right" vertical="center"/>
    </xf>
    <xf numFmtId="0" fontId="53" fillId="7" borderId="0" xfId="0" applyFont="1" applyFill="1" applyAlignment="1">
      <alignment horizontal="right" vertical="center"/>
    </xf>
    <xf numFmtId="0" fontId="53" fillId="7" borderId="37" xfId="0" applyFont="1" applyFill="1" applyBorder="1" applyAlignment="1">
      <alignment horizontal="right" vertical="center"/>
    </xf>
    <xf numFmtId="0" fontId="53" fillId="7" borderId="38" xfId="0" applyFont="1" applyFill="1" applyBorder="1" applyAlignment="1">
      <alignment horizontal="right" vertical="center"/>
    </xf>
    <xf numFmtId="0" fontId="41" fillId="0" borderId="48" xfId="0" applyFont="1" applyBorder="1" applyAlignment="1">
      <alignment horizontal="left" vertical="top" wrapText="1"/>
    </xf>
    <xf numFmtId="0" fontId="41" fillId="0" borderId="49" xfId="0" applyFont="1" applyBorder="1" applyAlignment="1">
      <alignment horizontal="left" vertical="top" wrapText="1"/>
    </xf>
    <xf numFmtId="0" fontId="63" fillId="8" borderId="0" xfId="0" applyFont="1" applyFill="1" applyAlignment="1">
      <alignment horizontal="left" wrapText="1"/>
    </xf>
    <xf numFmtId="0" fontId="63" fillId="8" borderId="0" xfId="0" applyFont="1" applyFill="1" applyAlignment="1">
      <alignment horizontal="justify" vertical="top" wrapText="1"/>
    </xf>
    <xf numFmtId="166" fontId="18" fillId="4" borderId="47" xfId="0" applyNumberFormat="1" applyFont="1" applyFill="1" applyBorder="1" applyAlignment="1">
      <alignment horizontal="center"/>
    </xf>
    <xf numFmtId="166" fontId="18" fillId="4" borderId="22" xfId="0" applyNumberFormat="1" applyFont="1" applyFill="1" applyBorder="1" applyAlignment="1">
      <alignment horizontal="center"/>
    </xf>
    <xf numFmtId="0" fontId="2" fillId="0" borderId="2" xfId="0" applyFont="1" applyBorder="1" applyAlignment="1">
      <alignment horizontal="center" vertical="center" wrapText="1"/>
    </xf>
    <xf numFmtId="0" fontId="35" fillId="0" borderId="0" xfId="4" applyFont="1" applyAlignment="1">
      <alignment horizontal="center"/>
    </xf>
    <xf numFmtId="0" fontId="3" fillId="0" borderId="2" xfId="0" applyFont="1" applyBorder="1" applyAlignment="1" applyProtection="1">
      <alignment horizontal="center" vertical="center" wrapText="1"/>
      <protection locked="0"/>
    </xf>
    <xf numFmtId="0" fontId="28" fillId="0" borderId="0" xfId="0" applyFont="1" applyAlignment="1">
      <alignment vertical="center"/>
    </xf>
    <xf numFmtId="0" fontId="28" fillId="0" borderId="0" xfId="0" applyFont="1" applyAlignment="1">
      <alignment horizontal="center" vertical="center"/>
    </xf>
    <xf numFmtId="0" fontId="28" fillId="0" borderId="47" xfId="0" applyFont="1" applyBorder="1" applyAlignment="1">
      <alignment horizontal="center" vertical="center"/>
    </xf>
    <xf numFmtId="0" fontId="28" fillId="0" borderId="2" xfId="0" applyFont="1" applyBorder="1" applyAlignment="1">
      <alignment horizontal="center" vertical="center"/>
    </xf>
    <xf numFmtId="0" fontId="28" fillId="0" borderId="22" xfId="0" applyFont="1" applyBorder="1" applyAlignment="1">
      <alignment horizontal="center" vertical="center"/>
    </xf>
    <xf numFmtId="0" fontId="40" fillId="0" borderId="0" xfId="8" applyAlignment="1">
      <alignment horizontal="right"/>
    </xf>
  </cellXfs>
  <cellStyles count="9">
    <cellStyle name="Comma 2" xfId="1" xr:uid="{00000000-0005-0000-0000-000000000000}"/>
    <cellStyle name="Comma 2 2" xfId="2" xr:uid="{00000000-0005-0000-0000-000001000000}"/>
    <cellStyle name="Hyperlink" xfId="8" builtinId="8"/>
    <cellStyle name="Normal" xfId="0" builtinId="0"/>
    <cellStyle name="Normal 2" xfId="3" xr:uid="{00000000-0005-0000-0000-000003000000}"/>
    <cellStyle name="Normal 2 2" xfId="4" xr:uid="{00000000-0005-0000-0000-000004000000}"/>
    <cellStyle name="Normal 2 2 2" xfId="7" xr:uid="{3BF982B6-DC18-4423-A70E-098F2B66355B}"/>
    <cellStyle name="Normal 3" xfId="5" xr:uid="{00000000-0005-0000-0000-000005000000}"/>
    <cellStyle name="Normal 4" xfId="6" xr:uid="{00000000-0005-0000-0000-000006000000}"/>
  </cellStyles>
  <dxfs count="40">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F7F7F7"/>
        </patternFill>
      </fill>
    </dxf>
    <dxf>
      <fill>
        <patternFill>
          <bgColor rgb="FFEDEDED"/>
        </patternFill>
      </fill>
    </dxf>
    <dxf>
      <fill>
        <patternFill>
          <bgColor rgb="FFE3E3E3"/>
        </patternFill>
      </fill>
    </dxf>
    <dxf>
      <fill>
        <patternFill>
          <bgColor rgb="FFD9D9D9"/>
        </patternFill>
      </fill>
    </dxf>
    <dxf>
      <font>
        <color auto="1"/>
      </font>
      <fill>
        <patternFill>
          <bgColor rgb="FFFFFF00"/>
        </patternFill>
      </fill>
    </dxf>
    <dxf>
      <fill>
        <patternFill>
          <bgColor rgb="FFF7F7F7"/>
        </patternFill>
      </fill>
    </dxf>
    <dxf>
      <fill>
        <patternFill>
          <bgColor rgb="FFEDEDED"/>
        </patternFill>
      </fill>
    </dxf>
    <dxf>
      <fill>
        <patternFill>
          <bgColor rgb="FFE3E3E3"/>
        </patternFill>
      </fill>
    </dxf>
    <dxf>
      <fill>
        <patternFill>
          <bgColor rgb="FFD9D9D9"/>
        </patternFill>
      </fill>
    </dxf>
    <dxf>
      <fill>
        <patternFill>
          <bgColor rgb="FF92D050"/>
        </patternFill>
      </fill>
    </dxf>
    <dxf>
      <fill>
        <patternFill>
          <bgColor rgb="FF92D050"/>
        </patternFill>
      </fill>
    </dxf>
    <dxf>
      <fill>
        <patternFill>
          <bgColor theme="9" tint="0.79998168889431442"/>
        </patternFill>
      </fill>
    </dxf>
    <dxf>
      <fill>
        <patternFill>
          <bgColor theme="9" tint="0.79998168889431442"/>
        </patternFill>
      </fill>
    </dxf>
    <dxf>
      <font>
        <color theme="0"/>
      </font>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FFFFCC"/>
      </font>
      <fill>
        <patternFill>
          <bgColor rgb="FFFFFFCC"/>
        </patternFill>
      </fill>
      <border>
        <left/>
        <right/>
        <top/>
        <bottom/>
      </border>
    </dxf>
    <dxf>
      <font>
        <color rgb="FFFFFFCC"/>
      </font>
      <fill>
        <patternFill>
          <bgColor rgb="FFFFFFCC"/>
        </patternFill>
      </fill>
    </dxf>
    <dxf>
      <font>
        <color rgb="FFFFFFCC"/>
      </font>
      <fill>
        <patternFill>
          <bgColor rgb="FFFFFFCC"/>
        </patternFill>
      </fill>
      <border>
        <left/>
        <right/>
        <top style="thin">
          <color auto="1"/>
        </top>
        <bottom style="thin">
          <color auto="1"/>
        </bottom>
      </border>
    </dxf>
    <dxf>
      <fill>
        <patternFill>
          <bgColor rgb="FFFFFF00"/>
        </patternFill>
      </fill>
    </dxf>
    <dxf>
      <fill>
        <patternFill>
          <bgColor rgb="FFFFFF00"/>
        </patternFill>
      </fill>
    </dxf>
    <dxf>
      <alignment horizontal="center" vertical="bottom" textRotation="0" wrapText="0" indent="0" justifyLastLine="0" shrinkToFit="0" readingOrder="0"/>
      <border diagonalUp="0" diagonalDown="0">
        <left style="thin">
          <color indexed="64"/>
        </left>
        <right style="medium">
          <color indexed="64"/>
        </right>
        <top/>
        <bottom/>
        <vertical/>
        <horizontal/>
      </border>
    </dxf>
    <dxf>
      <border outline="0">
        <top style="thick">
          <color indexed="64"/>
        </top>
      </border>
    </dxf>
    <dxf>
      <alignment horizontal="center" vertical="bottom" textRotation="0" wrapText="0" indent="0" justifyLastLine="0" shrinkToFit="0" readingOrder="0"/>
    </dxf>
    <dxf>
      <font>
        <b/>
        <i val="0"/>
        <strike val="0"/>
        <condense val="0"/>
        <extend val="0"/>
        <outline val="0"/>
        <shadow val="0"/>
        <u val="none"/>
        <vertAlign val="baseline"/>
        <sz val="12"/>
        <color theme="0"/>
        <name val="Arial"/>
        <family val="2"/>
        <scheme val="none"/>
      </font>
      <numFmt numFmtId="166" formatCode="[$-809]d\ mmmm\ yyyy;@"/>
      <fill>
        <patternFill patternType="solid">
          <fgColor indexed="64"/>
          <bgColor theme="1"/>
        </patternFill>
      </fill>
      <alignment horizontal="center" vertical="bottom" textRotation="0" wrapText="0" indent="0" justifyLastLine="0" shrinkToFit="0" readingOrder="0"/>
    </dxf>
  </dxfs>
  <tableStyles count="0" defaultTableStyle="TableStyleMedium2" defaultPivotStyle="PivotStyleLight16"/>
  <colors>
    <mruColors>
      <color rgb="FF004158"/>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llustration and Guidance'!A1"/></Relationships>
</file>

<file path=xl/drawings/_rels/drawing2.xml.rels><?xml version="1.0" encoding="UTF-8" standalone="yes"?>
<Relationships xmlns="http://schemas.openxmlformats.org/package/2006/relationships"><Relationship Id="rId1" Type="http://schemas.openxmlformats.org/officeDocument/2006/relationships/hyperlink" Target="#'Contributions calculator'!A1"/></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1466851</xdr:colOff>
      <xdr:row>17</xdr:row>
      <xdr:rowOff>190499</xdr:rowOff>
    </xdr:from>
    <xdr:to>
      <xdr:col>7</xdr:col>
      <xdr:colOff>123825</xdr:colOff>
      <xdr:row>20</xdr:row>
      <xdr:rowOff>114300</xdr:rowOff>
    </xdr:to>
    <xdr:sp macro="[0]!View_printable_estimate" textlink="">
      <xdr:nvSpPr>
        <xdr:cNvPr id="7" name="Rounded Rectangle 6">
          <a:hlinkClick xmlns:r="http://schemas.openxmlformats.org/officeDocument/2006/relationships" r:id="rId1"/>
          <a:extLst>
            <a:ext uri="{FF2B5EF4-FFF2-40B4-BE49-F238E27FC236}">
              <a16:creationId xmlns:a16="http://schemas.microsoft.com/office/drawing/2014/main" id="{00000000-0008-0000-0000-000007000000}"/>
            </a:ext>
          </a:extLst>
        </xdr:cNvPr>
        <xdr:cNvSpPr/>
      </xdr:nvSpPr>
      <xdr:spPr>
        <a:xfrm>
          <a:off x="6057901" y="3371849"/>
          <a:ext cx="1533524" cy="790576"/>
        </a:xfrm>
        <a:prstGeom prst="roundRect">
          <a:avLst/>
        </a:prstGeom>
        <a:solidFill>
          <a:schemeClr val="tx2">
            <a:lumMod val="20000"/>
            <a:lumOff val="80000"/>
          </a:schemeClr>
        </a:solidFill>
        <a:ln>
          <a:solidFill>
            <a:schemeClr val="accent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0">
              <a:solidFill>
                <a:sysClr val="windowText" lastClr="000000"/>
              </a:solidFill>
              <a:latin typeface="Arial" pitchFamily="34" charset="0"/>
              <a:cs typeface="Arial" pitchFamily="34" charset="0"/>
            </a:rPr>
            <a:t>View Illustration and Guidance</a:t>
          </a:r>
        </a:p>
      </xdr:txBody>
    </xdr:sp>
    <xdr:clientData/>
  </xdr:twoCellAnchor>
  <xdr:twoCellAnchor editAs="oneCell">
    <xdr:from>
      <xdr:col>3</xdr:col>
      <xdr:colOff>876300</xdr:colOff>
      <xdr:row>1</xdr:row>
      <xdr:rowOff>95250</xdr:rowOff>
    </xdr:from>
    <xdr:to>
      <xdr:col>7</xdr:col>
      <xdr:colOff>57150</xdr:colOff>
      <xdr:row>1</xdr:row>
      <xdr:rowOff>497348</xdr:rowOff>
    </xdr:to>
    <xdr:pic>
      <xdr:nvPicPr>
        <xdr:cNvPr id="2" name="Picture 1">
          <a:extLst>
            <a:ext uri="{FF2B5EF4-FFF2-40B4-BE49-F238E27FC236}">
              <a16:creationId xmlns:a16="http://schemas.microsoft.com/office/drawing/2014/main" id="{5E4ED36D-652F-4722-BB20-100101C04D2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67350" y="180975"/>
          <a:ext cx="2057400" cy="4020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3867150</xdr:colOff>
      <xdr:row>5</xdr:row>
      <xdr:rowOff>85725</xdr:rowOff>
    </xdr:from>
    <xdr:to>
      <xdr:col>1</xdr:col>
      <xdr:colOff>6051825</xdr:colOff>
      <xdr:row>5</xdr:row>
      <xdr:rowOff>647700</xdr:rowOff>
    </xdr:to>
    <xdr:sp macro="[0]!Return_to_calculator" textlink="">
      <xdr:nvSpPr>
        <xdr:cNvPr id="3" name="Rounded Rectangle 2">
          <a:hlinkClick xmlns:r="http://schemas.openxmlformats.org/officeDocument/2006/relationships" r:id="rId1"/>
          <a:extLst>
            <a:ext uri="{FF2B5EF4-FFF2-40B4-BE49-F238E27FC236}">
              <a16:creationId xmlns:a16="http://schemas.microsoft.com/office/drawing/2014/main" id="{00000000-0008-0000-0200-000003000000}"/>
            </a:ext>
          </a:extLst>
        </xdr:cNvPr>
        <xdr:cNvSpPr/>
      </xdr:nvSpPr>
      <xdr:spPr>
        <a:xfrm>
          <a:off x="3867150" y="4229100"/>
          <a:ext cx="2184675" cy="561975"/>
        </a:xfrm>
        <a:prstGeom prst="roundRect">
          <a:avLst/>
        </a:prstGeom>
        <a:solidFill>
          <a:schemeClr val="tx2">
            <a:lumMod val="20000"/>
            <a:lumOff val="80000"/>
          </a:schemeClr>
        </a:solidFill>
        <a:ln>
          <a:solidFill>
            <a:schemeClr val="accent1"/>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0">
              <a:solidFill>
                <a:sysClr val="windowText" lastClr="000000"/>
              </a:solidFill>
              <a:latin typeface="Arial" pitchFamily="34" charset="0"/>
              <a:cs typeface="Arial" pitchFamily="34" charset="0"/>
            </a:rPr>
            <a:t>Go to Calculator</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13</xdr:row>
      <xdr:rowOff>0</xdr:rowOff>
    </xdr:from>
    <xdr:to>
      <xdr:col>16384</xdr:col>
      <xdr:colOff>225425</xdr:colOff>
      <xdr:row>15</xdr:row>
      <xdr:rowOff>0</xdr:rowOff>
    </xdr:to>
    <xdr:sp macro="" textlink="">
      <xdr:nvSpPr>
        <xdr:cNvPr id="15361" name="AutoShape 1" descr="SPPA Logo in blue with clear space area defined, top, bottom, left &amp; right">
          <a:extLst>
            <a:ext uri="{FF2B5EF4-FFF2-40B4-BE49-F238E27FC236}">
              <a16:creationId xmlns:a16="http://schemas.microsoft.com/office/drawing/2014/main" id="{AB52BDD0-A173-FAB8-C3FC-C40C4FEE0A41}"/>
            </a:ext>
          </a:extLst>
        </xdr:cNvPr>
        <xdr:cNvSpPr>
          <a:spLocks noChangeAspect="1" noChangeArrowheads="1"/>
        </xdr:cNvSpPr>
      </xdr:nvSpPr>
      <xdr:spPr bwMode="auto">
        <a:xfrm>
          <a:off x="9477375" y="2819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9</xdr:row>
      <xdr:rowOff>0</xdr:rowOff>
    </xdr:to>
    <xdr:sp macro="" textlink="">
      <xdr:nvSpPr>
        <xdr:cNvPr id="15362" name="AutoShape 2" descr="SPPA Logo in blue with clear space area defined, top, bottom, left &amp; right">
          <a:extLst>
            <a:ext uri="{FF2B5EF4-FFF2-40B4-BE49-F238E27FC236}">
              <a16:creationId xmlns:a16="http://schemas.microsoft.com/office/drawing/2014/main" id="{E41996B2-1B68-C57D-7026-BD7150A15A36}"/>
            </a:ext>
          </a:extLst>
        </xdr:cNvPr>
        <xdr:cNvSpPr>
          <a:spLocks noChangeAspect="1" noChangeArrowheads="1"/>
        </xdr:cNvSpPr>
      </xdr:nvSpPr>
      <xdr:spPr bwMode="auto">
        <a:xfrm>
          <a:off x="3686175" y="1447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1412876</xdr:colOff>
      <xdr:row>0</xdr:row>
      <xdr:rowOff>63501</xdr:rowOff>
    </xdr:from>
    <xdr:to>
      <xdr:col>5</xdr:col>
      <xdr:colOff>12701</xdr:colOff>
      <xdr:row>0</xdr:row>
      <xdr:rowOff>465599</xdr:rowOff>
    </xdr:to>
    <xdr:pic>
      <xdr:nvPicPr>
        <xdr:cNvPr id="5" name="Picture 4">
          <a:extLst>
            <a:ext uri="{FF2B5EF4-FFF2-40B4-BE49-F238E27FC236}">
              <a16:creationId xmlns:a16="http://schemas.microsoft.com/office/drawing/2014/main" id="{BE967F19-3F04-11E8-41E6-11C996C6E9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84751" y="63501"/>
          <a:ext cx="2066925" cy="40209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9526</xdr:colOff>
      <xdr:row>0</xdr:row>
      <xdr:rowOff>28575</xdr:rowOff>
    </xdr:from>
    <xdr:to>
      <xdr:col>17</xdr:col>
      <xdr:colOff>685801</xdr:colOff>
      <xdr:row>9</xdr:row>
      <xdr:rowOff>85725</xdr:rowOff>
    </xdr:to>
    <xdr:sp macro="" textlink="">
      <xdr:nvSpPr>
        <xdr:cNvPr id="2" name="Down Arrow 1">
          <a:extLst>
            <a:ext uri="{FF2B5EF4-FFF2-40B4-BE49-F238E27FC236}">
              <a16:creationId xmlns:a16="http://schemas.microsoft.com/office/drawing/2014/main" id="{00000000-0008-0000-0300-000002000000}"/>
            </a:ext>
          </a:extLst>
        </xdr:cNvPr>
        <xdr:cNvSpPr/>
      </xdr:nvSpPr>
      <xdr:spPr>
        <a:xfrm>
          <a:off x="13430251" y="28575"/>
          <a:ext cx="5181600" cy="1619250"/>
        </a:xfrm>
        <a:prstGeom prst="downArrow">
          <a:avLst>
            <a:gd name="adj1" fmla="val 50000"/>
            <a:gd name="adj2" fmla="val 5448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Update limits as necessary.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B2D3577-5646-42C4-AEE7-DBEC206AF74A}" name="Table1" displayName="Table1" ref="C12:C74" totalsRowShown="0" headerRowDxfId="39" dataDxfId="38" tableBorderDxfId="37">
  <autoFilter ref="C12:C74" xr:uid="{EB2D3577-5646-42C4-AEE7-DBEC206AF74A}"/>
  <tableColumns count="1">
    <tableColumn id="1" xr3:uid="{51DCA5C9-4896-4308-ADA0-4135532AA80A}" name="AP Available" dataDxfId="36">
      <calculatedColumnFormula>IF('Contributions calculator'!$D$11="","",IF(C12&lt;('Contributions calculator'!$D$11-249),Codes!C12+250,""))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comments" Target="../comments1.xml"/><Relationship Id="rId4"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25"/>
  <sheetViews>
    <sheetView showGridLines="0" showRowColHeaders="0" tabSelected="1" zoomScaleNormal="100" workbookViewId="0">
      <selection activeCell="D5" sqref="D5"/>
    </sheetView>
  </sheetViews>
  <sheetFormatPr defaultColWidth="0" defaultRowHeight="15" zeroHeight="1" x14ac:dyDescent="0.3"/>
  <cols>
    <col min="1" max="1" width="8.5703125" customWidth="1"/>
    <col min="2" max="2" width="5.85546875" style="121" customWidth="1"/>
    <col min="3" max="3" width="54.42578125" style="122" customWidth="1"/>
    <col min="4" max="4" width="24" style="123" customWidth="1"/>
    <col min="5" max="5" width="6.85546875" style="123" customWidth="1"/>
    <col min="6" max="6" width="4.7109375" style="121" customWidth="1"/>
    <col min="7" max="7" width="7.5703125" style="124" customWidth="1"/>
    <col min="8" max="8" width="2.85546875" style="124" customWidth="1"/>
    <col min="9" max="9" width="6.5703125" style="7" customWidth="1"/>
    <col min="10" max="10" width="9.7109375" customWidth="1"/>
    <col min="11" max="11" width="10.7109375" customWidth="1"/>
    <col min="12" max="12" width="9.140625" customWidth="1"/>
    <col min="13" max="13" width="8.140625" hidden="1" customWidth="1"/>
    <col min="14" max="14" width="17.28515625" hidden="1" customWidth="1"/>
    <col min="15" max="15" width="5.85546875" hidden="1" customWidth="1"/>
    <col min="16" max="16" width="17.42578125" hidden="1" customWidth="1"/>
    <col min="17" max="17" width="5.85546875" hidden="1" customWidth="1"/>
    <col min="18" max="18" width="20.85546875" hidden="1" customWidth="1"/>
    <col min="19" max="19" width="5" hidden="1" customWidth="1"/>
    <col min="20" max="20" width="2.85546875" hidden="1" customWidth="1"/>
    <col min="21" max="16384" width="9.140625" hidden="1"/>
  </cols>
  <sheetData>
    <row r="1" spans="2:10" ht="6.75" customHeight="1" thickBot="1" x14ac:dyDescent="0.35"/>
    <row r="2" spans="2:10" ht="40.5" customHeight="1" x14ac:dyDescent="0.2">
      <c r="B2" s="195"/>
      <c r="C2" s="206"/>
      <c r="D2" s="206"/>
      <c r="E2" s="206"/>
      <c r="F2" s="206"/>
      <c r="G2" s="206"/>
      <c r="H2" s="194"/>
    </row>
    <row r="3" spans="2:10" ht="24.75" thickBot="1" x14ac:dyDescent="0.25">
      <c r="B3" s="207" t="s">
        <v>115</v>
      </c>
      <c r="C3" s="208"/>
      <c r="D3" s="208"/>
      <c r="E3" s="208"/>
      <c r="F3" s="208"/>
      <c r="G3" s="208"/>
      <c r="H3" s="209"/>
    </row>
    <row r="4" spans="2:10" ht="15" customHeight="1" x14ac:dyDescent="0.3">
      <c r="B4" s="125"/>
      <c r="C4" s="126" t="s">
        <v>4</v>
      </c>
      <c r="D4" s="127"/>
      <c r="E4" s="128"/>
      <c r="F4" s="128"/>
      <c r="G4" s="129"/>
      <c r="H4" s="130"/>
    </row>
    <row r="5" spans="2:10" ht="15" customHeight="1" x14ac:dyDescent="0.3">
      <c r="B5" s="125"/>
      <c r="C5" s="129" t="s">
        <v>93</v>
      </c>
      <c r="D5" s="134"/>
      <c r="E5" s="131" t="s">
        <v>87</v>
      </c>
      <c r="F5" s="128"/>
      <c r="G5" s="129"/>
      <c r="H5" s="130"/>
      <c r="I5" s="7" t="str">
        <f ca="1">IF(I6="Election must start before normal pension age","Error","")</f>
        <v/>
      </c>
    </row>
    <row r="6" spans="2:10" ht="15" customHeight="1" x14ac:dyDescent="0.2">
      <c r="B6" s="132"/>
      <c r="C6" s="133" t="s">
        <v>94</v>
      </c>
      <c r="D6" s="134"/>
      <c r="E6" s="135"/>
      <c r="F6" s="135"/>
      <c r="G6" s="136"/>
      <c r="H6" s="137"/>
      <c r="I6" s="7" t="str">
        <f ca="1">IF(OR(D9=""),"",IF(D8&gt;=Codes!E8,"Election must start before normal pension age",""))</f>
        <v/>
      </c>
    </row>
    <row r="7" spans="2:10" ht="15" customHeight="1" x14ac:dyDescent="0.2">
      <c r="B7" s="132"/>
      <c r="C7" s="138" t="s">
        <v>144</v>
      </c>
      <c r="D7" s="139">
        <f ca="1">VLOOKUP(D5,'State pension age'!B4:E50,3,TRUE)</f>
        <v>65</v>
      </c>
      <c r="E7" s="138" t="str">
        <f ca="1">IF(OR(D7="",D7=0),"","Years")</f>
        <v>Years</v>
      </c>
      <c r="F7" s="139">
        <f ca="1">VLOOKUP(D5,'State pension age'!B4:E50,4,TRUE)</f>
        <v>0</v>
      </c>
      <c r="G7" s="138" t="s">
        <v>6</v>
      </c>
      <c r="H7" s="140"/>
    </row>
    <row r="8" spans="2:10" ht="15" hidden="1" customHeight="1" x14ac:dyDescent="0.2">
      <c r="B8" s="132"/>
      <c r="C8" s="133" t="s">
        <v>92</v>
      </c>
      <c r="D8" s="141" t="str">
        <f>IF(OR(D5="",D6=""),"",ROUNDDOWN((D6-D5+1)/365.25,0))</f>
        <v/>
      </c>
      <c r="E8" s="138" t="str">
        <f>IF(OR(D8="",D8=0),"","Years")</f>
        <v/>
      </c>
      <c r="F8" s="139"/>
      <c r="G8" s="138"/>
      <c r="H8" s="140"/>
      <c r="I8" s="7" t="str">
        <f>IF(D8&lt;16,"Error","")</f>
        <v/>
      </c>
      <c r="J8" s="5"/>
    </row>
    <row r="9" spans="2:10" ht="15" hidden="1" customHeight="1" x14ac:dyDescent="0.2">
      <c r="B9" s="132"/>
      <c r="C9" s="142" t="s">
        <v>146</v>
      </c>
      <c r="D9" s="143" t="str">
        <f ca="1">IF(OR(E7="",D8=""),"",Codes!E8-D8)</f>
        <v/>
      </c>
      <c r="E9" s="133" t="str">
        <f ca="1">IF(D7="","",IF(D8="","","Years"))</f>
        <v/>
      </c>
      <c r="F9" s="139"/>
      <c r="G9" s="138"/>
      <c r="H9" s="140"/>
    </row>
    <row r="10" spans="2:10" ht="15" customHeight="1" x14ac:dyDescent="0.3">
      <c r="B10" s="125"/>
      <c r="C10" s="144" t="s">
        <v>61</v>
      </c>
      <c r="D10" s="145"/>
      <c r="E10" s="145"/>
      <c r="F10" s="128"/>
      <c r="G10" s="129"/>
      <c r="H10" s="130"/>
    </row>
    <row r="11" spans="2:10" ht="15" customHeight="1" x14ac:dyDescent="0.3">
      <c r="B11" s="125"/>
      <c r="C11" s="129" t="s">
        <v>91</v>
      </c>
      <c r="D11" s="146">
        <f>Codes!P14</f>
        <v>8900</v>
      </c>
      <c r="E11" s="147"/>
      <c r="F11" s="128"/>
      <c r="G11" s="129"/>
      <c r="H11" s="130"/>
    </row>
    <row r="12" spans="2:10" ht="15" customHeight="1" x14ac:dyDescent="0.3">
      <c r="B12" s="125"/>
      <c r="C12" s="148" t="s">
        <v>89</v>
      </c>
      <c r="D12" s="149"/>
      <c r="E12" s="128"/>
      <c r="F12" s="128"/>
      <c r="G12" s="129"/>
      <c r="H12" s="130"/>
      <c r="I12" s="7" t="str">
        <f>IF(D12&gt;D11, "Error","")</f>
        <v/>
      </c>
    </row>
    <row r="13" spans="2:10" ht="15" customHeight="1" x14ac:dyDescent="0.3">
      <c r="B13" s="125"/>
      <c r="C13" s="148" t="s">
        <v>95</v>
      </c>
      <c r="D13" s="150"/>
      <c r="E13" s="128"/>
      <c r="F13" s="128"/>
      <c r="G13" s="129"/>
      <c r="H13" s="130"/>
      <c r="I13" s="7" t="str">
        <f ca="1">IF(D13=Codes!C2,"",IF(D9=1,"Payment can only be made by lump sum",""))</f>
        <v/>
      </c>
    </row>
    <row r="14" spans="2:10" ht="15" customHeight="1" x14ac:dyDescent="0.3">
      <c r="B14" s="125"/>
      <c r="C14" s="148" t="str">
        <f>IF(D13="Regular contributions","Regular payments over how many years?","")</f>
        <v/>
      </c>
      <c r="D14" s="151"/>
      <c r="E14" s="128"/>
      <c r="F14" s="128"/>
      <c r="G14" s="129"/>
      <c r="H14" s="130"/>
    </row>
    <row r="15" spans="2:10" ht="15" customHeight="1" x14ac:dyDescent="0.3">
      <c r="B15" s="125"/>
      <c r="C15" s="148" t="s">
        <v>90</v>
      </c>
      <c r="D15" s="152"/>
      <c r="E15" s="128"/>
      <c r="F15" s="128"/>
      <c r="G15" s="129"/>
      <c r="H15" s="130"/>
      <c r="I15" s="7" t="str">
        <f ca="1">IF(D9&lt;2,"",IF(I14="Error","Payments can be made over a maximum of "&amp;D9-1&amp;" years",""))</f>
        <v/>
      </c>
    </row>
    <row r="16" spans="2:10" ht="15" customHeight="1" thickBot="1" x14ac:dyDescent="0.35">
      <c r="B16" s="153"/>
      <c r="C16" s="154"/>
      <c r="D16" s="155"/>
      <c r="E16" s="156"/>
      <c r="F16" s="156"/>
      <c r="G16" s="157"/>
      <c r="H16" s="158"/>
    </row>
    <row r="17" spans="2:9" ht="13.5" customHeight="1" thickBot="1" x14ac:dyDescent="0.35">
      <c r="B17" s="122"/>
      <c r="D17" s="122"/>
      <c r="E17" s="122"/>
      <c r="F17" s="122"/>
      <c r="G17" s="122"/>
      <c r="H17" s="122"/>
      <c r="I17"/>
    </row>
    <row r="18" spans="2:9" ht="21.75" x14ac:dyDescent="0.35">
      <c r="B18" s="159"/>
      <c r="C18" s="160" t="s">
        <v>62</v>
      </c>
      <c r="D18" s="161"/>
      <c r="E18" s="162"/>
      <c r="F18" s="163"/>
      <c r="G18" s="164"/>
      <c r="H18" s="165"/>
    </row>
    <row r="19" spans="2:9" s="120" customFormat="1" ht="23.25" customHeight="1" x14ac:dyDescent="0.3">
      <c r="B19" s="210" t="str">
        <f ca="1">IF($D$13=Codes!$C$2,"A lump sum payment of:-",IF($D$13=Codes!$C$3,"Monthly payment amount:-",""))</f>
        <v/>
      </c>
      <c r="C19" s="211"/>
      <c r="D19" s="180" t="str">
        <f ca="1">IF(ISERROR(Codes!J20),"",IF(OR($D$12="",Codes!J20="",$I$12="Error",$I$8="Error"),"",($D$12/250)*Codes!J20))</f>
        <v/>
      </c>
      <c r="E19" s="166"/>
      <c r="F19" s="167"/>
      <c r="G19" s="168"/>
      <c r="H19" s="169"/>
      <c r="I19" s="7"/>
    </row>
    <row r="20" spans="2:9" s="120" customFormat="1" ht="23.25" customHeight="1" x14ac:dyDescent="0.35">
      <c r="B20" s="210" t="str">
        <f>IF(D13="Regular contributions","Annual payment amount:-","")</f>
        <v/>
      </c>
      <c r="C20" s="211"/>
      <c r="D20" s="180" t="str">
        <f ca="1">IF(OR(D13="",D13="Lump sum",D12="",D14="",D15="",ISERROR(Codes!J20)),"",IF(D13="Regular contributions",D19*12,""))</f>
        <v/>
      </c>
      <c r="E20" s="170"/>
      <c r="F20" s="171"/>
      <c r="G20" s="172"/>
      <c r="H20" s="173"/>
      <c r="I20" s="7"/>
    </row>
    <row r="21" spans="2:9" s="120" customFormat="1" ht="23.25" customHeight="1" thickBot="1" x14ac:dyDescent="0.4">
      <c r="B21" s="212" t="str">
        <f>IF(D13="Regular contributions","Total amount payable over selected period:-","")</f>
        <v/>
      </c>
      <c r="C21" s="213"/>
      <c r="D21" s="181" t="str">
        <f ca="1">IF(OR(D13="",D13="Lump sum",D14="",D15="",D12="",ISERROR(Codes!J20)),"",IF(D13="Regular contributions",D20*D14,""))</f>
        <v/>
      </c>
      <c r="E21" s="174"/>
      <c r="F21" s="175"/>
      <c r="G21" s="176"/>
      <c r="H21" s="177"/>
    </row>
    <row r="22" spans="2:9" s="120" customFormat="1" ht="18" x14ac:dyDescent="0.35">
      <c r="B22" s="178"/>
      <c r="C22" s="179"/>
      <c r="D22" s="178"/>
      <c r="E22" s="178"/>
      <c r="F22" s="178"/>
      <c r="G22" s="178"/>
      <c r="H22" s="178"/>
    </row>
    <row r="23" spans="2:9" ht="12.75" customHeight="1" x14ac:dyDescent="0.3"/>
    <row r="24" spans="2:9" x14ac:dyDescent="0.3"/>
    <row r="25" spans="2:9" x14ac:dyDescent="0.3"/>
  </sheetData>
  <sheetProtection algorithmName="SHA-512" hashValue="z4OQeDE4/2E6QeeRKdORZ56bQnBDhZQScrenlWnle0k4dRCWl1iZ3wt5m+AK8vcHcqQWnnSxME1PRAVXWDDxEA==" saltValue="kilY93Hs7KZgZ2jnWhzwDg==" spinCount="100000" sheet="1" formatRows="0" insertRows="0" selectLockedCells="1"/>
  <mergeCells count="5">
    <mergeCell ref="C2:G2"/>
    <mergeCell ref="B3:H3"/>
    <mergeCell ref="B20:C20"/>
    <mergeCell ref="B21:C21"/>
    <mergeCell ref="B19:C19"/>
  </mergeCells>
  <conditionalFormatting sqref="D5:D6">
    <cfRule type="expression" dxfId="35" priority="151" stopIfTrue="1">
      <formula>OR($I$8="Error",$I$6&lt;&gt;"")</formula>
    </cfRule>
  </conditionalFormatting>
  <conditionalFormatting sqref="D12">
    <cfRule type="expression" dxfId="34" priority="16" stopIfTrue="1">
      <formula>$I$12="Error"</formula>
    </cfRule>
  </conditionalFormatting>
  <conditionalFormatting sqref="D14">
    <cfRule type="expression" dxfId="33" priority="145" stopIfTrue="1">
      <formula>OR($D$13="",$D$13="Lump Sum",$D$9=1)</formula>
    </cfRule>
  </conditionalFormatting>
  <conditionalFormatting sqref="D7:E7 E8">
    <cfRule type="expression" dxfId="32" priority="20" stopIfTrue="1">
      <formula>$D$5=""</formula>
    </cfRule>
  </conditionalFormatting>
  <conditionalFormatting sqref="F7:G7">
    <cfRule type="expression" dxfId="31" priority="69" stopIfTrue="1">
      <formula>OR($F$7="",$F$7=0,$D$7=68)</formula>
    </cfRule>
  </conditionalFormatting>
  <conditionalFormatting sqref="I5 I12">
    <cfRule type="expression" dxfId="30" priority="17" stopIfTrue="1">
      <formula>$I5="Error"</formula>
    </cfRule>
  </conditionalFormatting>
  <conditionalFormatting sqref="I8">
    <cfRule type="expression" dxfId="29" priority="6" stopIfTrue="1">
      <formula>$I8="Error"</formula>
    </cfRule>
  </conditionalFormatting>
  <conditionalFormatting sqref="I14">
    <cfRule type="expression" dxfId="28" priority="13" stopIfTrue="1">
      <formula>$I14="Error"</formula>
    </cfRule>
  </conditionalFormatting>
  <dataValidations count="5">
    <dataValidation type="list" allowBlank="1" showInputMessage="1" showErrorMessage="1" sqref="D13" xr:uid="{00000000-0002-0000-0000-000000000000}">
      <formula1>Payment_type</formula1>
    </dataValidation>
    <dataValidation type="list" allowBlank="1" showInputMessage="1" showErrorMessage="1" sqref="D15" xr:uid="{00000000-0002-0000-0000-000001000000}">
      <formula1>Form_of_AP</formula1>
    </dataValidation>
    <dataValidation type="date" allowBlank="1" showInputMessage="1" showErrorMessage="1" error="This DOB is outwith the age range for scheme membership" sqref="D5" xr:uid="{00000000-0002-0000-0000-000002000000}">
      <formula1>Oldest_allowed</formula1>
      <formula2>Youngest_allowed</formula2>
    </dataValidation>
    <dataValidation type="list" showInputMessage="1" showErrorMessage="1" sqref="D12" xr:uid="{00000000-0002-0000-0000-000003000000}">
      <formula1>AP_Available</formula1>
    </dataValidation>
    <dataValidation type="list" allowBlank="1" showInputMessage="1" showErrorMessage="1" sqref="D14" xr:uid="{00000000-0002-0000-0000-000004000000}">
      <formula1>Contribution_period</formula1>
    </dataValidation>
  </dataValidations>
  <pageMargins left="0.7" right="0.7" top="0.75" bottom="0.75" header="0.3" footer="0.3"/>
  <pageSetup paperSize="9" scale="81" orientation="portrait" r:id="rId1"/>
  <colBreaks count="1" manualBreakCount="1">
    <brk id="8" max="1048575" man="1"/>
  </colBreaks>
  <drawing r:id="rId2"/>
  <extLst>
    <ext xmlns:x14="http://schemas.microsoft.com/office/spreadsheetml/2009/9/main" uri="{CCE6A557-97BC-4b89-ADB6-D9C93CAAB3DF}">
      <x14:dataValidations xmlns:xm="http://schemas.microsoft.com/office/excel/2006/main" count="1">
        <x14:dataValidation type="date" operator="greaterThanOrEqual" allowBlank="1" showInputMessage="1" showErrorMessage="1" error="This DOB is outwith the age range for scheme membership" xr:uid="{35368DED-3933-40F5-B3A0-E3DB1A5C7CB1}">
          <x14:formula1>
            <xm:f>Codes!A2</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dimension ref="A1:F40"/>
  <sheetViews>
    <sheetView showGridLines="0" topLeftCell="A4" zoomScaleNormal="100" workbookViewId="0">
      <selection activeCell="B3" sqref="B3:B5"/>
    </sheetView>
  </sheetViews>
  <sheetFormatPr defaultColWidth="0" defaultRowHeight="15" zeroHeight="1" x14ac:dyDescent="0.3"/>
  <cols>
    <col min="1" max="1" width="9.140625" style="122" customWidth="1"/>
    <col min="2" max="2" width="119.85546875" style="122" customWidth="1"/>
    <col min="3" max="3" width="9.140625" style="122" customWidth="1"/>
    <col min="4" max="16384" width="9.140625" style="122" hidden="1"/>
  </cols>
  <sheetData>
    <row r="1" spans="2:6" ht="15.75" thickBot="1" x14ac:dyDescent="0.35"/>
    <row r="2" spans="2:6" ht="23.25" customHeight="1" thickTop="1" x14ac:dyDescent="0.3">
      <c r="B2" s="198" t="s">
        <v>98</v>
      </c>
    </row>
    <row r="3" spans="2:6" ht="98.25" customHeight="1" x14ac:dyDescent="0.3">
      <c r="B3" s="199" t="s">
        <v>160</v>
      </c>
      <c r="D3" s="200"/>
      <c r="E3" s="200"/>
      <c r="F3" s="200"/>
    </row>
    <row r="4" spans="2:6" ht="409.5" customHeight="1" x14ac:dyDescent="0.3">
      <c r="B4" s="214" t="s">
        <v>161</v>
      </c>
    </row>
    <row r="5" spans="2:6" ht="80.25" customHeight="1" x14ac:dyDescent="0.3">
      <c r="B5" s="215"/>
    </row>
    <row r="6" spans="2:6" ht="66.75" customHeight="1" thickBot="1" x14ac:dyDescent="0.35">
      <c r="B6" s="201" t="s">
        <v>97</v>
      </c>
    </row>
    <row r="7" spans="2:6" ht="18.75" customHeight="1" thickTop="1" x14ac:dyDescent="0.3"/>
    <row r="40" spans="6:6" hidden="1" x14ac:dyDescent="0.3">
      <c r="F40" s="122" t="s">
        <v>96</v>
      </c>
    </row>
  </sheetData>
  <sheetProtection selectLockedCells="1" selectUnlockedCells="1"/>
  <mergeCells count="1">
    <mergeCell ref="B4:B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E8305-5F25-4C4F-A230-16F770EF2B37}">
  <sheetPr codeName="Sheet10"/>
  <dimension ref="A1:F35"/>
  <sheetViews>
    <sheetView showGridLines="0" showRowColHeaders="0" topLeftCell="A21" zoomScaleNormal="100" workbookViewId="0">
      <selection activeCell="D27" sqref="D27"/>
      <extLst>
        <ext xmlns:xlsdti="http://schemas.microsoft.com/office/spreadsheetml/2023/showDataTypeIcons" uri="{77bfe23e-c014-4d31-8a63-9c772dbf06b6}">
          <xlsdti:showDataTypeIcons visible="0"/>
        </ext>
      </extLst>
    </sheetView>
  </sheetViews>
  <sheetFormatPr defaultColWidth="0" defaultRowHeight="15" zeroHeight="1" x14ac:dyDescent="0.3"/>
  <cols>
    <col min="1" max="1" width="1.28515625" style="122" customWidth="1"/>
    <col min="2" max="2" width="35.140625" style="122" customWidth="1"/>
    <col min="3" max="3" width="17.140625" style="124" customWidth="1"/>
    <col min="4" max="4" width="47" style="122" customWidth="1"/>
    <col min="5" max="5" width="5" style="122" customWidth="1"/>
    <col min="6" max="6" width="1.140625" style="122" customWidth="1"/>
    <col min="7" max="16384" width="9.140625" style="122" hidden="1"/>
  </cols>
  <sheetData>
    <row r="1" spans="2:5" ht="41.25" customHeight="1" x14ac:dyDescent="0.3"/>
    <row r="2" spans="2:5" ht="24" x14ac:dyDescent="0.45">
      <c r="B2" s="196" t="s">
        <v>147</v>
      </c>
      <c r="C2" s="197"/>
      <c r="D2" s="197"/>
      <c r="E2" s="197"/>
    </row>
    <row r="3" spans="2:5" ht="5.25" customHeight="1" x14ac:dyDescent="0.35">
      <c r="B3" s="182"/>
      <c r="C3" s="183"/>
    </row>
    <row r="4" spans="2:5" ht="18" x14ac:dyDescent="0.35">
      <c r="B4" s="185" t="s">
        <v>148</v>
      </c>
      <c r="C4" s="183"/>
    </row>
    <row r="5" spans="2:5" ht="18" customHeight="1" x14ac:dyDescent="0.35">
      <c r="B5" s="182" t="s">
        <v>88</v>
      </c>
      <c r="C5" s="187" t="str">
        <f>IF('Contributions calculator'!D5="","",'Contributions calculator'!D5)</f>
        <v/>
      </c>
      <c r="D5" s="178"/>
    </row>
    <row r="6" spans="2:5" ht="18" customHeight="1" x14ac:dyDescent="0.35">
      <c r="B6" s="182" t="s">
        <v>149</v>
      </c>
      <c r="C6" s="183" t="str">
        <f>IF('Contributions calculator'!D5="","",'Contributions calculator'!D7&amp;" years "&amp;'Contributions calculator'!F7&amp;" months")</f>
        <v/>
      </c>
      <c r="D6" s="182"/>
      <c r="E6" s="182"/>
    </row>
    <row r="7" spans="2:5" ht="18" customHeight="1" x14ac:dyDescent="0.35">
      <c r="B7" s="182" t="s">
        <v>150</v>
      </c>
      <c r="C7" s="187" t="str">
        <f>IF('Contributions calculator'!D6="","",'Contributions calculator'!D6)</f>
        <v/>
      </c>
      <c r="D7" s="178"/>
    </row>
    <row r="8" spans="2:5" ht="18" customHeight="1" x14ac:dyDescent="0.35">
      <c r="B8" s="182" t="s">
        <v>151</v>
      </c>
      <c r="C8" s="184" t="str">
        <f>IF('Contributions calculator'!D8="","",'Contributions calculator'!D8&amp;" years")</f>
        <v/>
      </c>
      <c r="D8"/>
    </row>
    <row r="9" spans="2:5" ht="6" customHeight="1" x14ac:dyDescent="0.35">
      <c r="B9" s="182"/>
      <c r="C9" s="183"/>
    </row>
    <row r="10" spans="2:5" ht="18" x14ac:dyDescent="0.35">
      <c r="B10" s="185" t="s">
        <v>152</v>
      </c>
      <c r="C10" s="183"/>
    </row>
    <row r="11" spans="2:5" ht="18" x14ac:dyDescent="0.35">
      <c r="B11" s="182" t="s">
        <v>153</v>
      </c>
      <c r="C11" s="183" t="str">
        <f>IF('Contributions calculator'!D12="","","£"&amp;'Contributions calculator'!D12&amp;" per year")</f>
        <v/>
      </c>
    </row>
    <row r="12" spans="2:5" ht="18" x14ac:dyDescent="0.35">
      <c r="B12" s="182" t="s">
        <v>154</v>
      </c>
      <c r="C12" s="188" t="str">
        <f>IF('Contributions calculator'!D13="","",'Contributions calculator'!D13)</f>
        <v/>
      </c>
    </row>
    <row r="13" spans="2:5" ht="18" x14ac:dyDescent="0.35">
      <c r="B13" s="182" t="s">
        <v>155</v>
      </c>
      <c r="C13" s="183" t="str">
        <f>IF('Contributions calculator'!D14="","",'Contributions calculator'!D14&amp;" years")</f>
        <v/>
      </c>
    </row>
    <row r="14" spans="2:5" ht="18" x14ac:dyDescent="0.35">
      <c r="B14" s="182" t="s">
        <v>156</v>
      </c>
      <c r="C14" s="183" t="str">
        <f>IF('Contributions calculator'!D15="","",'Contributions calculator'!D15)</f>
        <v/>
      </c>
    </row>
    <row r="15" spans="2:5" ht="6" customHeight="1" x14ac:dyDescent="0.35">
      <c r="B15" s="182"/>
      <c r="C15" s="183"/>
    </row>
    <row r="16" spans="2:5" ht="18.75" thickBot="1" x14ac:dyDescent="0.4">
      <c r="B16" s="185" t="s">
        <v>157</v>
      </c>
      <c r="C16" s="183"/>
    </row>
    <row r="17" spans="2:5" ht="22.5" thickBot="1" x14ac:dyDescent="0.45">
      <c r="B17" s="189" t="s">
        <v>159</v>
      </c>
      <c r="C17" s="190" t="str">
        <f ca="1">IF('Contributions calculator'!D13=Codes!C2,"A lump sum payment of £"&amp;'Contributions calculator'!D19,IF('Contributions calculator'!D13=Codes!C3,"£"&amp;'Contributions calculator'!D19&amp;" per month payable for "&amp;'Contributions calculator'!D14&amp;" years",""))</f>
        <v/>
      </c>
      <c r="D17" s="191"/>
      <c r="E17" s="192"/>
    </row>
    <row r="18" spans="2:5" ht="18" x14ac:dyDescent="0.35">
      <c r="B18" s="182" t="str">
        <f ca="1">IF('Contributions calculator'!D13=Codes!C3,"Total payable:","")</f>
        <v/>
      </c>
      <c r="C18" s="193" t="str">
        <f ca="1">'Contributions calculator'!D21</f>
        <v/>
      </c>
    </row>
    <row r="19" spans="2:5" ht="18" x14ac:dyDescent="0.35">
      <c r="B19" s="182" t="s">
        <v>158</v>
      </c>
      <c r="C19" s="187">
        <f ca="1">TODAY()</f>
        <v>46294</v>
      </c>
    </row>
    <row r="20" spans="2:5" ht="18" x14ac:dyDescent="0.35">
      <c r="B20" s="182"/>
      <c r="C20" s="183"/>
    </row>
    <row r="21" spans="2:5" ht="306" customHeight="1" x14ac:dyDescent="0.3">
      <c r="B21" s="217" t="s">
        <v>162</v>
      </c>
      <c r="C21" s="217"/>
      <c r="D21" s="217"/>
      <c r="E21" s="217"/>
    </row>
    <row r="22" spans="2:5" ht="7.5" customHeight="1" x14ac:dyDescent="0.3">
      <c r="B22" s="205"/>
      <c r="C22" s="205"/>
      <c r="D22" s="205"/>
      <c r="E22" s="205"/>
    </row>
    <row r="23" spans="2:5" ht="149.25" customHeight="1" x14ac:dyDescent="0.3">
      <c r="B23" s="217" t="s">
        <v>164</v>
      </c>
      <c r="C23" s="217"/>
      <c r="D23" s="217"/>
      <c r="E23" s="217"/>
    </row>
    <row r="24" spans="2:5" ht="6.75" customHeight="1" x14ac:dyDescent="0.3">
      <c r="B24" s="202"/>
      <c r="C24" s="202"/>
      <c r="D24" s="202"/>
      <c r="E24" s="202"/>
    </row>
    <row r="25" spans="2:5" ht="56.25" customHeight="1" x14ac:dyDescent="0.3">
      <c r="B25" s="216" t="s">
        <v>97</v>
      </c>
      <c r="C25" s="216"/>
      <c r="D25" s="203"/>
      <c r="E25" s="204"/>
    </row>
    <row r="26" spans="2:5" ht="18" x14ac:dyDescent="0.35">
      <c r="B26" s="186"/>
      <c r="C26" s="183"/>
    </row>
    <row r="27" spans="2:5" ht="18" x14ac:dyDescent="0.35">
      <c r="B27" s="186"/>
      <c r="C27" s="183"/>
      <c r="D27" s="228" t="s">
        <v>163</v>
      </c>
    </row>
    <row r="28" spans="2:5" ht="18" x14ac:dyDescent="0.35">
      <c r="B28" s="186"/>
      <c r="C28" s="183"/>
    </row>
    <row r="29" spans="2:5" ht="18" hidden="1" x14ac:dyDescent="0.35">
      <c r="B29" s="186"/>
      <c r="C29" s="183"/>
    </row>
    <row r="30" spans="2:5" ht="18" hidden="1" x14ac:dyDescent="0.35">
      <c r="B30" s="186"/>
      <c r="C30" s="183"/>
    </row>
    <row r="31" spans="2:5" ht="18" hidden="1" x14ac:dyDescent="0.35">
      <c r="B31" s="186"/>
      <c r="C31" s="183"/>
    </row>
    <row r="32" spans="2:5" ht="18" hidden="1" x14ac:dyDescent="0.35">
      <c r="B32" s="186"/>
      <c r="C32" s="183"/>
    </row>
    <row r="33" spans="2:3" ht="18" hidden="1" x14ac:dyDescent="0.35">
      <c r="B33" s="186"/>
      <c r="C33" s="183"/>
    </row>
    <row r="34" spans="2:3" x14ac:dyDescent="0.3"/>
    <row r="35" spans="2:3" x14ac:dyDescent="0.3"/>
  </sheetData>
  <sheetProtection algorithmName="SHA-512" hashValue="k4pir+y4pL58iW/IFVbOZ8B59p7KyQvx+wW9iwXy5BKzYOxLNa8/jEWwAdXOaa1FswXiJrQg0TUyWwkQTtVS2w==" saltValue="jYSrfgGDU27b4WYWzSIsgQ==" spinCount="100000" sheet="1" objects="1" scenarios="1" formatColumns="0" formatRows="0"/>
  <mergeCells count="3">
    <mergeCell ref="B25:C25"/>
    <mergeCell ref="B21:E21"/>
    <mergeCell ref="B23:E23"/>
  </mergeCells>
  <hyperlinks>
    <hyperlink ref="D27" location="'Contributions calculator'!A1" display="Return to Calculator" xr:uid="{355FA852-6C4E-4983-9D40-38B21A2440CC}"/>
  </hyperlinks>
  <pageMargins left="0.7" right="0.7" top="0.75" bottom="0.75" header="0.3" footer="0.3"/>
  <pageSetup paperSize="9" scale="83" orientation="portrait" r:id="rId1"/>
  <headerFooter>
    <oddFooter>&amp;RPage &amp;P of &amp;N</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 id="{1F9EDCFC-3E75-482A-A494-7F3FCC713A0A}">
            <xm:f>'Contributions calculator'!$D$13="Lump Sum"</xm:f>
            <x14:dxf>
              <font>
                <color theme="0"/>
              </font>
            </x14:dxf>
          </x14:cfRule>
          <xm:sqref>B13:C13</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S1485"/>
  <sheetViews>
    <sheetView workbookViewId="0">
      <selection activeCell="J20" sqref="J20"/>
    </sheetView>
  </sheetViews>
  <sheetFormatPr defaultRowHeight="12.75" x14ac:dyDescent="0.2"/>
  <cols>
    <col min="1" max="1" width="13.85546875" style="22" customWidth="1"/>
    <col min="2" max="2" width="15.42578125" style="5" customWidth="1"/>
    <col min="3" max="3" width="19.85546875" style="5" customWidth="1"/>
    <col min="4" max="4" width="23.140625" style="5" customWidth="1"/>
    <col min="5" max="5" width="16.7109375" style="5" bestFit="1" customWidth="1"/>
    <col min="6" max="6" width="16.7109375" style="5" customWidth="1"/>
    <col min="7" max="7" width="8.7109375" style="5" customWidth="1"/>
    <col min="8" max="8" width="11.140625" style="5" customWidth="1"/>
    <col min="9" max="9" width="61.140625" style="5" bestFit="1" customWidth="1"/>
    <col min="10" max="10" width="13.140625" style="5" bestFit="1" customWidth="1"/>
    <col min="11" max="11" width="2.42578125" style="5" customWidth="1"/>
    <col min="12" max="12" width="3.7109375" customWidth="1"/>
    <col min="13" max="13" width="17.85546875" customWidth="1"/>
    <col min="15" max="15" width="18" customWidth="1"/>
    <col min="16" max="16" width="18.5703125" customWidth="1"/>
    <col min="17" max="17" width="4" customWidth="1"/>
    <col min="18" max="18" width="20.85546875" bestFit="1" customWidth="1"/>
    <col min="19" max="19" width="18" bestFit="1" customWidth="1"/>
  </cols>
  <sheetData>
    <row r="1" spans="1:19" s="1" customFormat="1" ht="17.25" thickTop="1" thickBot="1" x14ac:dyDescent="0.3">
      <c r="A1" s="69" t="s">
        <v>145</v>
      </c>
      <c r="B1" s="69" t="s">
        <v>7</v>
      </c>
      <c r="C1" s="69" t="s">
        <v>26</v>
      </c>
      <c r="D1" s="69" t="s">
        <v>16</v>
      </c>
      <c r="E1" s="69" t="s">
        <v>84</v>
      </c>
      <c r="F1" s="82" t="s">
        <v>82</v>
      </c>
      <c r="G1" s="6"/>
      <c r="H1" s="34"/>
      <c r="I1" s="36" t="s">
        <v>56</v>
      </c>
      <c r="J1" s="35"/>
      <c r="K1" s="2"/>
      <c r="L1"/>
      <c r="M1"/>
      <c r="N1"/>
      <c r="O1"/>
      <c r="P1"/>
      <c r="Q1"/>
      <c r="R1"/>
      <c r="S1"/>
    </row>
    <row r="2" spans="1:19" x14ac:dyDescent="0.2">
      <c r="B2" s="3">
        <f ca="1">TODAY()-365.25*85</f>
        <v>15247.75</v>
      </c>
      <c r="C2" s="65" t="s">
        <v>42</v>
      </c>
      <c r="D2" s="78" t="s">
        <v>15</v>
      </c>
      <c r="E2" s="65">
        <v>60</v>
      </c>
      <c r="F2" s="5" t="str">
        <f ca="1">IF('Contributions calculator'!E5=60,"APS60",IF('Contributions calculator'!E5=65,"APS65",IF('Contributions calculator'!E5="SPA","APS"&amp;'Contributions calculator'!D7,"")))</f>
        <v>APS65</v>
      </c>
      <c r="G2" s="6"/>
      <c r="H2" s="23" t="s">
        <v>105</v>
      </c>
      <c r="I2" s="29" t="s">
        <v>110</v>
      </c>
      <c r="J2" s="24" t="str">
        <f>IF('Contributions calculator'!D15=Codes!D2,VLOOKUP('Contributions calculator'!D8,'Lump Sum'!B9:D60,2,FALSE),IF('Contributions calculator'!D15=Codes!D3,VLOOKUP('Contributions calculator'!D8,'Lump Sum'!B9:D60,3,FALSE),""))</f>
        <v/>
      </c>
      <c r="K2" s="3"/>
    </row>
    <row r="3" spans="1:19" ht="13.5" thickBot="1" x14ac:dyDescent="0.25">
      <c r="A3" s="118">
        <v>46235</v>
      </c>
      <c r="B3" s="3">
        <f ca="1">TODAY()-365.25*18</f>
        <v>39719.5</v>
      </c>
      <c r="C3" s="67" t="str">
        <f ca="1">IF(OR('Contributions calculator'!D9=0,'Contributions calculator'!D9=1),"","Regular contributions")</f>
        <v>Regular contributions</v>
      </c>
      <c r="D3" s="79" t="s">
        <v>17</v>
      </c>
      <c r="E3" s="66">
        <v>65</v>
      </c>
      <c r="G3" s="6"/>
      <c r="H3" s="23" t="s">
        <v>106</v>
      </c>
      <c r="I3" s="29" t="s">
        <v>111</v>
      </c>
      <c r="J3" s="24" t="str">
        <f>IF('Contributions calculator'!D15=Codes!D2,VLOOKUP('Contributions calculator'!D8,'Lump Sum'!F9:H60,2,FALSE),IF('Contributions calculator'!D15=Codes!D3,VLOOKUP('Contributions calculator'!D8,'Lump Sum'!F9:H60,3,FALSE),""))</f>
        <v/>
      </c>
      <c r="K3" s="3"/>
    </row>
    <row r="4" spans="1:19" ht="13.5" thickBot="1" x14ac:dyDescent="0.25">
      <c r="C4" s="4"/>
      <c r="E4" s="67" t="s">
        <v>77</v>
      </c>
      <c r="H4" s="23" t="s">
        <v>107</v>
      </c>
      <c r="I4" s="29" t="s">
        <v>112</v>
      </c>
      <c r="J4" s="24" t="str">
        <f>IF('Contributions calculator'!D15=Codes!D2,VLOOKUP('Contributions calculator'!D8,'Lump Sum'!J9:L60,2,FALSE),IF('Contributions calculator'!D15=Codes!D3,VLOOKUP('Contributions calculator'!D8,'Lump Sum'!J9:L60,3,FALSE),""))</f>
        <v/>
      </c>
      <c r="K4" s="3"/>
    </row>
    <row r="5" spans="1:19" ht="13.5" thickBot="1" x14ac:dyDescent="0.25">
      <c r="H5" s="23" t="s">
        <v>108</v>
      </c>
      <c r="I5" s="29" t="s">
        <v>113</v>
      </c>
      <c r="J5" s="24" t="str">
        <f>IF('Contributions calculator'!D15=Codes!D2,VLOOKUP('Contributions calculator'!D8,'Lump Sum'!N9:P60,2,FALSE),IF('Contributions calculator'!D15=Codes!D3,VLOOKUP('Contributions calculator'!D8,'Lump Sum'!N9:P60,3,FALSE),""))</f>
        <v/>
      </c>
      <c r="K5" s="3"/>
    </row>
    <row r="6" spans="1:19" ht="13.5" thickBot="1" x14ac:dyDescent="0.25">
      <c r="B6" s="69" t="s">
        <v>3</v>
      </c>
      <c r="C6" s="69" t="s">
        <v>2</v>
      </c>
      <c r="D6" s="69"/>
      <c r="E6" s="218" t="s">
        <v>83</v>
      </c>
      <c r="F6" s="219"/>
      <c r="H6" s="23" t="s">
        <v>109</v>
      </c>
      <c r="I6" s="29" t="s">
        <v>114</v>
      </c>
      <c r="J6" s="24" t="str">
        <f>IF('Contributions calculator'!D15=Codes!D2,VLOOKUP('Contributions calculator'!D8,'Lump Sum'!R9:T60,2,FALSE),IF('Contributions calculator'!D15=Codes!D3,VLOOKUP('Contributions calculator'!D8,'Lump Sum'!R9:T60,3,FALSE),""))</f>
        <v/>
      </c>
      <c r="K6" s="3"/>
    </row>
    <row r="7" spans="1:19" x14ac:dyDescent="0.2">
      <c r="B7" s="78" t="s">
        <v>0</v>
      </c>
      <c r="C7" s="65">
        <v>0</v>
      </c>
      <c r="D7" s="88"/>
      <c r="E7" s="78" t="s">
        <v>5</v>
      </c>
      <c r="F7" s="88" t="s">
        <v>6</v>
      </c>
      <c r="H7" s="23" t="s">
        <v>78</v>
      </c>
      <c r="I7" s="29" t="s">
        <v>80</v>
      </c>
      <c r="J7" s="24" t="e">
        <f>INDEX('NRA60'!$W$6:$AQ$58,MATCH('Contributions calculator'!$D$8,'NRA60'!$W$6:$W$58,0),MATCH('Contributions calculator'!$D$14,'NRA60'!$W$6:$AQ$6,0))</f>
        <v>#N/A</v>
      </c>
      <c r="K7" s="3"/>
    </row>
    <row r="8" spans="1:19" ht="13.5" thickBot="1" x14ac:dyDescent="0.25">
      <c r="B8" s="79" t="s">
        <v>1</v>
      </c>
      <c r="C8" s="66" t="str">
        <f ca="1">IF(OR('Contributions calculator'!D7=66,'Contributions calculator'!D7=67,'Contributions calculator'!D7=68),1,"")</f>
        <v/>
      </c>
      <c r="D8" s="89"/>
      <c r="E8" s="79">
        <f ca="1">IF('Contributions calculator'!E5=60,60,IF('Contributions calculator'!E5=65,65,IF(OR('Contributions calculator'!E5="SPA",'Contributions calculator'!E5=""),'Contributions calculator'!D7,"")))</f>
        <v>65</v>
      </c>
      <c r="F8" s="89">
        <f ca="1">IF('Contributions calculator'!E5=60,0,IF('Contributions calculator'!E5=65,0,IF('Contributions calculator'!E5="SPA",'Contributions calculator'!F7,"")))</f>
        <v>0</v>
      </c>
      <c r="H8" s="23" t="s">
        <v>18</v>
      </c>
      <c r="I8" s="29" t="s">
        <v>27</v>
      </c>
      <c r="J8" s="24" t="e">
        <f>INDEX('NRA65'!$W$6:$AQ$58,MATCH('Contributions calculator'!$D$8,'NRA65'!$W$6:$W$58,0),MATCH('Contributions calculator'!$D$14,'NRA65'!$W$6:$AQ$6,0))</f>
        <v>#N/A</v>
      </c>
      <c r="K8" s="3"/>
    </row>
    <row r="9" spans="1:19" x14ac:dyDescent="0.2">
      <c r="C9" s="66" t="str">
        <f ca="1">IF(OR('Contributions calculator'!D7=67,'Contributions calculator'!D7=68),2,"")</f>
        <v/>
      </c>
      <c r="H9" s="23" t="s">
        <v>19</v>
      </c>
      <c r="I9" s="29" t="s">
        <v>28</v>
      </c>
      <c r="J9" s="24" t="e">
        <f>INDEX('NRA66'!$W$6:$AQ$58,MATCH('Contributions calculator'!$D$8,'NRA66'!$W$6:$W$58,0),MATCH('Contributions calculator'!$D$14,'NRA66'!$W$6:$AQ$6,0))</f>
        <v>#N/A</v>
      </c>
      <c r="K9" s="3"/>
    </row>
    <row r="10" spans="1:19" ht="13.5" thickBot="1" x14ac:dyDescent="0.25">
      <c r="C10" s="67" t="str">
        <f ca="1">IF(OR('Contributions calculator'!D7=68),3,"")</f>
        <v/>
      </c>
      <c r="H10" s="23" t="s">
        <v>20</v>
      </c>
      <c r="I10" s="29" t="s">
        <v>29</v>
      </c>
      <c r="J10" s="24" t="e">
        <f>INDEX('NRA67'!$W$6:$AQ$58,MATCH('Contributions calculator'!$D$8,'NRA67'!$W$6:$W$58,0),MATCH('Contributions calculator'!$D$14,'NRA67'!$W$6:$AQ$6,0))</f>
        <v>#N/A</v>
      </c>
      <c r="K10" s="3"/>
    </row>
    <row r="11" spans="1:19" ht="17.25" thickTop="1" thickBot="1" x14ac:dyDescent="0.3">
      <c r="H11" s="23" t="s">
        <v>21</v>
      </c>
      <c r="I11" s="29" t="s">
        <v>30</v>
      </c>
      <c r="J11" s="24" t="e">
        <f>INDEX('NRA68'!$W$6:$AQ$58,MATCH('Contributions calculator'!$D$8,'NRA68'!$W$6:$W$58,0),MATCH('Contributions calculator'!$D$14,'NRA68'!$W$6:$AQ$6,0))</f>
        <v>#N/A</v>
      </c>
      <c r="K11" s="3"/>
      <c r="M11" s="60" t="s">
        <v>85</v>
      </c>
      <c r="N11" s="60"/>
      <c r="O11" s="60"/>
      <c r="P11" s="60"/>
    </row>
    <row r="12" spans="1:19" ht="17.25" thickTop="1" thickBot="1" x14ac:dyDescent="0.3">
      <c r="B12" s="36" t="s">
        <v>59</v>
      </c>
      <c r="C12" s="119" t="s">
        <v>58</v>
      </c>
      <c r="D12" s="36" t="s">
        <v>60</v>
      </c>
      <c r="H12" s="23" t="s">
        <v>79</v>
      </c>
      <c r="I12" s="29" t="s">
        <v>81</v>
      </c>
      <c r="J12" s="24" t="e">
        <f>INDEX('NRA60'!$A$6:$U$58,MATCH('Contributions calculator'!$D$8,'NRA60'!$A$6:$A$58,0),MATCH('Contributions calculator'!$D$14,'NRA60'!$A$6:$U$6,0))</f>
        <v>#N/A</v>
      </c>
      <c r="K12" s="3"/>
      <c r="M12" s="58" t="s">
        <v>122</v>
      </c>
      <c r="N12" s="59"/>
      <c r="O12" s="59"/>
      <c r="P12" s="95">
        <v>6800</v>
      </c>
    </row>
    <row r="13" spans="1:19" x14ac:dyDescent="0.2">
      <c r="B13" s="61">
        <v>0</v>
      </c>
      <c r="C13" s="62">
        <f>IF('Contributions calculator'!$D$11="","",250)</f>
        <v>250</v>
      </c>
      <c r="D13" s="65">
        <v>1</v>
      </c>
      <c r="G13"/>
      <c r="H13" s="23" t="s">
        <v>22</v>
      </c>
      <c r="I13" s="29" t="s">
        <v>31</v>
      </c>
      <c r="J13" s="24" t="e">
        <f>INDEX('NRA65'!$A$6:$U$58,MATCH('Contributions calculator'!$D$8,'NRA65'!$A$6:$A$58,0),MATCH('Contributions calculator'!$D$14,'NRA65'!$A$6:$U$6,0))</f>
        <v>#N/A</v>
      </c>
      <c r="K13"/>
      <c r="M13" s="90" t="s">
        <v>123</v>
      </c>
      <c r="N13" s="91"/>
      <c r="O13" s="91"/>
      <c r="P13" s="96">
        <v>8900</v>
      </c>
    </row>
    <row r="14" spans="1:19" ht="13.5" thickBot="1" x14ac:dyDescent="0.25">
      <c r="B14" s="63">
        <f>IF(B13&lt;(Codes!$P$14),Codes!B13+250,"")</f>
        <v>250</v>
      </c>
      <c r="C14" s="64">
        <f>IF('Contributions calculator'!$D$11="","",IF(C13&lt;('Contributions calculator'!$D$11-249),Codes!C13+250,""))</f>
        <v>500</v>
      </c>
      <c r="D14" s="66">
        <f ca="1">IF(D13="","",IF(Codes!D13+1&lt;'Contributions calculator'!$D$9,Codes!D13+1,""))</f>
        <v>2</v>
      </c>
      <c r="G14"/>
      <c r="H14" s="23" t="s">
        <v>23</v>
      </c>
      <c r="I14" s="29" t="s">
        <v>32</v>
      </c>
      <c r="J14" s="24" t="e">
        <f>INDEX('NRA66'!$A$6:$U$58,MATCH('Contributions calculator'!$D$8,'NRA66'!$A$6:$A$58,0),MATCH('Contributions calculator'!$D$14,'NRA66'!$A$6:$U$6,0))</f>
        <v>#N/A</v>
      </c>
      <c r="K14"/>
      <c r="M14" s="86"/>
      <c r="N14" s="87"/>
      <c r="O14" s="92" t="s">
        <v>86</v>
      </c>
      <c r="P14" s="93">
        <f>IF(OR('Contributions calculator'!E5=60,'Contributions calculator'!E5=65),Codes!P12,IF('Contributions calculator'!E5="SPA",Codes!P13,""))</f>
        <v>8900</v>
      </c>
    </row>
    <row r="15" spans="1:19" x14ac:dyDescent="0.2">
      <c r="B15" s="63">
        <f>IF(B14&lt;(Codes!$P$14),Codes!B14+250,"")</f>
        <v>500</v>
      </c>
      <c r="C15" s="64">
        <f>IF('Contributions calculator'!$D$11="","",IF(C14&lt;('Contributions calculator'!$D$11-249),Codes!C14+250,""))</f>
        <v>750</v>
      </c>
      <c r="D15" s="66">
        <f ca="1">IF(D14="","",IF(Codes!D14+1&lt;'Contributions calculator'!$D$9,Codes!D14+1,""))</f>
        <v>3</v>
      </c>
      <c r="G15"/>
      <c r="H15" s="23" t="s">
        <v>24</v>
      </c>
      <c r="I15" s="29" t="s">
        <v>33</v>
      </c>
      <c r="J15" s="24" t="e">
        <f>INDEX('NRA67'!$A$6:$U$58,MATCH('Contributions calculator'!$D$8,'NRA67'!$A$6:$A$58,0),MATCH('Contributions calculator'!$D$14,'NRA67'!$A$6:$U$6,0))</f>
        <v>#N/A</v>
      </c>
      <c r="K15"/>
    </row>
    <row r="16" spans="1:19" ht="13.5" thickBot="1" x14ac:dyDescent="0.25">
      <c r="B16" s="63">
        <f>IF(B15&lt;(Codes!$P$14),Codes!B15+250,"")</f>
        <v>750</v>
      </c>
      <c r="C16" s="64">
        <f>IF('Contributions calculator'!$D$11="","",IF(C15&lt;('Contributions calculator'!$D$11-249),Codes!C15+250,""))</f>
        <v>1000</v>
      </c>
      <c r="D16" s="66">
        <f ca="1">IF(D15="","",IF(Codes!D15+1&lt;'Contributions calculator'!$D$9,Codes!D15+1,""))</f>
        <v>4</v>
      </c>
      <c r="G16"/>
      <c r="H16" s="25" t="s">
        <v>25</v>
      </c>
      <c r="I16" s="30" t="s">
        <v>34</v>
      </c>
      <c r="J16" s="26" t="e">
        <f>INDEX('NRA68'!$A$6:$U$58,MATCH('Contributions calculator'!$D$8,'NRA68'!$A$6:$A$58,0),MATCH('Contributions calculator'!$D$14,'NRA68'!$A$6:$U$6,0))</f>
        <v>#N/A</v>
      </c>
      <c r="K16"/>
    </row>
    <row r="17" spans="2:11" ht="14.25" thickTop="1" thickBot="1" x14ac:dyDescent="0.25">
      <c r="B17" s="63">
        <f>IF(B16&lt;(Codes!$P$14),Codes!B16+250,"")</f>
        <v>1000</v>
      </c>
      <c r="C17" s="64">
        <f>IF('Contributions calculator'!$D$11="","",IF(C16&lt;('Contributions calculator'!$D$11-249),Codes!C16+250,""))</f>
        <v>1250</v>
      </c>
      <c r="D17" s="66">
        <f ca="1">IF(D16="","",IF(Codes!D16+1&lt;'Contributions calculator'!$D$9,Codes!D16+1,""))</f>
        <v>5</v>
      </c>
      <c r="G17"/>
      <c r="H17" s="3"/>
      <c r="I17" s="3"/>
      <c r="J17" s="3"/>
      <c r="K17"/>
    </row>
    <row r="18" spans="2:11" ht="16.5" thickTop="1" thickBot="1" x14ac:dyDescent="0.3">
      <c r="B18" s="63">
        <f>IF(B17&lt;(Codes!$P$14),Codes!B17+250,"")</f>
        <v>1250</v>
      </c>
      <c r="C18" s="64">
        <f>IF('Contributions calculator'!$D$11="","",IF(C17&lt;('Contributions calculator'!$D$11-249),Codes!C17+250,""))</f>
        <v>1500</v>
      </c>
      <c r="D18" s="66">
        <f ca="1">IF(D17="","",IF(Codes!D17+1&lt;'Contributions calculator'!$D$9,Codes!D17+1,""))</f>
        <v>6</v>
      </c>
      <c r="G18"/>
      <c r="H18" s="27"/>
      <c r="I18" s="68" t="str">
        <f ca="1">IF(AND('Contributions calculator'!D13=C3,'Contributions calculator'!F7&lt;&gt;0),"Relevent tables are "&amp;H27&amp;" &amp; "&amp;H28,"Relevent table is "&amp;H27&amp;"")</f>
        <v>Relevent table is 65</v>
      </c>
      <c r="J18" s="28"/>
      <c r="K18"/>
    </row>
    <row r="19" spans="2:11" ht="14.25" thickTop="1" thickBot="1" x14ac:dyDescent="0.25">
      <c r="B19" s="63">
        <f>IF(B18&lt;(Codes!$P$14),Codes!B18+250,"")</f>
        <v>1500</v>
      </c>
      <c r="C19" s="64">
        <f>IF('Contributions calculator'!$D$11="","",IF(C18&lt;('Contributions calculator'!$D$11-249),Codes!C18+250,""))</f>
        <v>1750</v>
      </c>
      <c r="D19" s="66">
        <f ca="1">IF(D18="","",IF(Codes!D18+1&lt;'Contributions calculator'!$D$9,Codes!D18+1,""))</f>
        <v>7</v>
      </c>
      <c r="G19"/>
      <c r="H19"/>
      <c r="I19"/>
      <c r="J19"/>
      <c r="K19"/>
    </row>
    <row r="20" spans="2:11" ht="21.75" thickTop="1" thickBot="1" x14ac:dyDescent="0.35">
      <c r="B20" s="63">
        <f>IF(B19&lt;(Codes!$P$14),Codes!B19+250,"")</f>
        <v>1750</v>
      </c>
      <c r="C20" s="64">
        <f>IF('Contributions calculator'!$D$11="","",IF(C19&lt;('Contributions calculator'!$D$11-249),Codes!C19+250,""))</f>
        <v>2000</v>
      </c>
      <c r="D20" s="66">
        <f ca="1">IF(D19="","",IF(Codes!D19+1&lt;'Contributions calculator'!$D$9,Codes!D19+1,""))</f>
        <v>8</v>
      </c>
      <c r="G20"/>
      <c r="H20" s="31"/>
      <c r="I20" s="32" t="s">
        <v>14</v>
      </c>
      <c r="J20" s="81" t="e">
        <f ca="1">IF(H28="",I27,((I28-I27)*I25+I27))</f>
        <v>#N/A</v>
      </c>
      <c r="K20"/>
    </row>
    <row r="21" spans="2:11" ht="13.5" thickTop="1" x14ac:dyDescent="0.2">
      <c r="B21" s="63">
        <f>IF(B20&lt;(Codes!$P$14),Codes!B20+250,"")</f>
        <v>2000</v>
      </c>
      <c r="C21" s="64">
        <f>IF('Contributions calculator'!$D$11="","",IF(C20&lt;('Contributions calculator'!$D$11-249),Codes!C20+250,""))</f>
        <v>2250</v>
      </c>
      <c r="D21" s="66">
        <f ca="1">IF(D20="","",IF(Codes!D20+1&lt;'Contributions calculator'!$D$9,Codes!D20+1,""))</f>
        <v>9</v>
      </c>
      <c r="G21"/>
      <c r="I21"/>
      <c r="J21" s="21"/>
      <c r="K21"/>
    </row>
    <row r="22" spans="2:11" ht="15.75" x14ac:dyDescent="0.25">
      <c r="B22" s="63">
        <f>IF(B21&lt;(Codes!$P$14),Codes!B21+250,"")</f>
        <v>2250</v>
      </c>
      <c r="C22" s="64">
        <f>IF('Contributions calculator'!$D$11="","",IF(C21&lt;('Contributions calculator'!$D$11-249),Codes!C21+250,""))</f>
        <v>2500</v>
      </c>
      <c r="D22" s="66">
        <f ca="1">IF(D21="","",IF(Codes!D21+1&lt;'Contributions calculator'!$D$9,Codes!D21+1,""))</f>
        <v>10</v>
      </c>
      <c r="G22"/>
      <c r="H22" s="43"/>
      <c r="I22" s="44" t="s">
        <v>57</v>
      </c>
      <c r="J22" s="45"/>
      <c r="K22"/>
    </row>
    <row r="23" spans="2:11" x14ac:dyDescent="0.2">
      <c r="B23" s="63">
        <f>IF(B22&lt;(Codes!$P$14),Codes!B22+250,"")</f>
        <v>2500</v>
      </c>
      <c r="C23" s="64">
        <f>IF('Contributions calculator'!$D$11="","",IF(C22&lt;('Contributions calculator'!$D$11-249),Codes!C22+250,""))</f>
        <v>2750</v>
      </c>
      <c r="D23" s="66">
        <f ca="1">IF(D22="","",IF(Codes!D22+1&lt;'Contributions calculator'!$D$9,Codes!D22+1,""))</f>
        <v>11</v>
      </c>
      <c r="G23"/>
      <c r="H23" s="37"/>
      <c r="I23" s="7"/>
      <c r="J23" s="38"/>
      <c r="K23"/>
    </row>
    <row r="24" spans="2:11" x14ac:dyDescent="0.2">
      <c r="B24" s="63">
        <f>IF(B23&lt;(Codes!$P$14),Codes!B23+250,"")</f>
        <v>2750</v>
      </c>
      <c r="C24" s="64">
        <f>IF('Contributions calculator'!$D$11="","",IF(C23&lt;('Contributions calculator'!$D$11-249),Codes!C23+250,""))</f>
        <v>3000</v>
      </c>
      <c r="D24" s="66">
        <f ca="1">IF(D23="","",IF(Codes!D23+1&lt;'Contributions calculator'!$D$9,Codes!D23+1,""))</f>
        <v>12</v>
      </c>
      <c r="G24"/>
      <c r="H24" s="37" t="s">
        <v>44</v>
      </c>
      <c r="I24" s="7" t="str">
        <f ca="1">E8&amp;" Years "&amp;F8&amp;" months"</f>
        <v>65 Years 0 months</v>
      </c>
      <c r="J24" s="38"/>
      <c r="K24"/>
    </row>
    <row r="25" spans="2:11" x14ac:dyDescent="0.2">
      <c r="B25" s="63">
        <f>IF(B24&lt;(Codes!$P$14),Codes!B24+250,"")</f>
        <v>3000</v>
      </c>
      <c r="C25" s="64">
        <f>IF('Contributions calculator'!$D$11="","",IF(C24&lt;('Contributions calculator'!$D$11-249),Codes!C24+250,""))</f>
        <v>3250</v>
      </c>
      <c r="D25" s="66">
        <f ca="1">IF(D24="","",IF(Codes!D24+1&lt;'Contributions calculator'!$D$9,Codes!D24+1,""))</f>
        <v>13</v>
      </c>
      <c r="G25" s="22"/>
      <c r="H25" s="37" t="s">
        <v>45</v>
      </c>
      <c r="I25" s="39">
        <f ca="1">'Contributions calculator'!F7/12</f>
        <v>0</v>
      </c>
      <c r="J25" s="40"/>
      <c r="K25"/>
    </row>
    <row r="26" spans="2:11" x14ac:dyDescent="0.2">
      <c r="B26" s="63">
        <f>IF(B25&lt;(Codes!$P$14),Codes!B25+250,"")</f>
        <v>3250</v>
      </c>
      <c r="C26" s="64">
        <f>IF('Contributions calculator'!$D$11="","",IF(C25&lt;('Contributions calculator'!$D$11-249),Codes!C25+250,""))</f>
        <v>3500</v>
      </c>
      <c r="D26" s="66">
        <f ca="1">IF(D25="","",IF(Codes!D25+1&lt;'Contributions calculator'!$D$9,Codes!D25+1,""))</f>
        <v>14</v>
      </c>
      <c r="G26" s="22"/>
      <c r="H26" s="41"/>
      <c r="I26" s="7"/>
      <c r="J26" s="40"/>
      <c r="K26"/>
    </row>
    <row r="27" spans="2:11" x14ac:dyDescent="0.2">
      <c r="B27" s="63">
        <f>IF(B26&lt;(Codes!$P$14),Codes!B26+250,"")</f>
        <v>3500</v>
      </c>
      <c r="C27" s="64">
        <f>IF('Contributions calculator'!$D$11="","",IF(C26&lt;('Contributions calculator'!$D$11-249),Codes!C26+250,""))</f>
        <v>3750</v>
      </c>
      <c r="D27" s="66">
        <f ca="1">IF(D26="","",IF(Codes!D26+1&lt;'Contributions calculator'!$D$9,Codes!D26+1,""))</f>
        <v>15</v>
      </c>
      <c r="H27" s="41" t="str">
        <f ca="1">IF('Contributions calculator'!D13=Codes!C2,F2,IF('Contributions calculator'!D15=D2,"P",IF('Contributions calculator'!D15=D3,"D",""))&amp;Codes!E8)</f>
        <v>65</v>
      </c>
      <c r="I27" s="21" t="e">
        <f ca="1">VLOOKUP(H27,H2:J16,3,FALSE)</f>
        <v>#N/A</v>
      </c>
      <c r="J27" s="40"/>
      <c r="K27" s="3"/>
    </row>
    <row r="28" spans="2:11" x14ac:dyDescent="0.2">
      <c r="B28" s="63">
        <f>IF(B27&lt;(Codes!$P$14),Codes!B27+250,"")</f>
        <v>3750</v>
      </c>
      <c r="C28" s="64">
        <f>IF('Contributions calculator'!$D$11="","",IF(C27&lt;('Contributions calculator'!$D$11-249),Codes!C27+250,""))</f>
        <v>4000</v>
      </c>
      <c r="D28" s="66">
        <f ca="1">IF(D27="","",IF(Codes!D27+1&lt;'Contributions calculator'!$D$9,Codes!D27+1,""))</f>
        <v>16</v>
      </c>
      <c r="H28" s="41" t="str">
        <f ca="1">IF(OR(F8="",F8=0),"",
IF(AND('Contributions calculator'!D13="Regular contributions",'Contributions calculator'!D15=D2),"P"&amp;E8+1,
IF(AND('Contributions calculator'!D13="Regular contributions",'Contributions calculator'!D15=D3),"D"&amp;E8+1,
IF(AND('Contributions calculator'!D13="Lump Sum"),"APS"&amp;E8+1,"")
)))</f>
        <v/>
      </c>
      <c r="I28" s="21" t="e">
        <f ca="1">VLOOKUP(H28,H4:J16,3,FALSE)</f>
        <v>#N/A</v>
      </c>
      <c r="J28" s="40"/>
      <c r="K28" s="3"/>
    </row>
    <row r="29" spans="2:11" x14ac:dyDescent="0.2">
      <c r="B29" s="63">
        <f>IF(B28&lt;(Codes!$P$14),Codes!B28+250,"")</f>
        <v>4000</v>
      </c>
      <c r="C29" s="64">
        <f>IF('Contributions calculator'!$D$11="","",IF(C28&lt;('Contributions calculator'!$D$11-249),Codes!C28+250,""))</f>
        <v>4250</v>
      </c>
      <c r="D29" s="66">
        <f ca="1">IF(D28="","",IF(Codes!D28+1&lt;'Contributions calculator'!$D$9,Codes!D28+1,""))</f>
        <v>17</v>
      </c>
      <c r="H29" s="41"/>
      <c r="J29" s="38"/>
      <c r="K29" s="3"/>
    </row>
    <row r="30" spans="2:11" x14ac:dyDescent="0.2">
      <c r="B30" s="63">
        <f>IF(B29&lt;(Codes!$P$14),Codes!B29+250,"")</f>
        <v>4250</v>
      </c>
      <c r="C30" s="64">
        <f>IF('Contributions calculator'!$D$11="","",IF(C29&lt;('Contributions calculator'!$D$11-249),Codes!C29+250,""))</f>
        <v>4500</v>
      </c>
      <c r="D30" s="66">
        <f ca="1">IF(D29="","",IF(Codes!D29+1&lt;'Contributions calculator'!$D$9,Codes!D29+1,""))</f>
        <v>18</v>
      </c>
      <c r="H30" s="42"/>
      <c r="I30" s="7" t="str">
        <f ca="1">"Interpolation for NPA of "&amp;I24</f>
        <v>Interpolation for NPA of 65 Years 0 months</v>
      </c>
      <c r="J30" s="40"/>
      <c r="K30" s="3"/>
    </row>
    <row r="31" spans="2:11" x14ac:dyDescent="0.2">
      <c r="B31" s="63">
        <f>IF(B30&lt;(Codes!$P$14),Codes!B30+250,"")</f>
        <v>4500</v>
      </c>
      <c r="C31" s="64">
        <f>IF('Contributions calculator'!$D$11="","",IF(C30&lt;('Contributions calculator'!$D$11-249),Codes!C30+250,""))</f>
        <v>4750</v>
      </c>
      <c r="D31" s="66">
        <f ca="1">IF(D30="","",IF(Codes!D30+1&lt;'Contributions calculator'!$D$9,Codes!D30+1,""))</f>
        <v>19</v>
      </c>
      <c r="H31" s="42" t="s">
        <v>43</v>
      </c>
      <c r="I31" s="7" t="str">
        <f ca="1">"("&amp;H28&amp;" figure - "&amp;H27&amp;" figure) x months/12 + "&amp;H28&amp;" figure"</f>
        <v>( figure - 65 figure) x months/12 +  figure</v>
      </c>
      <c r="J31" s="40"/>
      <c r="K31" s="3"/>
    </row>
    <row r="32" spans="2:11" ht="13.5" thickBot="1" x14ac:dyDescent="0.25">
      <c r="B32" s="63">
        <f>IF(B31&lt;(Codes!$P$14),Codes!B31+250,"")</f>
        <v>4750</v>
      </c>
      <c r="C32" s="64">
        <f>IF('Contributions calculator'!$D$11="","",IF(C31&lt;('Contributions calculator'!$D$11-249),Codes!C31+250,""))</f>
        <v>5000</v>
      </c>
      <c r="D32" s="67">
        <f ca="1">IF(D31="","",IF(Codes!D31+1&lt;'Contributions calculator'!$D$9,Codes!D31+1,""))</f>
        <v>20</v>
      </c>
      <c r="H32" s="42" t="s">
        <v>43</v>
      </c>
      <c r="I32" s="7" t="e">
        <f ca="1">"("&amp;I28&amp;" - "&amp;I27&amp;") x "&amp;I25&amp;" + "&amp;I28</f>
        <v>#N/A</v>
      </c>
      <c r="J32" s="40"/>
      <c r="K32" s="3"/>
    </row>
    <row r="33" spans="2:11" x14ac:dyDescent="0.2">
      <c r="B33" s="63">
        <f>IF(B32&lt;(Codes!$P$14),Codes!B32+250,"")</f>
        <v>5000</v>
      </c>
      <c r="C33" s="64">
        <f>IF('Contributions calculator'!$D$11="","",IF(C32&lt;('Contributions calculator'!$D$11-249),Codes!C32+250,""))</f>
        <v>5250</v>
      </c>
      <c r="H33" s="42" t="s">
        <v>43</v>
      </c>
      <c r="I33" s="21" t="e">
        <f ca="1">J20</f>
        <v>#N/A</v>
      </c>
      <c r="J33" s="40"/>
      <c r="K33" s="3"/>
    </row>
    <row r="34" spans="2:11" x14ac:dyDescent="0.2">
      <c r="B34" s="63">
        <f>IF(B33&lt;(Codes!$P$14),Codes!B33+250,"")</f>
        <v>5250</v>
      </c>
      <c r="C34" s="64">
        <f>IF('Contributions calculator'!$D$11="","",IF(C33&lt;('Contributions calculator'!$D$11-249),Codes!C33+250,""))</f>
        <v>5500</v>
      </c>
      <c r="H34" s="46"/>
      <c r="I34" s="47"/>
      <c r="J34" s="48"/>
      <c r="K34" s="3"/>
    </row>
    <row r="35" spans="2:11" x14ac:dyDescent="0.2">
      <c r="B35" s="63">
        <f>IF(B34&lt;(Codes!$P$14),Codes!B34+250,"")</f>
        <v>5500</v>
      </c>
      <c r="C35" s="64">
        <f>IF('Contributions calculator'!$D$11="","",IF(C34&lt;('Contributions calculator'!$D$11-249),Codes!C34+250,""))</f>
        <v>5750</v>
      </c>
      <c r="H35" s="3"/>
      <c r="I35" s="3"/>
      <c r="J35" s="3"/>
      <c r="K35" s="3"/>
    </row>
    <row r="36" spans="2:11" x14ac:dyDescent="0.2">
      <c r="B36" s="63">
        <f>IF(B35&lt;(Codes!$P$14),Codes!B35+250,"")</f>
        <v>5750</v>
      </c>
      <c r="C36" s="64">
        <f>IF('Contributions calculator'!$D$11="","",IF(C35&lt;('Contributions calculator'!$D$11-249),Codes!C35+250,""))</f>
        <v>6000</v>
      </c>
      <c r="H36" s="3"/>
      <c r="I36" s="33"/>
      <c r="J36" s="3"/>
      <c r="K36" s="3"/>
    </row>
    <row r="37" spans="2:11" x14ac:dyDescent="0.2">
      <c r="B37" s="63">
        <f>IF(B36&lt;(Codes!$P$14),Codes!B36+250,"")</f>
        <v>6000</v>
      </c>
      <c r="C37" s="64">
        <f>IF('Contributions calculator'!$D$11="","",IF(C36&lt;('Contributions calculator'!$D$11-249),Codes!C36+250,""))</f>
        <v>6250</v>
      </c>
      <c r="H37" s="3"/>
      <c r="I37" s="3"/>
      <c r="J37" s="3"/>
      <c r="K37" s="3"/>
    </row>
    <row r="38" spans="2:11" x14ac:dyDescent="0.2">
      <c r="B38" s="63">
        <f>IF(B37&lt;(Codes!$P$14),Codes!B37+250,"")</f>
        <v>6250</v>
      </c>
      <c r="C38" s="64">
        <f>IF('Contributions calculator'!$D$11="","",IF(C37&lt;('Contributions calculator'!$D$11-249),Codes!C37+250,""))</f>
        <v>6500</v>
      </c>
      <c r="H38" s="3"/>
      <c r="I38" s="3"/>
      <c r="J38" s="3"/>
      <c r="K38" s="3"/>
    </row>
    <row r="39" spans="2:11" x14ac:dyDescent="0.2">
      <c r="B39" s="63">
        <f>IF(B38&lt;(Codes!$P$14),Codes!B38+250,"")</f>
        <v>6500</v>
      </c>
      <c r="C39" s="64">
        <f>IF('Contributions calculator'!$D$11="","",IF(C38&lt;('Contributions calculator'!$D$11-249),Codes!C38+250,""))</f>
        <v>6750</v>
      </c>
      <c r="H39" s="3"/>
      <c r="I39" s="3"/>
      <c r="J39" s="3"/>
      <c r="K39" s="3"/>
    </row>
    <row r="40" spans="2:11" x14ac:dyDescent="0.2">
      <c r="B40" s="63">
        <f>IF(B39&lt;(Codes!$P$14),Codes!B39+250,"")</f>
        <v>6750</v>
      </c>
      <c r="C40" s="64">
        <f>IF('Contributions calculator'!$D$11="","",IF(C39&lt;('Contributions calculator'!$D$11-249),Codes!C39+250,""))</f>
        <v>7000</v>
      </c>
      <c r="H40" s="3"/>
      <c r="I40" s="3"/>
      <c r="J40" s="3"/>
      <c r="K40" s="3"/>
    </row>
    <row r="41" spans="2:11" x14ac:dyDescent="0.2">
      <c r="B41" s="63">
        <f>IF(B40&lt;(Codes!$P$14),Codes!B40+250,"")</f>
        <v>7000</v>
      </c>
      <c r="C41" s="64">
        <f>IF('Contributions calculator'!$D$11="","",IF(C40&lt;('Contributions calculator'!$D$11-249),Codes!C40+250,""))</f>
        <v>7250</v>
      </c>
      <c r="H41" s="3"/>
      <c r="I41" s="3"/>
      <c r="J41" s="3"/>
      <c r="K41" s="3"/>
    </row>
    <row r="42" spans="2:11" x14ac:dyDescent="0.2">
      <c r="B42" s="63">
        <f>IF(B41&lt;(Codes!$P$14),Codes!B41+250,"")</f>
        <v>7250</v>
      </c>
      <c r="C42" s="64">
        <f>IF('Contributions calculator'!$D$11="","",IF(C41&lt;('Contributions calculator'!$D$11-249),Codes!C41+250,""))</f>
        <v>7500</v>
      </c>
      <c r="H42" s="3"/>
      <c r="I42" s="3"/>
      <c r="J42" s="3"/>
      <c r="K42" s="3"/>
    </row>
    <row r="43" spans="2:11" x14ac:dyDescent="0.2">
      <c r="B43" s="63">
        <f>IF(B42&lt;(Codes!$P$14),Codes!B42+250,"")</f>
        <v>7500</v>
      </c>
      <c r="C43" s="64">
        <f>IF('Contributions calculator'!$D$11="","",IF(C42&lt;('Contributions calculator'!$D$11-249),Codes!C42+250,""))</f>
        <v>7750</v>
      </c>
      <c r="H43" s="3"/>
      <c r="I43" s="3"/>
      <c r="J43" s="3"/>
      <c r="K43" s="3"/>
    </row>
    <row r="44" spans="2:11" x14ac:dyDescent="0.2">
      <c r="B44" s="63">
        <f>IF(B43&lt;(Codes!$P$14),Codes!B43+250,"")</f>
        <v>7750</v>
      </c>
      <c r="C44" s="64">
        <f>IF('Contributions calculator'!$D$11="","",IF(C43&lt;('Contributions calculator'!$D$11-249),Codes!C43+250,""))</f>
        <v>8000</v>
      </c>
      <c r="H44" s="3"/>
      <c r="I44" s="3"/>
      <c r="J44" s="3"/>
      <c r="K44" s="3"/>
    </row>
    <row r="45" spans="2:11" x14ac:dyDescent="0.2">
      <c r="B45" s="63">
        <f>IF(B44&lt;(Codes!$P$14),Codes!B44+250,"")</f>
        <v>8000</v>
      </c>
      <c r="C45" s="64">
        <f>IF('Contributions calculator'!$D$11="","",IF(C44&lt;('Contributions calculator'!$D$11-249),Codes!C44+250,""))</f>
        <v>8250</v>
      </c>
      <c r="H45" s="3"/>
      <c r="I45" s="3"/>
      <c r="J45" s="3"/>
      <c r="K45" s="3"/>
    </row>
    <row r="46" spans="2:11" x14ac:dyDescent="0.2">
      <c r="B46" s="63">
        <f>IF(B45&lt;(Codes!$P$14),Codes!B45+250,"")</f>
        <v>8250</v>
      </c>
      <c r="C46" s="64">
        <f>IF('Contributions calculator'!$D$11="","",IF(C45&lt;('Contributions calculator'!$D$11-249),Codes!C45+250,""))</f>
        <v>8500</v>
      </c>
      <c r="H46" s="3"/>
      <c r="I46" s="3"/>
      <c r="J46" s="3"/>
      <c r="K46" s="3"/>
    </row>
    <row r="47" spans="2:11" x14ac:dyDescent="0.2">
      <c r="B47" s="63">
        <f>IF(B46&lt;(Codes!$P$14),Codes!B46+250,"")</f>
        <v>8500</v>
      </c>
      <c r="C47" s="64">
        <f>IF('Contributions calculator'!$D$11="","",IF(C46&lt;('Contributions calculator'!$D$11-249),Codes!C46+250,""))</f>
        <v>8750</v>
      </c>
      <c r="H47" s="3"/>
      <c r="I47" s="3"/>
      <c r="J47" s="3"/>
      <c r="K47" s="3"/>
    </row>
    <row r="48" spans="2:11" x14ac:dyDescent="0.2">
      <c r="B48" s="63">
        <f>IF(B47&lt;(Codes!$P$14),Codes!B47+250,"")</f>
        <v>8750</v>
      </c>
      <c r="C48" s="64" t="str">
        <f>IF('Contributions calculator'!$D$11="","",IF(C47&lt;('Contributions calculator'!$D$11-249),Codes!C47+250,""))</f>
        <v/>
      </c>
      <c r="H48" s="3"/>
      <c r="I48" s="3"/>
      <c r="J48" s="3"/>
      <c r="K48" s="3"/>
    </row>
    <row r="49" spans="2:11" x14ac:dyDescent="0.2">
      <c r="B49" s="63">
        <f>IF(B48&lt;(Codes!$P$14),Codes!B48+250,"")</f>
        <v>9000</v>
      </c>
      <c r="C49" s="64" t="str">
        <f>IF('Contributions calculator'!$D$11="","",IF(C48&lt;('Contributions calculator'!$D$11-249),Codes!C48+250,""))</f>
        <v/>
      </c>
      <c r="H49" s="3"/>
      <c r="I49" s="3"/>
      <c r="J49" s="3"/>
      <c r="K49" s="3"/>
    </row>
    <row r="50" spans="2:11" x14ac:dyDescent="0.2">
      <c r="B50" s="63" t="str">
        <f>IF(B49&lt;(Codes!$P$14),Codes!B49+250,"")</f>
        <v/>
      </c>
      <c r="C50" s="64" t="str">
        <f>IF('Contributions calculator'!$D$11="","",IF(C49&lt;('Contributions calculator'!$D$11-249),Codes!C49+250,""))</f>
        <v/>
      </c>
      <c r="H50" s="3"/>
      <c r="I50" s="3"/>
      <c r="J50" s="3"/>
      <c r="K50" s="3"/>
    </row>
    <row r="51" spans="2:11" x14ac:dyDescent="0.2">
      <c r="B51" s="63" t="str">
        <f>IF(B50&lt;(Codes!$P$14),Codes!B50+250,"")</f>
        <v/>
      </c>
      <c r="C51" s="64" t="str">
        <f>IF('Contributions calculator'!$D$11="","",IF(C50&lt;('Contributions calculator'!$D$11-249),Codes!C50+250,""))</f>
        <v/>
      </c>
      <c r="H51" s="3"/>
      <c r="I51" s="3"/>
      <c r="J51" s="3"/>
      <c r="K51" s="3"/>
    </row>
    <row r="52" spans="2:11" x14ac:dyDescent="0.2">
      <c r="B52" s="63" t="str">
        <f>IF(B51&lt;(Codes!$P$14),Codes!B51+250,"")</f>
        <v/>
      </c>
      <c r="C52" s="64" t="str">
        <f>IF('Contributions calculator'!$D$11="","",IF(C51&lt;('Contributions calculator'!$D$11-249),Codes!C51+250,""))</f>
        <v/>
      </c>
      <c r="H52" s="3"/>
      <c r="I52" s="3"/>
      <c r="J52" s="3"/>
      <c r="K52" s="3"/>
    </row>
    <row r="53" spans="2:11" x14ac:dyDescent="0.2">
      <c r="B53" s="63" t="str">
        <f>IF(B52&lt;(Codes!$P$14),Codes!B52+250,"")</f>
        <v/>
      </c>
      <c r="C53" s="64" t="str">
        <f>IF('Contributions calculator'!$D$11="","",IF(C52&lt;('Contributions calculator'!$D$11-249),Codes!C52+250,""))</f>
        <v/>
      </c>
      <c r="H53" s="3"/>
      <c r="I53" s="3"/>
      <c r="J53" s="3"/>
      <c r="K53" s="3"/>
    </row>
    <row r="54" spans="2:11" x14ac:dyDescent="0.2">
      <c r="B54" s="63" t="str">
        <f>IF(B53&lt;(Codes!$P$14),Codes!B53+250,"")</f>
        <v/>
      </c>
      <c r="C54" s="64" t="str">
        <f>IF('Contributions calculator'!$D$11="","",IF(C53&lt;('Contributions calculator'!$D$11-249),Codes!C53+250,""))</f>
        <v/>
      </c>
      <c r="H54" s="3"/>
      <c r="I54" s="3"/>
      <c r="J54" s="3"/>
      <c r="K54" s="3"/>
    </row>
    <row r="55" spans="2:11" x14ac:dyDescent="0.2">
      <c r="B55" s="63" t="str">
        <f>IF(B54&lt;(Codes!$P$14),Codes!B54+250,"")</f>
        <v/>
      </c>
      <c r="C55" s="64" t="str">
        <f>IF('Contributions calculator'!$D$11="","",IF(C54&lt;('Contributions calculator'!$D$11-249),Codes!C54+250,""))</f>
        <v/>
      </c>
      <c r="H55" s="3"/>
      <c r="I55" s="3"/>
      <c r="J55" s="3"/>
      <c r="K55" s="3"/>
    </row>
    <row r="56" spans="2:11" x14ac:dyDescent="0.2">
      <c r="B56" s="63" t="str">
        <f>IF(B55&lt;(Codes!$P$14),Codes!B55+250,"")</f>
        <v/>
      </c>
      <c r="C56" s="64" t="str">
        <f>IF('Contributions calculator'!$D$11="","",IF(C55&lt;('Contributions calculator'!$D$11-249),Codes!C55+250,""))</f>
        <v/>
      </c>
      <c r="H56" s="3"/>
      <c r="I56" s="3"/>
      <c r="J56" s="3"/>
      <c r="K56" s="3"/>
    </row>
    <row r="57" spans="2:11" x14ac:dyDescent="0.2">
      <c r="B57" s="63" t="str">
        <f>IF(B56&lt;(Codes!$P$14),Codes!B56+250,"")</f>
        <v/>
      </c>
      <c r="C57" s="64" t="str">
        <f>IF('Contributions calculator'!$D$11="","",IF(C56&lt;('Contributions calculator'!$D$11-249),Codes!C56+250,""))</f>
        <v/>
      </c>
      <c r="H57" s="3"/>
      <c r="I57" s="3"/>
      <c r="J57" s="3"/>
      <c r="K57" s="3"/>
    </row>
    <row r="58" spans="2:11" x14ac:dyDescent="0.2">
      <c r="B58" s="63" t="str">
        <f>IF(B57&lt;(Codes!$P$14),Codes!B57+250,"")</f>
        <v/>
      </c>
      <c r="C58" s="64" t="str">
        <f>IF('Contributions calculator'!$D$11="","",IF(C57&lt;('Contributions calculator'!$D$11-249),Codes!C57+250,""))</f>
        <v/>
      </c>
      <c r="H58" s="3"/>
      <c r="I58" s="3"/>
      <c r="J58" s="3"/>
      <c r="K58" s="3"/>
    </row>
    <row r="59" spans="2:11" x14ac:dyDescent="0.2">
      <c r="B59" s="63" t="str">
        <f>IF(B58&lt;(Codes!$P$14),Codes!B58+250,"")</f>
        <v/>
      </c>
      <c r="C59" s="64" t="str">
        <f>IF('Contributions calculator'!$D$11="","",IF(C58&lt;('Contributions calculator'!$D$11-249),Codes!C58+250,""))</f>
        <v/>
      </c>
      <c r="H59" s="3"/>
      <c r="I59" s="3"/>
      <c r="J59" s="3"/>
      <c r="K59" s="3"/>
    </row>
    <row r="60" spans="2:11" x14ac:dyDescent="0.2">
      <c r="B60" s="63" t="str">
        <f>IF(B59&lt;(Codes!$P$14),Codes!B59+250,"")</f>
        <v/>
      </c>
      <c r="C60" s="64" t="str">
        <f>IF('Contributions calculator'!$D$11="","",IF(C59&lt;('Contributions calculator'!$D$11-249),Codes!C59+250,""))</f>
        <v/>
      </c>
      <c r="H60" s="3"/>
      <c r="I60" s="3"/>
      <c r="J60" s="3"/>
      <c r="K60" s="3"/>
    </row>
    <row r="61" spans="2:11" x14ac:dyDescent="0.2">
      <c r="B61" s="63" t="str">
        <f>IF(B60&lt;(Codes!$P$14),Codes!B60+250,"")</f>
        <v/>
      </c>
      <c r="C61" s="64" t="str">
        <f>IF('Contributions calculator'!$D$11="","",IF(C60&lt;('Contributions calculator'!$D$11-249),Codes!C60+250,""))</f>
        <v/>
      </c>
      <c r="H61" s="3"/>
      <c r="I61" s="3"/>
      <c r="J61" s="3"/>
      <c r="K61" s="3"/>
    </row>
    <row r="62" spans="2:11" x14ac:dyDescent="0.2">
      <c r="B62" s="63" t="str">
        <f>IF(B61&lt;(Codes!$P$14),Codes!B61+250,"")</f>
        <v/>
      </c>
      <c r="C62" s="64" t="str">
        <f>IF('Contributions calculator'!$D$11="","",IF(C61&lt;('Contributions calculator'!$D$11-249),Codes!C61+250,""))</f>
        <v/>
      </c>
      <c r="H62" s="3"/>
      <c r="I62" s="3"/>
      <c r="J62" s="3"/>
      <c r="K62" s="3"/>
    </row>
    <row r="63" spans="2:11" x14ac:dyDescent="0.2">
      <c r="B63" s="63" t="str">
        <f>IF(B62&lt;(Codes!$P$14),Codes!B62+250,"")</f>
        <v/>
      </c>
      <c r="C63" s="64" t="str">
        <f>IF('Contributions calculator'!$D$11="","",IF(C62&lt;('Contributions calculator'!$D$11-249),Codes!C62+250,""))</f>
        <v/>
      </c>
      <c r="H63" s="3"/>
      <c r="I63" s="3"/>
      <c r="J63" s="3"/>
      <c r="K63" s="3"/>
    </row>
    <row r="64" spans="2:11" x14ac:dyDescent="0.2">
      <c r="B64" s="63" t="str">
        <f>IF(B63&lt;(Codes!$P$14),Codes!B63+250,"")</f>
        <v/>
      </c>
      <c r="C64" s="64" t="str">
        <f>IF('Contributions calculator'!$D$11="","",IF(C63&lt;('Contributions calculator'!$D$11-249),Codes!C63+250,""))</f>
        <v/>
      </c>
      <c r="H64" s="3"/>
      <c r="I64" s="3"/>
      <c r="J64" s="3"/>
      <c r="K64" s="3"/>
    </row>
    <row r="65" spans="2:11" x14ac:dyDescent="0.2">
      <c r="B65" s="63" t="str">
        <f>IF(B64&lt;(Codes!$P$14),Codes!B64+250,"")</f>
        <v/>
      </c>
      <c r="C65" s="64" t="str">
        <f>IF('Contributions calculator'!$D$11="","",IF(C64&lt;('Contributions calculator'!$D$11-249),Codes!C64+250,""))</f>
        <v/>
      </c>
      <c r="H65" s="3"/>
      <c r="I65" s="3"/>
      <c r="J65" s="3"/>
      <c r="K65" s="3"/>
    </row>
    <row r="66" spans="2:11" x14ac:dyDescent="0.2">
      <c r="B66" s="63" t="str">
        <f>IF(B65&lt;(Codes!$P$14),Codes!B65+250,"")</f>
        <v/>
      </c>
      <c r="C66" s="64" t="str">
        <f>IF('Contributions calculator'!$D$11="","",IF(C65&lt;('Contributions calculator'!$D$11-249),Codes!C65+250,""))</f>
        <v/>
      </c>
      <c r="H66" s="3"/>
      <c r="I66" s="3"/>
      <c r="J66" s="3"/>
      <c r="K66" s="3"/>
    </row>
    <row r="67" spans="2:11" x14ac:dyDescent="0.2">
      <c r="B67" s="63" t="str">
        <f>IF(B66&lt;(Codes!$P$14),Codes!B66+250,"")</f>
        <v/>
      </c>
      <c r="C67" s="64" t="str">
        <f>IF('Contributions calculator'!$D$11="","",IF(C66&lt;('Contributions calculator'!$D$11-249),Codes!C66+250,""))</f>
        <v/>
      </c>
      <c r="H67" s="3"/>
      <c r="I67" s="3"/>
      <c r="J67" s="3"/>
      <c r="K67" s="3"/>
    </row>
    <row r="68" spans="2:11" x14ac:dyDescent="0.2">
      <c r="B68" s="63" t="str">
        <f>IF(B67&lt;(Codes!$P$14),Codes!B67+250,"")</f>
        <v/>
      </c>
      <c r="C68" s="64" t="str">
        <f>IF('Contributions calculator'!$D$11="","",IF(C67&lt;('Contributions calculator'!$D$11-249),Codes!C67+250,""))</f>
        <v/>
      </c>
      <c r="H68" s="3"/>
      <c r="I68" s="3"/>
      <c r="J68" s="3"/>
      <c r="K68" s="3"/>
    </row>
    <row r="69" spans="2:11" x14ac:dyDescent="0.2">
      <c r="B69" s="63" t="str">
        <f>IF(B68&lt;(Codes!$P$14),Codes!B68+250,"")</f>
        <v/>
      </c>
      <c r="C69" s="64" t="str">
        <f>IF('Contributions calculator'!$D$11="","",IF(C68&lt;('Contributions calculator'!$D$11-249),Codes!C68+250,""))</f>
        <v/>
      </c>
      <c r="H69" s="3"/>
      <c r="I69" s="3"/>
      <c r="J69" s="3"/>
      <c r="K69" s="3"/>
    </row>
    <row r="70" spans="2:11" x14ac:dyDescent="0.2">
      <c r="B70" s="63" t="str">
        <f>IF(B69&lt;(Codes!$P$14),Codes!B69+250,"")</f>
        <v/>
      </c>
      <c r="C70" s="64" t="str">
        <f>IF('Contributions calculator'!$D$11="","",IF(C69&lt;('Contributions calculator'!$D$11-249),Codes!C69+250,""))</f>
        <v/>
      </c>
      <c r="H70" s="3"/>
      <c r="I70" s="3"/>
      <c r="J70" s="3"/>
      <c r="K70" s="3"/>
    </row>
    <row r="71" spans="2:11" x14ac:dyDescent="0.2">
      <c r="B71" s="63" t="str">
        <f>IF(B70&lt;(Codes!$P$14),Codes!B70+250,"")</f>
        <v/>
      </c>
      <c r="C71" s="64" t="str">
        <f>IF('Contributions calculator'!$D$11="","",IF(C70&lt;('Contributions calculator'!$D$11-249),Codes!C70+250,""))</f>
        <v/>
      </c>
      <c r="H71" s="3"/>
      <c r="I71" s="3"/>
      <c r="J71" s="3"/>
      <c r="K71" s="3"/>
    </row>
    <row r="72" spans="2:11" x14ac:dyDescent="0.2">
      <c r="B72" s="63" t="str">
        <f>IF(B71&lt;(Codes!$P$14),Codes!B71+250,"")</f>
        <v/>
      </c>
      <c r="C72" s="64" t="str">
        <f>IF('Contributions calculator'!$D$11="","",IF(C71&lt;('Contributions calculator'!$D$11-249),Codes!C71+250,""))</f>
        <v/>
      </c>
      <c r="H72" s="3"/>
      <c r="I72" s="3"/>
      <c r="J72" s="3"/>
      <c r="K72" s="3"/>
    </row>
    <row r="73" spans="2:11" x14ac:dyDescent="0.2">
      <c r="B73" s="63" t="str">
        <f>IF(B72&lt;(Codes!$P$14),Codes!B72+250,"")</f>
        <v/>
      </c>
      <c r="C73" s="64" t="str">
        <f>IF('Contributions calculator'!$D$11="","",IF(C72&lt;('Contributions calculator'!$D$11-249),Codes!C72+250,""))</f>
        <v/>
      </c>
      <c r="H73" s="3"/>
      <c r="I73" s="3"/>
      <c r="J73" s="3"/>
      <c r="K73" s="3"/>
    </row>
    <row r="74" spans="2:11" x14ac:dyDescent="0.2">
      <c r="B74" s="63" t="str">
        <f>IF(B73&lt;(Codes!$P$14),Codes!B73+250,"")</f>
        <v/>
      </c>
      <c r="C74" s="64" t="str">
        <f>IF('Contributions calculator'!$D$11="","",IF(C73&lt;('Contributions calculator'!$D$11-249),Codes!C73+250,""))</f>
        <v/>
      </c>
      <c r="H74" s="3"/>
      <c r="I74" s="3"/>
      <c r="J74" s="3"/>
      <c r="K74" s="3"/>
    </row>
    <row r="75" spans="2:11" x14ac:dyDescent="0.2">
      <c r="B75" s="63" t="str">
        <f>IF(B74&lt;(Codes!$P$14),Codes!B74+250,"")</f>
        <v/>
      </c>
      <c r="C75" s="64"/>
      <c r="H75" s="3"/>
      <c r="I75" s="3"/>
      <c r="J75" s="3"/>
      <c r="K75" s="3"/>
    </row>
    <row r="76" spans="2:11" x14ac:dyDescent="0.2">
      <c r="B76" s="63" t="str">
        <f>IF(B75&lt;(Codes!$P$14),Codes!B75+250,"")</f>
        <v/>
      </c>
      <c r="C76" s="64"/>
      <c r="H76" s="3"/>
      <c r="I76" s="3"/>
      <c r="J76" s="3"/>
      <c r="K76" s="3"/>
    </row>
    <row r="77" spans="2:11" x14ac:dyDescent="0.2">
      <c r="B77" s="63" t="str">
        <f>IF(B76&lt;(Codes!$P$14),Codes!B76+250,"")</f>
        <v/>
      </c>
      <c r="H77" s="3"/>
      <c r="I77" s="3"/>
      <c r="J77" s="3"/>
      <c r="K77" s="3"/>
    </row>
    <row r="78" spans="2:11" x14ac:dyDescent="0.2">
      <c r="B78" s="63" t="str">
        <f>IF(B77&lt;(Codes!$P$14),Codes!B77+250,"")</f>
        <v/>
      </c>
      <c r="H78" s="3"/>
      <c r="I78" s="3"/>
      <c r="J78" s="3"/>
      <c r="K78" s="3"/>
    </row>
    <row r="79" spans="2:11" x14ac:dyDescent="0.2">
      <c r="B79" s="63" t="str">
        <f>IF(B78&lt;(Codes!$P$14),Codes!B78+250,"")</f>
        <v/>
      </c>
      <c r="H79" s="3"/>
      <c r="I79" s="3"/>
      <c r="J79" s="3"/>
      <c r="K79" s="3"/>
    </row>
    <row r="80" spans="2:11" x14ac:dyDescent="0.2">
      <c r="B80" s="63" t="str">
        <f>IF(B79&lt;(Codes!$P$14),Codes!B79+250,"")</f>
        <v/>
      </c>
      <c r="H80" s="3"/>
      <c r="I80" s="3"/>
      <c r="J80" s="3"/>
      <c r="K80" s="3"/>
    </row>
    <row r="81" spans="8:11" x14ac:dyDescent="0.2">
      <c r="H81" s="3"/>
      <c r="I81" s="3"/>
      <c r="J81" s="3"/>
      <c r="K81" s="3"/>
    </row>
    <row r="82" spans="8:11" x14ac:dyDescent="0.2">
      <c r="H82" s="3"/>
      <c r="I82" s="3"/>
      <c r="J82" s="3"/>
      <c r="K82" s="3"/>
    </row>
    <row r="83" spans="8:11" x14ac:dyDescent="0.2">
      <c r="H83" s="3"/>
      <c r="I83" s="3"/>
      <c r="J83" s="3"/>
      <c r="K83" s="3"/>
    </row>
    <row r="84" spans="8:11" x14ac:dyDescent="0.2">
      <c r="H84" s="3"/>
      <c r="I84" s="3"/>
      <c r="J84" s="3"/>
      <c r="K84" s="3"/>
    </row>
    <row r="85" spans="8:11" x14ac:dyDescent="0.2">
      <c r="H85" s="3"/>
      <c r="I85" s="3"/>
      <c r="J85" s="3"/>
      <c r="K85" s="3"/>
    </row>
    <row r="86" spans="8:11" x14ac:dyDescent="0.2">
      <c r="H86" s="3"/>
      <c r="I86" s="3"/>
      <c r="J86" s="3"/>
      <c r="K86" s="3"/>
    </row>
    <row r="87" spans="8:11" x14ac:dyDescent="0.2">
      <c r="H87" s="3"/>
      <c r="I87" s="3"/>
      <c r="J87" s="3"/>
      <c r="K87" s="3"/>
    </row>
    <row r="88" spans="8:11" x14ac:dyDescent="0.2">
      <c r="H88" s="3"/>
      <c r="I88" s="3"/>
      <c r="J88" s="3"/>
      <c r="K88" s="3"/>
    </row>
    <row r="89" spans="8:11" x14ac:dyDescent="0.2">
      <c r="H89" s="3"/>
      <c r="I89" s="3"/>
      <c r="J89" s="3"/>
      <c r="K89" s="3"/>
    </row>
    <row r="90" spans="8:11" x14ac:dyDescent="0.2">
      <c r="H90" s="3"/>
      <c r="I90" s="3"/>
      <c r="J90" s="3"/>
      <c r="K90" s="3"/>
    </row>
    <row r="91" spans="8:11" x14ac:dyDescent="0.2">
      <c r="H91" s="3"/>
      <c r="I91" s="3"/>
      <c r="J91" s="3"/>
      <c r="K91" s="3"/>
    </row>
    <row r="92" spans="8:11" x14ac:dyDescent="0.2">
      <c r="H92" s="3"/>
      <c r="I92" s="3"/>
      <c r="J92" s="3"/>
      <c r="K92" s="3"/>
    </row>
    <row r="93" spans="8:11" x14ac:dyDescent="0.2">
      <c r="H93" s="3"/>
      <c r="I93" s="3"/>
      <c r="J93" s="3"/>
      <c r="K93" s="3"/>
    </row>
    <row r="94" spans="8:11" x14ac:dyDescent="0.2">
      <c r="H94" s="3"/>
      <c r="I94" s="3"/>
      <c r="J94" s="3"/>
      <c r="K94" s="3"/>
    </row>
    <row r="95" spans="8:11" x14ac:dyDescent="0.2">
      <c r="H95" s="3"/>
      <c r="I95" s="3"/>
      <c r="J95" s="3"/>
      <c r="K95" s="3"/>
    </row>
    <row r="96" spans="8:11" x14ac:dyDescent="0.2">
      <c r="H96" s="3"/>
      <c r="I96" s="3"/>
      <c r="J96" s="3"/>
      <c r="K96" s="3"/>
    </row>
    <row r="97" spans="8:11" x14ac:dyDescent="0.2">
      <c r="H97" s="3"/>
      <c r="I97" s="3"/>
      <c r="J97" s="3"/>
      <c r="K97" s="3"/>
    </row>
    <row r="98" spans="8:11" x14ac:dyDescent="0.2">
      <c r="H98" s="3"/>
      <c r="I98" s="3"/>
      <c r="J98" s="3"/>
      <c r="K98" s="3"/>
    </row>
    <row r="99" spans="8:11" x14ac:dyDescent="0.2">
      <c r="H99" s="3"/>
      <c r="I99" s="3"/>
      <c r="J99" s="3"/>
      <c r="K99" s="3"/>
    </row>
    <row r="100" spans="8:11" x14ac:dyDescent="0.2">
      <c r="H100" s="3"/>
      <c r="I100" s="3"/>
      <c r="J100" s="3"/>
      <c r="K100" s="3"/>
    </row>
    <row r="101" spans="8:11" x14ac:dyDescent="0.2">
      <c r="H101" s="3"/>
      <c r="I101" s="3"/>
      <c r="J101" s="3"/>
      <c r="K101" s="3"/>
    </row>
    <row r="102" spans="8:11" x14ac:dyDescent="0.2">
      <c r="H102" s="3"/>
      <c r="I102" s="3"/>
      <c r="J102" s="3"/>
      <c r="K102" s="3"/>
    </row>
    <row r="103" spans="8:11" x14ac:dyDescent="0.2">
      <c r="H103" s="3"/>
      <c r="I103" s="3"/>
      <c r="J103" s="3"/>
      <c r="K103" s="3"/>
    </row>
    <row r="104" spans="8:11" x14ac:dyDescent="0.2">
      <c r="H104" s="3"/>
      <c r="I104" s="3"/>
      <c r="J104" s="3"/>
      <c r="K104" s="3"/>
    </row>
    <row r="105" spans="8:11" x14ac:dyDescent="0.2">
      <c r="H105" s="3"/>
      <c r="I105" s="3"/>
      <c r="J105" s="3"/>
      <c r="K105" s="3"/>
    </row>
    <row r="106" spans="8:11" x14ac:dyDescent="0.2">
      <c r="H106" s="3"/>
      <c r="I106" s="3"/>
      <c r="J106" s="3"/>
      <c r="K106" s="3"/>
    </row>
    <row r="107" spans="8:11" x14ac:dyDescent="0.2">
      <c r="H107" s="3"/>
      <c r="I107" s="3"/>
      <c r="J107" s="3"/>
      <c r="K107" s="3"/>
    </row>
    <row r="108" spans="8:11" x14ac:dyDescent="0.2">
      <c r="H108" s="3"/>
      <c r="I108" s="3"/>
      <c r="J108" s="3"/>
      <c r="K108" s="3"/>
    </row>
    <row r="109" spans="8:11" x14ac:dyDescent="0.2">
      <c r="H109" s="3"/>
      <c r="I109" s="3"/>
      <c r="J109" s="3"/>
      <c r="K109" s="3"/>
    </row>
    <row r="110" spans="8:11" x14ac:dyDescent="0.2">
      <c r="H110" s="3"/>
      <c r="I110" s="3"/>
      <c r="J110" s="3"/>
      <c r="K110" s="3"/>
    </row>
    <row r="111" spans="8:11" x14ac:dyDescent="0.2">
      <c r="H111" s="3"/>
      <c r="I111" s="3"/>
      <c r="J111" s="3"/>
      <c r="K111" s="3"/>
    </row>
    <row r="112" spans="8:11" x14ac:dyDescent="0.2">
      <c r="H112" s="3"/>
      <c r="I112" s="3"/>
      <c r="J112" s="3"/>
      <c r="K112" s="3"/>
    </row>
    <row r="113" spans="8:11" x14ac:dyDescent="0.2">
      <c r="H113" s="3"/>
      <c r="I113" s="3"/>
      <c r="J113" s="3"/>
      <c r="K113" s="3"/>
    </row>
    <row r="114" spans="8:11" x14ac:dyDescent="0.2">
      <c r="H114" s="3"/>
      <c r="I114" s="3"/>
      <c r="J114" s="3"/>
      <c r="K114" s="3"/>
    </row>
    <row r="115" spans="8:11" x14ac:dyDescent="0.2">
      <c r="H115" s="3"/>
      <c r="I115" s="3"/>
      <c r="J115" s="3"/>
      <c r="K115" s="3"/>
    </row>
    <row r="116" spans="8:11" x14ac:dyDescent="0.2">
      <c r="H116" s="3"/>
      <c r="I116" s="3"/>
      <c r="J116" s="3"/>
      <c r="K116" s="3"/>
    </row>
    <row r="117" spans="8:11" x14ac:dyDescent="0.2">
      <c r="H117" s="3"/>
      <c r="I117" s="3"/>
      <c r="J117" s="3"/>
      <c r="K117" s="3"/>
    </row>
    <row r="118" spans="8:11" x14ac:dyDescent="0.2">
      <c r="H118" s="3"/>
      <c r="I118" s="3"/>
      <c r="J118" s="3"/>
      <c r="K118" s="3"/>
    </row>
    <row r="119" spans="8:11" x14ac:dyDescent="0.2">
      <c r="H119" s="3"/>
      <c r="I119" s="3"/>
      <c r="J119" s="3"/>
      <c r="K119" s="3"/>
    </row>
    <row r="120" spans="8:11" x14ac:dyDescent="0.2">
      <c r="H120" s="3"/>
      <c r="I120" s="3"/>
      <c r="J120" s="3"/>
      <c r="K120" s="3"/>
    </row>
    <row r="121" spans="8:11" x14ac:dyDescent="0.2">
      <c r="H121" s="3"/>
      <c r="I121" s="3"/>
      <c r="J121" s="3"/>
      <c r="K121" s="3"/>
    </row>
    <row r="122" spans="8:11" x14ac:dyDescent="0.2">
      <c r="H122" s="3"/>
      <c r="I122" s="3"/>
      <c r="J122" s="3"/>
      <c r="K122" s="3"/>
    </row>
    <row r="123" spans="8:11" x14ac:dyDescent="0.2">
      <c r="H123" s="3"/>
      <c r="I123" s="3"/>
      <c r="J123" s="3"/>
      <c r="K123" s="3"/>
    </row>
    <row r="124" spans="8:11" x14ac:dyDescent="0.2">
      <c r="H124" s="3"/>
      <c r="I124" s="3"/>
      <c r="J124" s="3"/>
      <c r="K124" s="3"/>
    </row>
    <row r="125" spans="8:11" x14ac:dyDescent="0.2">
      <c r="H125" s="3"/>
      <c r="I125" s="3"/>
      <c r="J125" s="3"/>
      <c r="K125" s="3"/>
    </row>
    <row r="126" spans="8:11" x14ac:dyDescent="0.2">
      <c r="H126" s="3"/>
      <c r="I126" s="3"/>
      <c r="J126" s="3"/>
      <c r="K126" s="3"/>
    </row>
    <row r="127" spans="8:11" x14ac:dyDescent="0.2">
      <c r="H127" s="3"/>
      <c r="I127" s="3"/>
      <c r="J127" s="3"/>
      <c r="K127" s="3"/>
    </row>
    <row r="128" spans="8:11" x14ac:dyDescent="0.2">
      <c r="H128" s="3"/>
      <c r="I128" s="3"/>
      <c r="J128" s="3"/>
      <c r="K128" s="3"/>
    </row>
    <row r="129" spans="8:11" x14ac:dyDescent="0.2">
      <c r="H129" s="3"/>
      <c r="I129" s="3"/>
      <c r="J129" s="3"/>
      <c r="K129" s="3"/>
    </row>
    <row r="130" spans="8:11" x14ac:dyDescent="0.2">
      <c r="H130" s="3"/>
      <c r="I130" s="3"/>
      <c r="J130" s="3"/>
      <c r="K130" s="3"/>
    </row>
    <row r="131" spans="8:11" x14ac:dyDescent="0.2">
      <c r="H131" s="3"/>
      <c r="I131" s="3"/>
      <c r="J131" s="3"/>
      <c r="K131" s="3"/>
    </row>
    <row r="132" spans="8:11" x14ac:dyDescent="0.2">
      <c r="H132" s="3"/>
      <c r="I132" s="3"/>
      <c r="J132" s="3"/>
      <c r="K132" s="3"/>
    </row>
    <row r="133" spans="8:11" x14ac:dyDescent="0.2">
      <c r="H133" s="3"/>
      <c r="I133" s="3"/>
      <c r="J133" s="3"/>
      <c r="K133" s="3"/>
    </row>
    <row r="134" spans="8:11" x14ac:dyDescent="0.2">
      <c r="H134" s="3"/>
      <c r="I134" s="3"/>
      <c r="J134" s="3"/>
      <c r="K134" s="3"/>
    </row>
    <row r="135" spans="8:11" x14ac:dyDescent="0.2">
      <c r="H135" s="3"/>
      <c r="I135" s="3"/>
      <c r="J135" s="3"/>
      <c r="K135" s="3"/>
    </row>
    <row r="136" spans="8:11" x14ac:dyDescent="0.2">
      <c r="H136" s="3"/>
      <c r="I136" s="3"/>
      <c r="J136" s="3"/>
      <c r="K136" s="3"/>
    </row>
    <row r="137" spans="8:11" x14ac:dyDescent="0.2">
      <c r="H137" s="3"/>
      <c r="I137" s="3"/>
      <c r="J137" s="3"/>
      <c r="K137" s="3"/>
    </row>
    <row r="138" spans="8:11" x14ac:dyDescent="0.2">
      <c r="H138" s="3"/>
      <c r="I138" s="3"/>
      <c r="J138" s="3"/>
      <c r="K138" s="3"/>
    </row>
    <row r="139" spans="8:11" x14ac:dyDescent="0.2">
      <c r="H139" s="3"/>
      <c r="I139" s="3"/>
      <c r="J139" s="3"/>
      <c r="K139" s="3"/>
    </row>
    <row r="140" spans="8:11" x14ac:dyDescent="0.2">
      <c r="H140" s="3"/>
      <c r="I140" s="3"/>
      <c r="J140" s="3"/>
      <c r="K140" s="3"/>
    </row>
    <row r="141" spans="8:11" x14ac:dyDescent="0.2">
      <c r="H141" s="3"/>
      <c r="I141" s="3"/>
      <c r="J141" s="3"/>
      <c r="K141" s="3"/>
    </row>
    <row r="142" spans="8:11" x14ac:dyDescent="0.2">
      <c r="H142" s="3"/>
      <c r="I142" s="3"/>
      <c r="J142" s="3"/>
      <c r="K142" s="3"/>
    </row>
    <row r="143" spans="8:11" x14ac:dyDescent="0.2">
      <c r="H143" s="3"/>
      <c r="I143" s="3"/>
      <c r="J143" s="3"/>
      <c r="K143" s="3"/>
    </row>
    <row r="144" spans="8:11" x14ac:dyDescent="0.2">
      <c r="H144" s="3"/>
      <c r="I144" s="3"/>
      <c r="J144" s="3"/>
      <c r="K144" s="3"/>
    </row>
    <row r="145" spans="8:11" x14ac:dyDescent="0.2">
      <c r="H145" s="3"/>
      <c r="I145" s="3"/>
      <c r="J145" s="3"/>
      <c r="K145" s="3"/>
    </row>
    <row r="146" spans="8:11" x14ac:dyDescent="0.2">
      <c r="H146" s="3"/>
      <c r="I146" s="3"/>
      <c r="J146" s="3"/>
      <c r="K146" s="3"/>
    </row>
    <row r="147" spans="8:11" x14ac:dyDescent="0.2">
      <c r="H147" s="3"/>
      <c r="I147" s="3"/>
      <c r="J147" s="3"/>
      <c r="K147" s="3"/>
    </row>
    <row r="148" spans="8:11" x14ac:dyDescent="0.2">
      <c r="H148" s="3"/>
      <c r="I148" s="3"/>
      <c r="J148" s="3"/>
      <c r="K148" s="3"/>
    </row>
    <row r="149" spans="8:11" x14ac:dyDescent="0.2">
      <c r="H149" s="3"/>
      <c r="I149" s="3"/>
      <c r="J149" s="3"/>
      <c r="K149" s="3"/>
    </row>
    <row r="150" spans="8:11" x14ac:dyDescent="0.2">
      <c r="H150" s="3"/>
      <c r="I150" s="3"/>
      <c r="J150" s="3"/>
      <c r="K150" s="3"/>
    </row>
    <row r="151" spans="8:11" x14ac:dyDescent="0.2">
      <c r="H151" s="3"/>
      <c r="I151" s="3"/>
      <c r="J151" s="3"/>
      <c r="K151" s="3"/>
    </row>
    <row r="152" spans="8:11" x14ac:dyDescent="0.2">
      <c r="H152" s="3"/>
      <c r="I152" s="3"/>
      <c r="J152" s="3"/>
      <c r="K152" s="3"/>
    </row>
    <row r="153" spans="8:11" x14ac:dyDescent="0.2">
      <c r="H153" s="3"/>
      <c r="I153" s="3"/>
      <c r="J153" s="3"/>
      <c r="K153" s="3"/>
    </row>
    <row r="154" spans="8:11" x14ac:dyDescent="0.2">
      <c r="H154" s="3"/>
      <c r="I154" s="3"/>
      <c r="J154" s="3"/>
      <c r="K154" s="3"/>
    </row>
    <row r="155" spans="8:11" x14ac:dyDescent="0.2">
      <c r="H155" s="3"/>
      <c r="I155" s="3"/>
      <c r="J155" s="3"/>
      <c r="K155" s="3"/>
    </row>
    <row r="156" spans="8:11" x14ac:dyDescent="0.2">
      <c r="H156" s="3"/>
      <c r="I156" s="3"/>
      <c r="J156" s="3"/>
      <c r="K156" s="3"/>
    </row>
    <row r="157" spans="8:11" x14ac:dyDescent="0.2">
      <c r="H157" s="3"/>
      <c r="I157" s="3"/>
      <c r="J157" s="3"/>
      <c r="K157" s="3"/>
    </row>
    <row r="158" spans="8:11" x14ac:dyDescent="0.2">
      <c r="H158" s="3"/>
      <c r="I158" s="3"/>
      <c r="J158" s="3"/>
      <c r="K158" s="3"/>
    </row>
    <row r="159" spans="8:11" x14ac:dyDescent="0.2">
      <c r="H159" s="3"/>
      <c r="I159" s="3"/>
      <c r="J159" s="3"/>
      <c r="K159" s="3"/>
    </row>
    <row r="160" spans="8:11" x14ac:dyDescent="0.2">
      <c r="H160" s="3"/>
      <c r="I160" s="3"/>
      <c r="J160" s="3"/>
      <c r="K160" s="3"/>
    </row>
    <row r="161" spans="8:11" x14ac:dyDescent="0.2">
      <c r="H161" s="3"/>
      <c r="I161" s="3"/>
      <c r="J161" s="3"/>
      <c r="K161" s="3"/>
    </row>
    <row r="162" spans="8:11" x14ac:dyDescent="0.2">
      <c r="H162" s="3"/>
      <c r="I162" s="3"/>
      <c r="J162" s="3"/>
      <c r="K162" s="3"/>
    </row>
    <row r="163" spans="8:11" x14ac:dyDescent="0.2">
      <c r="H163" s="3"/>
      <c r="I163" s="3"/>
      <c r="J163" s="3"/>
      <c r="K163" s="3"/>
    </row>
    <row r="164" spans="8:11" x14ac:dyDescent="0.2">
      <c r="H164" s="3"/>
      <c r="I164" s="3"/>
      <c r="J164" s="3"/>
      <c r="K164" s="3"/>
    </row>
    <row r="165" spans="8:11" x14ac:dyDescent="0.2">
      <c r="H165" s="3"/>
      <c r="I165" s="3"/>
      <c r="J165" s="3"/>
      <c r="K165" s="3"/>
    </row>
    <row r="166" spans="8:11" x14ac:dyDescent="0.2">
      <c r="H166" s="3"/>
      <c r="I166" s="3"/>
      <c r="J166" s="3"/>
      <c r="K166" s="3"/>
    </row>
    <row r="167" spans="8:11" x14ac:dyDescent="0.2">
      <c r="H167" s="3"/>
      <c r="I167" s="3"/>
      <c r="J167" s="3"/>
      <c r="K167" s="3"/>
    </row>
    <row r="168" spans="8:11" x14ac:dyDescent="0.2">
      <c r="H168" s="3"/>
      <c r="I168" s="3"/>
      <c r="J168" s="3"/>
      <c r="K168" s="3"/>
    </row>
    <row r="169" spans="8:11" x14ac:dyDescent="0.2">
      <c r="H169" s="3"/>
      <c r="I169" s="3"/>
      <c r="J169" s="3"/>
      <c r="K169" s="3"/>
    </row>
    <row r="170" spans="8:11" x14ac:dyDescent="0.2">
      <c r="H170" s="3"/>
      <c r="I170" s="3"/>
      <c r="J170" s="3"/>
      <c r="K170" s="3"/>
    </row>
    <row r="171" spans="8:11" x14ac:dyDescent="0.2">
      <c r="H171" s="3"/>
      <c r="I171" s="3"/>
      <c r="J171" s="3"/>
      <c r="K171" s="3"/>
    </row>
    <row r="172" spans="8:11" x14ac:dyDescent="0.2">
      <c r="H172" s="3"/>
      <c r="I172" s="3"/>
      <c r="J172" s="3"/>
      <c r="K172" s="3"/>
    </row>
    <row r="173" spans="8:11" x14ac:dyDescent="0.2">
      <c r="H173" s="3"/>
      <c r="I173" s="3"/>
      <c r="J173" s="3"/>
      <c r="K173" s="3"/>
    </row>
    <row r="174" spans="8:11" x14ac:dyDescent="0.2">
      <c r="H174" s="3"/>
      <c r="I174" s="3"/>
      <c r="J174" s="3"/>
      <c r="K174" s="3"/>
    </row>
    <row r="175" spans="8:11" x14ac:dyDescent="0.2">
      <c r="H175" s="3"/>
      <c r="I175" s="3"/>
      <c r="J175" s="3"/>
      <c r="K175" s="3"/>
    </row>
    <row r="176" spans="8:11" x14ac:dyDescent="0.2">
      <c r="H176" s="3"/>
      <c r="I176" s="3"/>
      <c r="J176" s="3"/>
      <c r="K176" s="3"/>
    </row>
    <row r="177" spans="8:11" x14ac:dyDescent="0.2">
      <c r="H177" s="3"/>
      <c r="I177" s="3"/>
      <c r="J177" s="3"/>
      <c r="K177" s="3"/>
    </row>
    <row r="178" spans="8:11" x14ac:dyDescent="0.2">
      <c r="H178" s="3"/>
      <c r="I178" s="3"/>
      <c r="J178" s="3"/>
      <c r="K178" s="3"/>
    </row>
    <row r="179" spans="8:11" x14ac:dyDescent="0.2">
      <c r="H179" s="3"/>
      <c r="I179" s="3"/>
      <c r="J179" s="3"/>
      <c r="K179" s="3"/>
    </row>
    <row r="180" spans="8:11" x14ac:dyDescent="0.2">
      <c r="H180" s="3"/>
      <c r="I180" s="3"/>
      <c r="J180" s="3"/>
      <c r="K180" s="3"/>
    </row>
    <row r="181" spans="8:11" x14ac:dyDescent="0.2">
      <c r="H181" s="3"/>
      <c r="I181" s="3"/>
      <c r="J181" s="3"/>
      <c r="K181" s="3"/>
    </row>
    <row r="182" spans="8:11" x14ac:dyDescent="0.2">
      <c r="H182" s="3"/>
      <c r="I182" s="3"/>
      <c r="J182" s="3"/>
      <c r="K182" s="3"/>
    </row>
    <row r="183" spans="8:11" x14ac:dyDescent="0.2">
      <c r="H183" s="3"/>
      <c r="I183" s="3"/>
      <c r="J183" s="3"/>
      <c r="K183" s="3"/>
    </row>
    <row r="184" spans="8:11" x14ac:dyDescent="0.2">
      <c r="H184" s="3"/>
      <c r="I184" s="3"/>
      <c r="J184" s="3"/>
      <c r="K184" s="3"/>
    </row>
    <row r="185" spans="8:11" x14ac:dyDescent="0.2">
      <c r="H185" s="3"/>
      <c r="I185" s="3"/>
      <c r="J185" s="3"/>
      <c r="K185" s="3"/>
    </row>
    <row r="186" spans="8:11" x14ac:dyDescent="0.2">
      <c r="H186" s="3"/>
      <c r="I186" s="3"/>
      <c r="J186" s="3"/>
      <c r="K186" s="3"/>
    </row>
    <row r="187" spans="8:11" x14ac:dyDescent="0.2">
      <c r="H187" s="3"/>
      <c r="I187" s="3"/>
      <c r="J187" s="3"/>
      <c r="K187" s="3"/>
    </row>
    <row r="188" spans="8:11" x14ac:dyDescent="0.2">
      <c r="H188" s="3"/>
      <c r="I188" s="3"/>
      <c r="J188" s="3"/>
      <c r="K188" s="3"/>
    </row>
    <row r="189" spans="8:11" x14ac:dyDescent="0.2">
      <c r="H189" s="3"/>
      <c r="I189" s="3"/>
      <c r="J189" s="3"/>
      <c r="K189" s="3"/>
    </row>
    <row r="190" spans="8:11" x14ac:dyDescent="0.2">
      <c r="H190" s="3"/>
      <c r="I190" s="3"/>
      <c r="J190" s="3"/>
      <c r="K190" s="3"/>
    </row>
    <row r="191" spans="8:11" x14ac:dyDescent="0.2">
      <c r="H191" s="3"/>
      <c r="I191" s="3"/>
      <c r="J191" s="3"/>
      <c r="K191" s="3"/>
    </row>
    <row r="192" spans="8:11" x14ac:dyDescent="0.2">
      <c r="H192" s="3"/>
      <c r="I192" s="3"/>
      <c r="J192" s="3"/>
      <c r="K192" s="3"/>
    </row>
    <row r="193" spans="8:11" x14ac:dyDescent="0.2">
      <c r="H193" s="3"/>
      <c r="I193" s="3"/>
      <c r="J193" s="3"/>
      <c r="K193" s="3"/>
    </row>
    <row r="194" spans="8:11" x14ac:dyDescent="0.2">
      <c r="H194" s="3"/>
      <c r="I194" s="3"/>
      <c r="J194" s="3"/>
      <c r="K194" s="3"/>
    </row>
    <row r="195" spans="8:11" x14ac:dyDescent="0.2">
      <c r="H195" s="3"/>
      <c r="I195" s="3"/>
      <c r="J195" s="3"/>
      <c r="K195" s="3"/>
    </row>
    <row r="196" spans="8:11" x14ac:dyDescent="0.2">
      <c r="H196" s="3"/>
      <c r="I196" s="3"/>
      <c r="J196" s="3"/>
      <c r="K196" s="3"/>
    </row>
    <row r="197" spans="8:11" x14ac:dyDescent="0.2">
      <c r="H197" s="3"/>
      <c r="I197" s="3"/>
      <c r="J197" s="3"/>
      <c r="K197" s="3"/>
    </row>
    <row r="198" spans="8:11" x14ac:dyDescent="0.2">
      <c r="H198" s="3"/>
      <c r="I198" s="3"/>
      <c r="J198" s="3"/>
      <c r="K198" s="3"/>
    </row>
    <row r="199" spans="8:11" x14ac:dyDescent="0.2">
      <c r="H199" s="3"/>
      <c r="I199" s="3"/>
      <c r="J199" s="3"/>
      <c r="K199" s="3"/>
    </row>
    <row r="200" spans="8:11" x14ac:dyDescent="0.2">
      <c r="H200" s="3"/>
      <c r="I200" s="3"/>
      <c r="J200" s="3"/>
      <c r="K200" s="3"/>
    </row>
    <row r="201" spans="8:11" x14ac:dyDescent="0.2">
      <c r="H201" s="3"/>
      <c r="I201" s="3"/>
      <c r="J201" s="3"/>
      <c r="K201" s="3"/>
    </row>
    <row r="202" spans="8:11" x14ac:dyDescent="0.2">
      <c r="H202" s="3"/>
      <c r="I202" s="3"/>
      <c r="J202" s="3"/>
      <c r="K202" s="3"/>
    </row>
    <row r="203" spans="8:11" x14ac:dyDescent="0.2">
      <c r="H203" s="3"/>
      <c r="I203" s="3"/>
      <c r="J203" s="3"/>
      <c r="K203" s="3"/>
    </row>
    <row r="204" spans="8:11" x14ac:dyDescent="0.2">
      <c r="H204" s="3"/>
      <c r="I204" s="3"/>
      <c r="J204" s="3"/>
      <c r="K204" s="3"/>
    </row>
    <row r="205" spans="8:11" x14ac:dyDescent="0.2">
      <c r="H205" s="3"/>
      <c r="I205" s="3"/>
      <c r="J205" s="3"/>
      <c r="K205" s="3"/>
    </row>
    <row r="206" spans="8:11" x14ac:dyDescent="0.2">
      <c r="H206" s="3"/>
      <c r="I206" s="3"/>
      <c r="J206" s="3"/>
      <c r="K206" s="3"/>
    </row>
    <row r="207" spans="8:11" x14ac:dyDescent="0.2">
      <c r="H207" s="3"/>
      <c r="I207" s="3"/>
      <c r="J207" s="3"/>
      <c r="K207" s="3"/>
    </row>
    <row r="208" spans="8:11" x14ac:dyDescent="0.2">
      <c r="H208" s="3"/>
      <c r="I208" s="3"/>
      <c r="J208" s="3"/>
      <c r="K208" s="3"/>
    </row>
    <row r="209" spans="8:11" x14ac:dyDescent="0.2">
      <c r="H209" s="3"/>
      <c r="I209" s="3"/>
      <c r="J209" s="3"/>
      <c r="K209" s="3"/>
    </row>
    <row r="210" spans="8:11" x14ac:dyDescent="0.2">
      <c r="H210" s="3"/>
      <c r="I210" s="3"/>
      <c r="J210" s="3"/>
      <c r="K210" s="3"/>
    </row>
    <row r="211" spans="8:11" x14ac:dyDescent="0.2">
      <c r="H211" s="3"/>
      <c r="I211" s="3"/>
      <c r="J211" s="3"/>
      <c r="K211" s="3"/>
    </row>
    <row r="212" spans="8:11" x14ac:dyDescent="0.2">
      <c r="H212" s="3"/>
      <c r="I212" s="3"/>
      <c r="J212" s="3"/>
      <c r="K212" s="3"/>
    </row>
    <row r="213" spans="8:11" x14ac:dyDescent="0.2">
      <c r="H213" s="3"/>
      <c r="I213" s="3"/>
      <c r="J213" s="3"/>
      <c r="K213" s="3"/>
    </row>
    <row r="214" spans="8:11" x14ac:dyDescent="0.2">
      <c r="H214" s="3"/>
      <c r="I214" s="3"/>
      <c r="J214" s="3"/>
      <c r="K214" s="3"/>
    </row>
    <row r="215" spans="8:11" x14ac:dyDescent="0.2">
      <c r="H215" s="3"/>
      <c r="I215" s="3"/>
      <c r="J215" s="3"/>
      <c r="K215" s="3"/>
    </row>
    <row r="216" spans="8:11" x14ac:dyDescent="0.2">
      <c r="H216" s="3"/>
      <c r="I216" s="3"/>
      <c r="J216" s="3"/>
      <c r="K216" s="3"/>
    </row>
    <row r="217" spans="8:11" x14ac:dyDescent="0.2">
      <c r="H217" s="3"/>
      <c r="I217" s="3"/>
      <c r="J217" s="3"/>
      <c r="K217" s="3"/>
    </row>
    <row r="218" spans="8:11" x14ac:dyDescent="0.2">
      <c r="H218" s="3"/>
      <c r="I218" s="3"/>
      <c r="J218" s="3"/>
      <c r="K218" s="3"/>
    </row>
    <row r="219" spans="8:11" x14ac:dyDescent="0.2">
      <c r="H219" s="3"/>
      <c r="I219" s="3"/>
      <c r="J219" s="3"/>
      <c r="K219" s="3"/>
    </row>
    <row r="220" spans="8:11" x14ac:dyDescent="0.2">
      <c r="H220" s="3"/>
      <c r="I220" s="3"/>
      <c r="J220" s="3"/>
    </row>
    <row r="221" spans="8:11" x14ac:dyDescent="0.2">
      <c r="H221" s="3"/>
      <c r="I221" s="3"/>
      <c r="J221" s="3"/>
    </row>
    <row r="222" spans="8:11" x14ac:dyDescent="0.2">
      <c r="H222" s="3"/>
      <c r="I222" s="3"/>
      <c r="J222" s="3"/>
    </row>
    <row r="223" spans="8:11" x14ac:dyDescent="0.2">
      <c r="H223" s="3"/>
      <c r="I223" s="3"/>
      <c r="J223" s="3"/>
    </row>
    <row r="224" spans="8:11" x14ac:dyDescent="0.2">
      <c r="H224" s="3"/>
      <c r="I224" s="3"/>
      <c r="J224" s="3"/>
    </row>
    <row r="225" spans="8:10" x14ac:dyDescent="0.2">
      <c r="H225" s="3"/>
      <c r="I225" s="3"/>
      <c r="J225" s="3"/>
    </row>
    <row r="226" spans="8:10" x14ac:dyDescent="0.2">
      <c r="H226" s="3"/>
    </row>
    <row r="227" spans="8:10" x14ac:dyDescent="0.2">
      <c r="H227" s="3"/>
    </row>
    <row r="228" spans="8:10" x14ac:dyDescent="0.2">
      <c r="H228" s="3"/>
    </row>
    <row r="229" spans="8:10" x14ac:dyDescent="0.2">
      <c r="H229" s="3"/>
    </row>
    <row r="230" spans="8:10" x14ac:dyDescent="0.2">
      <c r="H230" s="3"/>
    </row>
    <row r="231" spans="8:10" x14ac:dyDescent="0.2">
      <c r="H231" s="3"/>
    </row>
    <row r="232" spans="8:10" x14ac:dyDescent="0.2">
      <c r="H232" s="3"/>
    </row>
    <row r="233" spans="8:10" x14ac:dyDescent="0.2">
      <c r="H233" s="3"/>
    </row>
    <row r="234" spans="8:10" x14ac:dyDescent="0.2">
      <c r="H234" s="3"/>
    </row>
    <row r="235" spans="8:10" x14ac:dyDescent="0.2">
      <c r="H235" s="3"/>
    </row>
    <row r="236" spans="8:10" x14ac:dyDescent="0.2">
      <c r="H236" s="3"/>
    </row>
    <row r="237" spans="8:10" x14ac:dyDescent="0.2">
      <c r="H237" s="3"/>
    </row>
    <row r="238" spans="8:10" x14ac:dyDescent="0.2">
      <c r="H238" s="3"/>
    </row>
    <row r="239" spans="8:10" x14ac:dyDescent="0.2">
      <c r="H239" s="3"/>
    </row>
    <row r="240" spans="8:10" x14ac:dyDescent="0.2">
      <c r="H240" s="3"/>
    </row>
    <row r="241" spans="8:8" x14ac:dyDescent="0.2">
      <c r="H241" s="3"/>
    </row>
    <row r="242" spans="8:8" x14ac:dyDescent="0.2">
      <c r="H242" s="3"/>
    </row>
    <row r="243" spans="8:8" x14ac:dyDescent="0.2">
      <c r="H243" s="3"/>
    </row>
    <row r="244" spans="8:8" x14ac:dyDescent="0.2">
      <c r="H244" s="3"/>
    </row>
    <row r="245" spans="8:8" x14ac:dyDescent="0.2">
      <c r="H245" s="3"/>
    </row>
    <row r="246" spans="8:8" x14ac:dyDescent="0.2">
      <c r="H246" s="3"/>
    </row>
    <row r="247" spans="8:8" x14ac:dyDescent="0.2">
      <c r="H247" s="3"/>
    </row>
    <row r="248" spans="8:8" x14ac:dyDescent="0.2">
      <c r="H248" s="3"/>
    </row>
    <row r="249" spans="8:8" x14ac:dyDescent="0.2">
      <c r="H249" s="3"/>
    </row>
    <row r="250" spans="8:8" x14ac:dyDescent="0.2">
      <c r="H250" s="3"/>
    </row>
    <row r="251" spans="8:8" x14ac:dyDescent="0.2">
      <c r="H251" s="3"/>
    </row>
    <row r="252" spans="8:8" x14ac:dyDescent="0.2">
      <c r="H252" s="3"/>
    </row>
    <row r="253" spans="8:8" x14ac:dyDescent="0.2">
      <c r="H253" s="3"/>
    </row>
    <row r="254" spans="8:8" x14ac:dyDescent="0.2">
      <c r="H254" s="3"/>
    </row>
    <row r="255" spans="8:8" x14ac:dyDescent="0.2">
      <c r="H255" s="3"/>
    </row>
    <row r="256" spans="8:8" x14ac:dyDescent="0.2">
      <c r="H256" s="3"/>
    </row>
    <row r="257" spans="8:8" x14ac:dyDescent="0.2">
      <c r="H257" s="3"/>
    </row>
    <row r="258" spans="8:8" x14ac:dyDescent="0.2">
      <c r="H258" s="3"/>
    </row>
    <row r="259" spans="8:8" x14ac:dyDescent="0.2">
      <c r="H259" s="3"/>
    </row>
    <row r="260" spans="8:8" x14ac:dyDescent="0.2">
      <c r="H260" s="3"/>
    </row>
    <row r="261" spans="8:8" x14ac:dyDescent="0.2">
      <c r="H261" s="3"/>
    </row>
    <row r="262" spans="8:8" x14ac:dyDescent="0.2">
      <c r="H262" s="3"/>
    </row>
    <row r="263" spans="8:8" x14ac:dyDescent="0.2">
      <c r="H263" s="3"/>
    </row>
    <row r="264" spans="8:8" x14ac:dyDescent="0.2">
      <c r="H264" s="3"/>
    </row>
    <row r="265" spans="8:8" x14ac:dyDescent="0.2">
      <c r="H265" s="3"/>
    </row>
    <row r="266" spans="8:8" x14ac:dyDescent="0.2">
      <c r="H266" s="3"/>
    </row>
    <row r="267" spans="8:8" x14ac:dyDescent="0.2">
      <c r="H267" s="3"/>
    </row>
    <row r="268" spans="8:8" x14ac:dyDescent="0.2">
      <c r="H268" s="3"/>
    </row>
    <row r="269" spans="8:8" x14ac:dyDescent="0.2">
      <c r="H269" s="3"/>
    </row>
    <row r="270" spans="8:8" x14ac:dyDescent="0.2">
      <c r="H270" s="3"/>
    </row>
    <row r="271" spans="8:8" x14ac:dyDescent="0.2">
      <c r="H271" s="3"/>
    </row>
    <row r="272" spans="8:8" x14ac:dyDescent="0.2">
      <c r="H272" s="3"/>
    </row>
    <row r="273" spans="8:8" x14ac:dyDescent="0.2">
      <c r="H273" s="3"/>
    </row>
    <row r="274" spans="8:8" x14ac:dyDescent="0.2">
      <c r="H274" s="3"/>
    </row>
    <row r="275" spans="8:8" x14ac:dyDescent="0.2">
      <c r="H275" s="3"/>
    </row>
    <row r="276" spans="8:8" x14ac:dyDescent="0.2">
      <c r="H276" s="3"/>
    </row>
    <row r="277" spans="8:8" x14ac:dyDescent="0.2">
      <c r="H277" s="3"/>
    </row>
    <row r="278" spans="8:8" x14ac:dyDescent="0.2">
      <c r="H278" s="3"/>
    </row>
    <row r="279" spans="8:8" x14ac:dyDescent="0.2">
      <c r="H279" s="3"/>
    </row>
    <row r="280" spans="8:8" x14ac:dyDescent="0.2">
      <c r="H280" s="3"/>
    </row>
    <row r="281" spans="8:8" x14ac:dyDescent="0.2">
      <c r="H281" s="3"/>
    </row>
    <row r="282" spans="8:8" x14ac:dyDescent="0.2">
      <c r="H282" s="3"/>
    </row>
    <row r="283" spans="8:8" x14ac:dyDescent="0.2">
      <c r="H283" s="3"/>
    </row>
    <row r="284" spans="8:8" x14ac:dyDescent="0.2">
      <c r="H284" s="3"/>
    </row>
    <row r="285" spans="8:8" x14ac:dyDescent="0.2">
      <c r="H285" s="3"/>
    </row>
    <row r="286" spans="8:8" x14ac:dyDescent="0.2">
      <c r="H286" s="3"/>
    </row>
    <row r="287" spans="8:8" x14ac:dyDescent="0.2">
      <c r="H287" s="3"/>
    </row>
    <row r="288" spans="8:8" x14ac:dyDescent="0.2">
      <c r="H288" s="3"/>
    </row>
    <row r="289" spans="8:8" x14ac:dyDescent="0.2">
      <c r="H289" s="3"/>
    </row>
    <row r="290" spans="8:8" x14ac:dyDescent="0.2">
      <c r="H290" s="3"/>
    </row>
    <row r="291" spans="8:8" x14ac:dyDescent="0.2">
      <c r="H291" s="3"/>
    </row>
    <row r="292" spans="8:8" x14ac:dyDescent="0.2">
      <c r="H292" s="3"/>
    </row>
    <row r="293" spans="8:8" x14ac:dyDescent="0.2">
      <c r="H293" s="3"/>
    </row>
    <row r="294" spans="8:8" x14ac:dyDescent="0.2">
      <c r="H294" s="3"/>
    </row>
    <row r="295" spans="8:8" x14ac:dyDescent="0.2">
      <c r="H295" s="3"/>
    </row>
    <row r="296" spans="8:8" x14ac:dyDescent="0.2">
      <c r="H296" s="3"/>
    </row>
    <row r="297" spans="8:8" x14ac:dyDescent="0.2">
      <c r="H297" s="3"/>
    </row>
    <row r="298" spans="8:8" x14ac:dyDescent="0.2">
      <c r="H298" s="3"/>
    </row>
    <row r="299" spans="8:8" x14ac:dyDescent="0.2">
      <c r="H299" s="3"/>
    </row>
    <row r="300" spans="8:8" x14ac:dyDescent="0.2">
      <c r="H300" s="3"/>
    </row>
    <row r="301" spans="8:8" x14ac:dyDescent="0.2">
      <c r="H301" s="3"/>
    </row>
    <row r="302" spans="8:8" x14ac:dyDescent="0.2">
      <c r="H302" s="3"/>
    </row>
    <row r="303" spans="8:8" x14ac:dyDescent="0.2">
      <c r="H303" s="3"/>
    </row>
    <row r="304" spans="8:8" x14ac:dyDescent="0.2">
      <c r="H304" s="3"/>
    </row>
    <row r="305" spans="8:8" x14ac:dyDescent="0.2">
      <c r="H305" s="3"/>
    </row>
    <row r="306" spans="8:8" x14ac:dyDescent="0.2">
      <c r="H306" s="3"/>
    </row>
    <row r="307" spans="8:8" x14ac:dyDescent="0.2">
      <c r="H307" s="3"/>
    </row>
    <row r="308" spans="8:8" x14ac:dyDescent="0.2">
      <c r="H308" s="3"/>
    </row>
    <row r="309" spans="8:8" x14ac:dyDescent="0.2">
      <c r="H309" s="3"/>
    </row>
    <row r="310" spans="8:8" x14ac:dyDescent="0.2">
      <c r="H310" s="3"/>
    </row>
    <row r="311" spans="8:8" x14ac:dyDescent="0.2">
      <c r="H311" s="3"/>
    </row>
    <row r="312" spans="8:8" x14ac:dyDescent="0.2">
      <c r="H312" s="3"/>
    </row>
    <row r="313" spans="8:8" x14ac:dyDescent="0.2">
      <c r="H313" s="3"/>
    </row>
    <row r="314" spans="8:8" x14ac:dyDescent="0.2">
      <c r="H314" s="3"/>
    </row>
    <row r="315" spans="8:8" x14ac:dyDescent="0.2">
      <c r="H315" s="3"/>
    </row>
    <row r="316" spans="8:8" x14ac:dyDescent="0.2">
      <c r="H316" s="3"/>
    </row>
    <row r="317" spans="8:8" x14ac:dyDescent="0.2">
      <c r="H317" s="3"/>
    </row>
    <row r="318" spans="8:8" x14ac:dyDescent="0.2">
      <c r="H318" s="3"/>
    </row>
    <row r="319" spans="8:8" x14ac:dyDescent="0.2">
      <c r="H319" s="3"/>
    </row>
    <row r="320" spans="8:8" x14ac:dyDescent="0.2">
      <c r="H320" s="3"/>
    </row>
    <row r="321" spans="8:8" x14ac:dyDescent="0.2">
      <c r="H321" s="3"/>
    </row>
    <row r="322" spans="8:8" x14ac:dyDescent="0.2">
      <c r="H322" s="3"/>
    </row>
    <row r="323" spans="8:8" x14ac:dyDescent="0.2">
      <c r="H323" s="3"/>
    </row>
    <row r="324" spans="8:8" x14ac:dyDescent="0.2">
      <c r="H324" s="3"/>
    </row>
    <row r="325" spans="8:8" x14ac:dyDescent="0.2">
      <c r="H325" s="3"/>
    </row>
    <row r="326" spans="8:8" x14ac:dyDescent="0.2">
      <c r="H326" s="3"/>
    </row>
    <row r="327" spans="8:8" x14ac:dyDescent="0.2">
      <c r="H327" s="3"/>
    </row>
    <row r="328" spans="8:8" x14ac:dyDescent="0.2">
      <c r="H328" s="3"/>
    </row>
    <row r="329" spans="8:8" x14ac:dyDescent="0.2">
      <c r="H329" s="3"/>
    </row>
    <row r="330" spans="8:8" x14ac:dyDescent="0.2">
      <c r="H330" s="3"/>
    </row>
    <row r="331" spans="8:8" x14ac:dyDescent="0.2">
      <c r="H331" s="3"/>
    </row>
    <row r="332" spans="8:8" x14ac:dyDescent="0.2">
      <c r="H332" s="3"/>
    </row>
    <row r="333" spans="8:8" x14ac:dyDescent="0.2">
      <c r="H333" s="3"/>
    </row>
    <row r="334" spans="8:8" x14ac:dyDescent="0.2">
      <c r="H334" s="3"/>
    </row>
    <row r="335" spans="8:8" x14ac:dyDescent="0.2">
      <c r="H335" s="3"/>
    </row>
    <row r="336" spans="8:8" x14ac:dyDescent="0.2">
      <c r="H336" s="3"/>
    </row>
    <row r="337" spans="8:8" x14ac:dyDescent="0.2">
      <c r="H337" s="3"/>
    </row>
    <row r="338" spans="8:8" x14ac:dyDescent="0.2">
      <c r="H338" s="3"/>
    </row>
    <row r="339" spans="8:8" x14ac:dyDescent="0.2">
      <c r="H339" s="3"/>
    </row>
    <row r="340" spans="8:8" x14ac:dyDescent="0.2">
      <c r="H340" s="3"/>
    </row>
    <row r="341" spans="8:8" x14ac:dyDescent="0.2">
      <c r="H341" s="3"/>
    </row>
    <row r="342" spans="8:8" x14ac:dyDescent="0.2">
      <c r="H342" s="3"/>
    </row>
    <row r="343" spans="8:8" x14ac:dyDescent="0.2">
      <c r="H343" s="3"/>
    </row>
    <row r="344" spans="8:8" x14ac:dyDescent="0.2">
      <c r="H344" s="3"/>
    </row>
    <row r="345" spans="8:8" x14ac:dyDescent="0.2">
      <c r="H345" s="3"/>
    </row>
    <row r="346" spans="8:8" x14ac:dyDescent="0.2">
      <c r="H346" s="3"/>
    </row>
    <row r="347" spans="8:8" x14ac:dyDescent="0.2">
      <c r="H347" s="3"/>
    </row>
    <row r="348" spans="8:8" x14ac:dyDescent="0.2">
      <c r="H348" s="3"/>
    </row>
    <row r="349" spans="8:8" x14ac:dyDescent="0.2">
      <c r="H349" s="3"/>
    </row>
    <row r="350" spans="8:8" x14ac:dyDescent="0.2">
      <c r="H350" s="3"/>
    </row>
    <row r="351" spans="8:8" x14ac:dyDescent="0.2">
      <c r="H351" s="3"/>
    </row>
    <row r="352" spans="8:8" x14ac:dyDescent="0.2">
      <c r="H352" s="3"/>
    </row>
    <row r="353" spans="8:8" x14ac:dyDescent="0.2">
      <c r="H353" s="3"/>
    </row>
    <row r="354" spans="8:8" x14ac:dyDescent="0.2">
      <c r="H354" s="3"/>
    </row>
    <row r="355" spans="8:8" x14ac:dyDescent="0.2">
      <c r="H355" s="3"/>
    </row>
    <row r="356" spans="8:8" x14ac:dyDescent="0.2">
      <c r="H356" s="3"/>
    </row>
    <row r="357" spans="8:8" x14ac:dyDescent="0.2">
      <c r="H357" s="3"/>
    </row>
    <row r="358" spans="8:8" x14ac:dyDescent="0.2">
      <c r="H358" s="3"/>
    </row>
    <row r="359" spans="8:8" x14ac:dyDescent="0.2">
      <c r="H359" s="3"/>
    </row>
    <row r="360" spans="8:8" x14ac:dyDescent="0.2">
      <c r="H360" s="3"/>
    </row>
    <row r="361" spans="8:8" x14ac:dyDescent="0.2">
      <c r="H361" s="3"/>
    </row>
    <row r="362" spans="8:8" x14ac:dyDescent="0.2">
      <c r="H362" s="3"/>
    </row>
    <row r="363" spans="8:8" x14ac:dyDescent="0.2">
      <c r="H363" s="3"/>
    </row>
    <row r="364" spans="8:8" x14ac:dyDescent="0.2">
      <c r="H364" s="3"/>
    </row>
    <row r="365" spans="8:8" x14ac:dyDescent="0.2">
      <c r="H365" s="3"/>
    </row>
    <row r="366" spans="8:8" x14ac:dyDescent="0.2">
      <c r="H366" s="3"/>
    </row>
    <row r="367" spans="8:8" x14ac:dyDescent="0.2">
      <c r="H367" s="3"/>
    </row>
    <row r="368" spans="8:8" x14ac:dyDescent="0.2">
      <c r="H368" s="3"/>
    </row>
    <row r="369" spans="8:8" x14ac:dyDescent="0.2">
      <c r="H369" s="3"/>
    </row>
    <row r="370" spans="8:8" x14ac:dyDescent="0.2">
      <c r="H370" s="3"/>
    </row>
    <row r="371" spans="8:8" x14ac:dyDescent="0.2">
      <c r="H371" s="3"/>
    </row>
    <row r="372" spans="8:8" x14ac:dyDescent="0.2">
      <c r="H372" s="3"/>
    </row>
    <row r="373" spans="8:8" x14ac:dyDescent="0.2">
      <c r="H373" s="3"/>
    </row>
    <row r="374" spans="8:8" x14ac:dyDescent="0.2">
      <c r="H374" s="3"/>
    </row>
    <row r="375" spans="8:8" x14ac:dyDescent="0.2">
      <c r="H375" s="3"/>
    </row>
    <row r="376" spans="8:8" x14ac:dyDescent="0.2">
      <c r="H376" s="3"/>
    </row>
    <row r="377" spans="8:8" x14ac:dyDescent="0.2">
      <c r="H377" s="3"/>
    </row>
    <row r="378" spans="8:8" x14ac:dyDescent="0.2">
      <c r="H378" s="3"/>
    </row>
    <row r="379" spans="8:8" x14ac:dyDescent="0.2">
      <c r="H379" s="3"/>
    </row>
    <row r="380" spans="8:8" x14ac:dyDescent="0.2">
      <c r="H380" s="3"/>
    </row>
    <row r="381" spans="8:8" x14ac:dyDescent="0.2">
      <c r="H381" s="3"/>
    </row>
    <row r="382" spans="8:8" x14ac:dyDescent="0.2">
      <c r="H382" s="3"/>
    </row>
    <row r="383" spans="8:8" x14ac:dyDescent="0.2">
      <c r="H383" s="3"/>
    </row>
    <row r="384" spans="8:8" x14ac:dyDescent="0.2">
      <c r="H384" s="3"/>
    </row>
    <row r="385" spans="8:8" x14ac:dyDescent="0.2">
      <c r="H385" s="3"/>
    </row>
    <row r="386" spans="8:8" x14ac:dyDescent="0.2">
      <c r="H386" s="3"/>
    </row>
    <row r="387" spans="8:8" x14ac:dyDescent="0.2">
      <c r="H387" s="3"/>
    </row>
    <row r="388" spans="8:8" x14ac:dyDescent="0.2">
      <c r="H388" s="3"/>
    </row>
    <row r="389" spans="8:8" x14ac:dyDescent="0.2">
      <c r="H389" s="3"/>
    </row>
    <row r="390" spans="8:8" x14ac:dyDescent="0.2">
      <c r="H390" s="3"/>
    </row>
    <row r="391" spans="8:8" x14ac:dyDescent="0.2">
      <c r="H391" s="3"/>
    </row>
    <row r="392" spans="8:8" x14ac:dyDescent="0.2">
      <c r="H392" s="3"/>
    </row>
    <row r="393" spans="8:8" x14ac:dyDescent="0.2">
      <c r="H393" s="3"/>
    </row>
    <row r="394" spans="8:8" x14ac:dyDescent="0.2">
      <c r="H394" s="3"/>
    </row>
    <row r="395" spans="8:8" x14ac:dyDescent="0.2">
      <c r="H395" s="3"/>
    </row>
    <row r="396" spans="8:8" x14ac:dyDescent="0.2">
      <c r="H396" s="3"/>
    </row>
    <row r="397" spans="8:8" x14ac:dyDescent="0.2">
      <c r="H397" s="3"/>
    </row>
    <row r="398" spans="8:8" x14ac:dyDescent="0.2">
      <c r="H398" s="3"/>
    </row>
    <row r="399" spans="8:8" x14ac:dyDescent="0.2">
      <c r="H399" s="3"/>
    </row>
    <row r="400" spans="8:8" x14ac:dyDescent="0.2">
      <c r="H400" s="3"/>
    </row>
    <row r="401" spans="8:8" x14ac:dyDescent="0.2">
      <c r="H401" s="3"/>
    </row>
    <row r="402" spans="8:8" x14ac:dyDescent="0.2">
      <c r="H402" s="3"/>
    </row>
    <row r="403" spans="8:8" x14ac:dyDescent="0.2">
      <c r="H403" s="3"/>
    </row>
    <row r="404" spans="8:8" x14ac:dyDescent="0.2">
      <c r="H404" s="3"/>
    </row>
    <row r="405" spans="8:8" x14ac:dyDescent="0.2">
      <c r="H405" s="3"/>
    </row>
    <row r="406" spans="8:8" x14ac:dyDescent="0.2">
      <c r="H406" s="3"/>
    </row>
    <row r="407" spans="8:8" x14ac:dyDescent="0.2">
      <c r="H407" s="3"/>
    </row>
    <row r="408" spans="8:8" x14ac:dyDescent="0.2">
      <c r="H408" s="3"/>
    </row>
    <row r="409" spans="8:8" x14ac:dyDescent="0.2">
      <c r="H409" s="3"/>
    </row>
    <row r="410" spans="8:8" x14ac:dyDescent="0.2">
      <c r="H410" s="3"/>
    </row>
    <row r="411" spans="8:8" x14ac:dyDescent="0.2">
      <c r="H411" s="3"/>
    </row>
    <row r="412" spans="8:8" x14ac:dyDescent="0.2">
      <c r="H412" s="3"/>
    </row>
    <row r="413" spans="8:8" x14ac:dyDescent="0.2">
      <c r="H413" s="3"/>
    </row>
    <row r="414" spans="8:8" x14ac:dyDescent="0.2">
      <c r="H414" s="3"/>
    </row>
    <row r="415" spans="8:8" x14ac:dyDescent="0.2">
      <c r="H415" s="3"/>
    </row>
    <row r="416" spans="8:8" x14ac:dyDescent="0.2">
      <c r="H416" s="3"/>
    </row>
    <row r="417" spans="8:8" x14ac:dyDescent="0.2">
      <c r="H417" s="3"/>
    </row>
    <row r="418" spans="8:8" x14ac:dyDescent="0.2">
      <c r="H418" s="3"/>
    </row>
    <row r="419" spans="8:8" x14ac:dyDescent="0.2">
      <c r="H419" s="3"/>
    </row>
    <row r="420" spans="8:8" x14ac:dyDescent="0.2">
      <c r="H420" s="3"/>
    </row>
    <row r="421" spans="8:8" x14ac:dyDescent="0.2">
      <c r="H421" s="3"/>
    </row>
    <row r="422" spans="8:8" x14ac:dyDescent="0.2">
      <c r="H422" s="3"/>
    </row>
    <row r="423" spans="8:8" x14ac:dyDescent="0.2">
      <c r="H423" s="3"/>
    </row>
    <row r="424" spans="8:8" x14ac:dyDescent="0.2">
      <c r="H424" s="3"/>
    </row>
    <row r="425" spans="8:8" x14ac:dyDescent="0.2">
      <c r="H425" s="3"/>
    </row>
    <row r="426" spans="8:8" x14ac:dyDescent="0.2">
      <c r="H426" s="3"/>
    </row>
    <row r="427" spans="8:8" x14ac:dyDescent="0.2">
      <c r="H427" s="3"/>
    </row>
    <row r="428" spans="8:8" x14ac:dyDescent="0.2">
      <c r="H428" s="3"/>
    </row>
    <row r="429" spans="8:8" x14ac:dyDescent="0.2">
      <c r="H429" s="3"/>
    </row>
    <row r="430" spans="8:8" x14ac:dyDescent="0.2">
      <c r="H430" s="3"/>
    </row>
    <row r="431" spans="8:8" x14ac:dyDescent="0.2">
      <c r="H431" s="3"/>
    </row>
    <row r="432" spans="8:8" x14ac:dyDescent="0.2">
      <c r="H432" s="3"/>
    </row>
    <row r="433" spans="8:8" x14ac:dyDescent="0.2">
      <c r="H433" s="3"/>
    </row>
    <row r="434" spans="8:8" x14ac:dyDescent="0.2">
      <c r="H434" s="3"/>
    </row>
    <row r="435" spans="8:8" x14ac:dyDescent="0.2">
      <c r="H435" s="3"/>
    </row>
    <row r="436" spans="8:8" x14ac:dyDescent="0.2">
      <c r="H436" s="3"/>
    </row>
    <row r="437" spans="8:8" x14ac:dyDescent="0.2">
      <c r="H437" s="3"/>
    </row>
    <row r="438" spans="8:8" x14ac:dyDescent="0.2">
      <c r="H438" s="3"/>
    </row>
    <row r="439" spans="8:8" x14ac:dyDescent="0.2">
      <c r="H439" s="3"/>
    </row>
    <row r="440" spans="8:8" x14ac:dyDescent="0.2">
      <c r="H440" s="3"/>
    </row>
    <row r="441" spans="8:8" x14ac:dyDescent="0.2">
      <c r="H441" s="3"/>
    </row>
    <row r="442" spans="8:8" x14ac:dyDescent="0.2">
      <c r="H442" s="3"/>
    </row>
    <row r="443" spans="8:8" x14ac:dyDescent="0.2">
      <c r="H443" s="3"/>
    </row>
    <row r="444" spans="8:8" x14ac:dyDescent="0.2">
      <c r="H444" s="3"/>
    </row>
    <row r="445" spans="8:8" x14ac:dyDescent="0.2">
      <c r="H445" s="3"/>
    </row>
    <row r="446" spans="8:8" x14ac:dyDescent="0.2">
      <c r="H446" s="3"/>
    </row>
    <row r="447" spans="8:8" x14ac:dyDescent="0.2">
      <c r="H447" s="3"/>
    </row>
    <row r="448" spans="8:8" x14ac:dyDescent="0.2">
      <c r="H448" s="3"/>
    </row>
    <row r="449" spans="8:8" x14ac:dyDescent="0.2">
      <c r="H449" s="3"/>
    </row>
    <row r="450" spans="8:8" x14ac:dyDescent="0.2">
      <c r="H450" s="3"/>
    </row>
    <row r="451" spans="8:8" x14ac:dyDescent="0.2">
      <c r="H451" s="3"/>
    </row>
    <row r="452" spans="8:8" x14ac:dyDescent="0.2">
      <c r="H452" s="3"/>
    </row>
    <row r="453" spans="8:8" x14ac:dyDescent="0.2">
      <c r="H453" s="3"/>
    </row>
    <row r="454" spans="8:8" x14ac:dyDescent="0.2">
      <c r="H454" s="3"/>
    </row>
    <row r="455" spans="8:8" x14ac:dyDescent="0.2">
      <c r="H455" s="3"/>
    </row>
    <row r="456" spans="8:8" x14ac:dyDescent="0.2">
      <c r="H456" s="3"/>
    </row>
    <row r="457" spans="8:8" x14ac:dyDescent="0.2">
      <c r="H457" s="3"/>
    </row>
    <row r="458" spans="8:8" x14ac:dyDescent="0.2">
      <c r="H458" s="3"/>
    </row>
    <row r="459" spans="8:8" x14ac:dyDescent="0.2">
      <c r="H459" s="3"/>
    </row>
    <row r="460" spans="8:8" x14ac:dyDescent="0.2">
      <c r="H460" s="3"/>
    </row>
    <row r="461" spans="8:8" x14ac:dyDescent="0.2">
      <c r="H461" s="3"/>
    </row>
    <row r="462" spans="8:8" x14ac:dyDescent="0.2">
      <c r="H462" s="3"/>
    </row>
    <row r="463" spans="8:8" x14ac:dyDescent="0.2">
      <c r="H463" s="3"/>
    </row>
    <row r="464" spans="8:8" x14ac:dyDescent="0.2">
      <c r="H464" s="3"/>
    </row>
    <row r="465" spans="8:8" x14ac:dyDescent="0.2">
      <c r="H465" s="3"/>
    </row>
    <row r="466" spans="8:8" x14ac:dyDescent="0.2">
      <c r="H466" s="3"/>
    </row>
    <row r="467" spans="8:8" x14ac:dyDescent="0.2">
      <c r="H467" s="3"/>
    </row>
    <row r="468" spans="8:8" x14ac:dyDescent="0.2">
      <c r="H468" s="3"/>
    </row>
    <row r="469" spans="8:8" x14ac:dyDescent="0.2">
      <c r="H469" s="3"/>
    </row>
    <row r="470" spans="8:8" x14ac:dyDescent="0.2">
      <c r="H470" s="3"/>
    </row>
    <row r="471" spans="8:8" x14ac:dyDescent="0.2">
      <c r="H471" s="3"/>
    </row>
    <row r="472" spans="8:8" x14ac:dyDescent="0.2">
      <c r="H472" s="3"/>
    </row>
    <row r="473" spans="8:8" x14ac:dyDescent="0.2">
      <c r="H473" s="3"/>
    </row>
    <row r="474" spans="8:8" x14ac:dyDescent="0.2">
      <c r="H474" s="3"/>
    </row>
    <row r="475" spans="8:8" x14ac:dyDescent="0.2">
      <c r="H475" s="3"/>
    </row>
    <row r="476" spans="8:8" x14ac:dyDescent="0.2">
      <c r="H476" s="3"/>
    </row>
    <row r="477" spans="8:8" x14ac:dyDescent="0.2">
      <c r="H477" s="3"/>
    </row>
    <row r="478" spans="8:8" x14ac:dyDescent="0.2">
      <c r="H478" s="3"/>
    </row>
    <row r="479" spans="8:8" x14ac:dyDescent="0.2">
      <c r="H479" s="3"/>
    </row>
    <row r="480" spans="8:8" x14ac:dyDescent="0.2">
      <c r="H480" s="3"/>
    </row>
    <row r="481" spans="8:8" x14ac:dyDescent="0.2">
      <c r="H481" s="3"/>
    </row>
    <row r="482" spans="8:8" x14ac:dyDescent="0.2">
      <c r="H482" s="3"/>
    </row>
    <row r="483" spans="8:8" x14ac:dyDescent="0.2">
      <c r="H483" s="3"/>
    </row>
    <row r="484" spans="8:8" x14ac:dyDescent="0.2">
      <c r="H484" s="3"/>
    </row>
    <row r="485" spans="8:8" x14ac:dyDescent="0.2">
      <c r="H485" s="3"/>
    </row>
    <row r="486" spans="8:8" x14ac:dyDescent="0.2">
      <c r="H486" s="3"/>
    </row>
    <row r="487" spans="8:8" x14ac:dyDescent="0.2">
      <c r="H487" s="3"/>
    </row>
    <row r="488" spans="8:8" x14ac:dyDescent="0.2">
      <c r="H488" s="3"/>
    </row>
    <row r="489" spans="8:8" x14ac:dyDescent="0.2">
      <c r="H489" s="3"/>
    </row>
    <row r="490" spans="8:8" x14ac:dyDescent="0.2">
      <c r="H490" s="3"/>
    </row>
    <row r="491" spans="8:8" x14ac:dyDescent="0.2">
      <c r="H491" s="3"/>
    </row>
    <row r="492" spans="8:8" x14ac:dyDescent="0.2">
      <c r="H492" s="3"/>
    </row>
    <row r="493" spans="8:8" x14ac:dyDescent="0.2">
      <c r="H493" s="3"/>
    </row>
    <row r="494" spans="8:8" x14ac:dyDescent="0.2">
      <c r="H494" s="3"/>
    </row>
    <row r="495" spans="8:8" x14ac:dyDescent="0.2">
      <c r="H495" s="3"/>
    </row>
    <row r="496" spans="8:8" x14ac:dyDescent="0.2">
      <c r="H496" s="3"/>
    </row>
    <row r="497" spans="8:8" x14ac:dyDescent="0.2">
      <c r="H497" s="3"/>
    </row>
    <row r="498" spans="8:8" x14ac:dyDescent="0.2">
      <c r="H498" s="3"/>
    </row>
    <row r="499" spans="8:8" x14ac:dyDescent="0.2">
      <c r="H499" s="3"/>
    </row>
    <row r="500" spans="8:8" x14ac:dyDescent="0.2">
      <c r="H500" s="3"/>
    </row>
    <row r="501" spans="8:8" x14ac:dyDescent="0.2">
      <c r="H501" s="3"/>
    </row>
    <row r="502" spans="8:8" x14ac:dyDescent="0.2">
      <c r="H502" s="3"/>
    </row>
    <row r="503" spans="8:8" x14ac:dyDescent="0.2">
      <c r="H503" s="3"/>
    </row>
    <row r="504" spans="8:8" x14ac:dyDescent="0.2">
      <c r="H504" s="3"/>
    </row>
    <row r="505" spans="8:8" x14ac:dyDescent="0.2">
      <c r="H505" s="3"/>
    </row>
    <row r="506" spans="8:8" x14ac:dyDescent="0.2">
      <c r="H506" s="3"/>
    </row>
    <row r="507" spans="8:8" x14ac:dyDescent="0.2">
      <c r="H507" s="3"/>
    </row>
    <row r="508" spans="8:8" x14ac:dyDescent="0.2">
      <c r="H508" s="3"/>
    </row>
    <row r="509" spans="8:8" x14ac:dyDescent="0.2">
      <c r="H509" s="3"/>
    </row>
    <row r="510" spans="8:8" x14ac:dyDescent="0.2">
      <c r="H510" s="3"/>
    </row>
    <row r="511" spans="8:8" x14ac:dyDescent="0.2">
      <c r="H511" s="3"/>
    </row>
    <row r="512" spans="8:8" x14ac:dyDescent="0.2">
      <c r="H512" s="3"/>
    </row>
    <row r="513" spans="8:8" x14ac:dyDescent="0.2">
      <c r="H513" s="3"/>
    </row>
    <row r="514" spans="8:8" x14ac:dyDescent="0.2">
      <c r="H514" s="3"/>
    </row>
    <row r="515" spans="8:8" x14ac:dyDescent="0.2">
      <c r="H515" s="3"/>
    </row>
    <row r="516" spans="8:8" x14ac:dyDescent="0.2">
      <c r="H516" s="3"/>
    </row>
    <row r="517" spans="8:8" x14ac:dyDescent="0.2">
      <c r="H517" s="3"/>
    </row>
    <row r="518" spans="8:8" x14ac:dyDescent="0.2">
      <c r="H518" s="3"/>
    </row>
    <row r="519" spans="8:8" x14ac:dyDescent="0.2">
      <c r="H519" s="3"/>
    </row>
    <row r="520" spans="8:8" x14ac:dyDescent="0.2">
      <c r="H520" s="3"/>
    </row>
    <row r="521" spans="8:8" x14ac:dyDescent="0.2">
      <c r="H521" s="3"/>
    </row>
    <row r="522" spans="8:8" x14ac:dyDescent="0.2">
      <c r="H522" s="3"/>
    </row>
    <row r="523" spans="8:8" x14ac:dyDescent="0.2">
      <c r="H523" s="3"/>
    </row>
    <row r="524" spans="8:8" x14ac:dyDescent="0.2">
      <c r="H524" s="3"/>
    </row>
    <row r="525" spans="8:8" x14ac:dyDescent="0.2">
      <c r="H525" s="3"/>
    </row>
    <row r="526" spans="8:8" x14ac:dyDescent="0.2">
      <c r="H526" s="3"/>
    </row>
    <row r="527" spans="8:8" x14ac:dyDescent="0.2">
      <c r="H527" s="3"/>
    </row>
    <row r="528" spans="8:8" x14ac:dyDescent="0.2">
      <c r="H528" s="3"/>
    </row>
    <row r="529" spans="8:8" x14ac:dyDescent="0.2">
      <c r="H529" s="3"/>
    </row>
    <row r="530" spans="8:8" x14ac:dyDescent="0.2">
      <c r="H530" s="3"/>
    </row>
    <row r="531" spans="8:8" x14ac:dyDescent="0.2">
      <c r="H531" s="3"/>
    </row>
    <row r="532" spans="8:8" x14ac:dyDescent="0.2">
      <c r="H532" s="3"/>
    </row>
    <row r="533" spans="8:8" x14ac:dyDescent="0.2">
      <c r="H533" s="3"/>
    </row>
    <row r="534" spans="8:8" x14ac:dyDescent="0.2">
      <c r="H534" s="3"/>
    </row>
    <row r="535" spans="8:8" x14ac:dyDescent="0.2">
      <c r="H535" s="3"/>
    </row>
    <row r="536" spans="8:8" x14ac:dyDescent="0.2">
      <c r="H536" s="3"/>
    </row>
    <row r="537" spans="8:8" x14ac:dyDescent="0.2">
      <c r="H537" s="3"/>
    </row>
    <row r="538" spans="8:8" x14ac:dyDescent="0.2">
      <c r="H538" s="3"/>
    </row>
    <row r="539" spans="8:8" x14ac:dyDescent="0.2">
      <c r="H539" s="3"/>
    </row>
    <row r="540" spans="8:8" x14ac:dyDescent="0.2">
      <c r="H540" s="3"/>
    </row>
    <row r="541" spans="8:8" x14ac:dyDescent="0.2">
      <c r="H541" s="3"/>
    </row>
    <row r="542" spans="8:8" x14ac:dyDescent="0.2">
      <c r="H542" s="3"/>
    </row>
    <row r="543" spans="8:8" x14ac:dyDescent="0.2">
      <c r="H543" s="3"/>
    </row>
    <row r="544" spans="8:8" x14ac:dyDescent="0.2">
      <c r="H544" s="3"/>
    </row>
    <row r="545" spans="8:8" x14ac:dyDescent="0.2">
      <c r="H545" s="3"/>
    </row>
    <row r="546" spans="8:8" x14ac:dyDescent="0.2">
      <c r="H546" s="3"/>
    </row>
    <row r="547" spans="8:8" x14ac:dyDescent="0.2">
      <c r="H547" s="3"/>
    </row>
    <row r="548" spans="8:8" x14ac:dyDescent="0.2">
      <c r="H548" s="3"/>
    </row>
    <row r="549" spans="8:8" x14ac:dyDescent="0.2">
      <c r="H549" s="3"/>
    </row>
    <row r="550" spans="8:8" x14ac:dyDescent="0.2">
      <c r="H550" s="3"/>
    </row>
    <row r="551" spans="8:8" x14ac:dyDescent="0.2">
      <c r="H551" s="3"/>
    </row>
    <row r="552" spans="8:8" x14ac:dyDescent="0.2">
      <c r="H552" s="3"/>
    </row>
    <row r="553" spans="8:8" x14ac:dyDescent="0.2">
      <c r="H553" s="3"/>
    </row>
    <row r="554" spans="8:8" x14ac:dyDescent="0.2">
      <c r="H554" s="3"/>
    </row>
    <row r="555" spans="8:8" x14ac:dyDescent="0.2">
      <c r="H555" s="3"/>
    </row>
    <row r="556" spans="8:8" x14ac:dyDescent="0.2">
      <c r="H556" s="3"/>
    </row>
    <row r="557" spans="8:8" x14ac:dyDescent="0.2">
      <c r="H557" s="3"/>
    </row>
    <row r="558" spans="8:8" x14ac:dyDescent="0.2">
      <c r="H558" s="3"/>
    </row>
    <row r="559" spans="8:8" x14ac:dyDescent="0.2">
      <c r="H559" s="3"/>
    </row>
    <row r="560" spans="8:8" x14ac:dyDescent="0.2">
      <c r="H560" s="3"/>
    </row>
    <row r="561" spans="8:8" x14ac:dyDescent="0.2">
      <c r="H561" s="3"/>
    </row>
    <row r="562" spans="8:8" x14ac:dyDescent="0.2">
      <c r="H562" s="3"/>
    </row>
    <row r="563" spans="8:8" x14ac:dyDescent="0.2">
      <c r="H563" s="3"/>
    </row>
    <row r="564" spans="8:8" x14ac:dyDescent="0.2">
      <c r="H564" s="3"/>
    </row>
    <row r="565" spans="8:8" x14ac:dyDescent="0.2">
      <c r="H565" s="3"/>
    </row>
    <row r="566" spans="8:8" x14ac:dyDescent="0.2">
      <c r="H566" s="3"/>
    </row>
    <row r="567" spans="8:8" x14ac:dyDescent="0.2">
      <c r="H567" s="3"/>
    </row>
    <row r="568" spans="8:8" x14ac:dyDescent="0.2">
      <c r="H568" s="3"/>
    </row>
    <row r="569" spans="8:8" x14ac:dyDescent="0.2">
      <c r="H569" s="3"/>
    </row>
    <row r="570" spans="8:8" x14ac:dyDescent="0.2">
      <c r="H570" s="3"/>
    </row>
    <row r="571" spans="8:8" x14ac:dyDescent="0.2">
      <c r="H571" s="3"/>
    </row>
    <row r="572" spans="8:8" x14ac:dyDescent="0.2">
      <c r="H572" s="3"/>
    </row>
    <row r="573" spans="8:8" x14ac:dyDescent="0.2">
      <c r="H573" s="3"/>
    </row>
    <row r="574" spans="8:8" x14ac:dyDescent="0.2">
      <c r="H574" s="3"/>
    </row>
    <row r="575" spans="8:8" x14ac:dyDescent="0.2">
      <c r="H575" s="3"/>
    </row>
    <row r="576" spans="8:8" x14ac:dyDescent="0.2">
      <c r="H576" s="3"/>
    </row>
    <row r="577" spans="8:8" x14ac:dyDescent="0.2">
      <c r="H577" s="3"/>
    </row>
    <row r="578" spans="8:8" x14ac:dyDescent="0.2">
      <c r="H578" s="3"/>
    </row>
    <row r="579" spans="8:8" x14ac:dyDescent="0.2">
      <c r="H579" s="3"/>
    </row>
    <row r="580" spans="8:8" x14ac:dyDescent="0.2">
      <c r="H580" s="3"/>
    </row>
    <row r="581" spans="8:8" x14ac:dyDescent="0.2">
      <c r="H581" s="3"/>
    </row>
    <row r="582" spans="8:8" x14ac:dyDescent="0.2">
      <c r="H582" s="3"/>
    </row>
    <row r="583" spans="8:8" x14ac:dyDescent="0.2">
      <c r="H583" s="3"/>
    </row>
    <row r="584" spans="8:8" x14ac:dyDescent="0.2">
      <c r="H584" s="3"/>
    </row>
    <row r="585" spans="8:8" x14ac:dyDescent="0.2">
      <c r="H585" s="3"/>
    </row>
    <row r="586" spans="8:8" x14ac:dyDescent="0.2">
      <c r="H586" s="3"/>
    </row>
    <row r="587" spans="8:8" x14ac:dyDescent="0.2">
      <c r="H587" s="3"/>
    </row>
    <row r="588" spans="8:8" x14ac:dyDescent="0.2">
      <c r="H588" s="3"/>
    </row>
    <row r="589" spans="8:8" x14ac:dyDescent="0.2">
      <c r="H589" s="3"/>
    </row>
    <row r="590" spans="8:8" x14ac:dyDescent="0.2">
      <c r="H590" s="3"/>
    </row>
    <row r="591" spans="8:8" x14ac:dyDescent="0.2">
      <c r="H591" s="3"/>
    </row>
    <row r="592" spans="8:8" x14ac:dyDescent="0.2">
      <c r="H592" s="3"/>
    </row>
    <row r="593" spans="8:8" x14ac:dyDescent="0.2">
      <c r="H593" s="3"/>
    </row>
    <row r="594" spans="8:8" x14ac:dyDescent="0.2">
      <c r="H594" s="3"/>
    </row>
    <row r="595" spans="8:8" x14ac:dyDescent="0.2">
      <c r="H595" s="3"/>
    </row>
    <row r="596" spans="8:8" x14ac:dyDescent="0.2">
      <c r="H596" s="3"/>
    </row>
    <row r="597" spans="8:8" x14ac:dyDescent="0.2">
      <c r="H597" s="3"/>
    </row>
    <row r="598" spans="8:8" x14ac:dyDescent="0.2">
      <c r="H598" s="3"/>
    </row>
    <row r="599" spans="8:8" x14ac:dyDescent="0.2">
      <c r="H599" s="3"/>
    </row>
    <row r="600" spans="8:8" x14ac:dyDescent="0.2">
      <c r="H600" s="3"/>
    </row>
    <row r="601" spans="8:8" x14ac:dyDescent="0.2">
      <c r="H601" s="3"/>
    </row>
    <row r="602" spans="8:8" x14ac:dyDescent="0.2">
      <c r="H602" s="3"/>
    </row>
    <row r="603" spans="8:8" x14ac:dyDescent="0.2">
      <c r="H603" s="3"/>
    </row>
    <row r="604" spans="8:8" x14ac:dyDescent="0.2">
      <c r="H604" s="3"/>
    </row>
    <row r="605" spans="8:8" x14ac:dyDescent="0.2">
      <c r="H605" s="3"/>
    </row>
    <row r="606" spans="8:8" x14ac:dyDescent="0.2">
      <c r="H606" s="3"/>
    </row>
    <row r="607" spans="8:8" x14ac:dyDescent="0.2">
      <c r="H607" s="3"/>
    </row>
    <row r="608" spans="8:8" x14ac:dyDescent="0.2">
      <c r="H608" s="3"/>
    </row>
    <row r="609" spans="8:8" x14ac:dyDescent="0.2">
      <c r="H609" s="3"/>
    </row>
    <row r="610" spans="8:8" x14ac:dyDescent="0.2">
      <c r="H610" s="3"/>
    </row>
    <row r="611" spans="8:8" x14ac:dyDescent="0.2">
      <c r="H611" s="3"/>
    </row>
    <row r="612" spans="8:8" x14ac:dyDescent="0.2">
      <c r="H612" s="3"/>
    </row>
    <row r="613" spans="8:8" x14ac:dyDescent="0.2">
      <c r="H613" s="3"/>
    </row>
    <row r="614" spans="8:8" x14ac:dyDescent="0.2">
      <c r="H614" s="3"/>
    </row>
    <row r="615" spans="8:8" x14ac:dyDescent="0.2">
      <c r="H615" s="3"/>
    </row>
    <row r="616" spans="8:8" x14ac:dyDescent="0.2">
      <c r="H616" s="3"/>
    </row>
    <row r="617" spans="8:8" x14ac:dyDescent="0.2">
      <c r="H617" s="3"/>
    </row>
    <row r="618" spans="8:8" x14ac:dyDescent="0.2">
      <c r="H618" s="3"/>
    </row>
    <row r="619" spans="8:8" x14ac:dyDescent="0.2">
      <c r="H619" s="3"/>
    </row>
    <row r="620" spans="8:8" x14ac:dyDescent="0.2">
      <c r="H620" s="3"/>
    </row>
    <row r="621" spans="8:8" x14ac:dyDescent="0.2">
      <c r="H621" s="3"/>
    </row>
    <row r="622" spans="8:8" x14ac:dyDescent="0.2">
      <c r="H622" s="3"/>
    </row>
    <row r="623" spans="8:8" x14ac:dyDescent="0.2">
      <c r="H623" s="3"/>
    </row>
    <row r="624" spans="8:8" x14ac:dyDescent="0.2">
      <c r="H624" s="3"/>
    </row>
    <row r="625" spans="8:8" x14ac:dyDescent="0.2">
      <c r="H625" s="3"/>
    </row>
    <row r="626" spans="8:8" x14ac:dyDescent="0.2">
      <c r="H626" s="3"/>
    </row>
    <row r="627" spans="8:8" x14ac:dyDescent="0.2">
      <c r="H627" s="3"/>
    </row>
    <row r="628" spans="8:8" x14ac:dyDescent="0.2">
      <c r="H628" s="3"/>
    </row>
    <row r="629" spans="8:8" x14ac:dyDescent="0.2">
      <c r="H629" s="3"/>
    </row>
    <row r="630" spans="8:8" x14ac:dyDescent="0.2">
      <c r="H630" s="3"/>
    </row>
    <row r="631" spans="8:8" x14ac:dyDescent="0.2">
      <c r="H631" s="3"/>
    </row>
    <row r="632" spans="8:8" x14ac:dyDescent="0.2">
      <c r="H632" s="3"/>
    </row>
    <row r="633" spans="8:8" x14ac:dyDescent="0.2">
      <c r="H633" s="3"/>
    </row>
    <row r="634" spans="8:8" x14ac:dyDescent="0.2">
      <c r="H634" s="3"/>
    </row>
    <row r="635" spans="8:8" x14ac:dyDescent="0.2">
      <c r="H635" s="3"/>
    </row>
    <row r="636" spans="8:8" x14ac:dyDescent="0.2">
      <c r="H636" s="3"/>
    </row>
    <row r="637" spans="8:8" x14ac:dyDescent="0.2">
      <c r="H637" s="3"/>
    </row>
    <row r="638" spans="8:8" x14ac:dyDescent="0.2">
      <c r="H638" s="3"/>
    </row>
    <row r="639" spans="8:8" x14ac:dyDescent="0.2">
      <c r="H639" s="3"/>
    </row>
    <row r="640" spans="8:8" x14ac:dyDescent="0.2">
      <c r="H640" s="3"/>
    </row>
    <row r="641" spans="8:8" x14ac:dyDescent="0.2">
      <c r="H641" s="3"/>
    </row>
    <row r="642" spans="8:8" x14ac:dyDescent="0.2">
      <c r="H642" s="3"/>
    </row>
    <row r="643" spans="8:8" x14ac:dyDescent="0.2">
      <c r="H643" s="3"/>
    </row>
    <row r="644" spans="8:8" x14ac:dyDescent="0.2">
      <c r="H644" s="3"/>
    </row>
    <row r="645" spans="8:8" x14ac:dyDescent="0.2">
      <c r="H645" s="3"/>
    </row>
    <row r="646" spans="8:8" x14ac:dyDescent="0.2">
      <c r="H646" s="3"/>
    </row>
    <row r="647" spans="8:8" x14ac:dyDescent="0.2">
      <c r="H647" s="3"/>
    </row>
    <row r="648" spans="8:8" x14ac:dyDescent="0.2">
      <c r="H648" s="3"/>
    </row>
    <row r="649" spans="8:8" x14ac:dyDescent="0.2">
      <c r="H649" s="3"/>
    </row>
    <row r="650" spans="8:8" x14ac:dyDescent="0.2">
      <c r="H650" s="3"/>
    </row>
    <row r="651" spans="8:8" x14ac:dyDescent="0.2">
      <c r="H651" s="3"/>
    </row>
    <row r="652" spans="8:8" x14ac:dyDescent="0.2">
      <c r="H652" s="3"/>
    </row>
    <row r="653" spans="8:8" x14ac:dyDescent="0.2">
      <c r="H653" s="3"/>
    </row>
    <row r="654" spans="8:8" x14ac:dyDescent="0.2">
      <c r="H654" s="3"/>
    </row>
    <row r="655" spans="8:8" x14ac:dyDescent="0.2">
      <c r="H655" s="3"/>
    </row>
    <row r="656" spans="8:8" x14ac:dyDescent="0.2">
      <c r="H656" s="3"/>
    </row>
    <row r="657" spans="8:8" x14ac:dyDescent="0.2">
      <c r="H657" s="3"/>
    </row>
    <row r="658" spans="8:8" x14ac:dyDescent="0.2">
      <c r="H658" s="3"/>
    </row>
    <row r="659" spans="8:8" x14ac:dyDescent="0.2">
      <c r="H659" s="3"/>
    </row>
    <row r="660" spans="8:8" x14ac:dyDescent="0.2">
      <c r="H660" s="3"/>
    </row>
    <row r="661" spans="8:8" x14ac:dyDescent="0.2">
      <c r="H661" s="3"/>
    </row>
    <row r="662" spans="8:8" x14ac:dyDescent="0.2">
      <c r="H662" s="3"/>
    </row>
    <row r="663" spans="8:8" x14ac:dyDescent="0.2">
      <c r="H663" s="3"/>
    </row>
    <row r="664" spans="8:8" x14ac:dyDescent="0.2">
      <c r="H664" s="3"/>
    </row>
    <row r="665" spans="8:8" x14ac:dyDescent="0.2">
      <c r="H665" s="3"/>
    </row>
    <row r="666" spans="8:8" x14ac:dyDescent="0.2">
      <c r="H666" s="3"/>
    </row>
    <row r="667" spans="8:8" x14ac:dyDescent="0.2">
      <c r="H667" s="3"/>
    </row>
    <row r="668" spans="8:8" x14ac:dyDescent="0.2">
      <c r="H668" s="3"/>
    </row>
    <row r="669" spans="8:8" x14ac:dyDescent="0.2">
      <c r="H669" s="3"/>
    </row>
    <row r="670" spans="8:8" x14ac:dyDescent="0.2">
      <c r="H670" s="3"/>
    </row>
    <row r="671" spans="8:8" x14ac:dyDescent="0.2">
      <c r="H671" s="3"/>
    </row>
    <row r="672" spans="8:8" x14ac:dyDescent="0.2">
      <c r="H672" s="3"/>
    </row>
    <row r="673" spans="8:8" x14ac:dyDescent="0.2">
      <c r="H673" s="3"/>
    </row>
    <row r="674" spans="8:8" x14ac:dyDescent="0.2">
      <c r="H674" s="3"/>
    </row>
    <row r="675" spans="8:8" x14ac:dyDescent="0.2">
      <c r="H675" s="3"/>
    </row>
    <row r="676" spans="8:8" x14ac:dyDescent="0.2">
      <c r="H676" s="3"/>
    </row>
    <row r="677" spans="8:8" x14ac:dyDescent="0.2">
      <c r="H677" s="3"/>
    </row>
    <row r="678" spans="8:8" x14ac:dyDescent="0.2">
      <c r="H678" s="3"/>
    </row>
    <row r="679" spans="8:8" x14ac:dyDescent="0.2">
      <c r="H679" s="3"/>
    </row>
    <row r="680" spans="8:8" x14ac:dyDescent="0.2">
      <c r="H680" s="3"/>
    </row>
    <row r="681" spans="8:8" x14ac:dyDescent="0.2">
      <c r="H681" s="3"/>
    </row>
    <row r="682" spans="8:8" x14ac:dyDescent="0.2">
      <c r="H682" s="3"/>
    </row>
    <row r="683" spans="8:8" x14ac:dyDescent="0.2">
      <c r="H683" s="3"/>
    </row>
    <row r="684" spans="8:8" x14ac:dyDescent="0.2">
      <c r="H684" s="3"/>
    </row>
    <row r="685" spans="8:8" x14ac:dyDescent="0.2">
      <c r="H685" s="3"/>
    </row>
    <row r="686" spans="8:8" x14ac:dyDescent="0.2">
      <c r="H686" s="3"/>
    </row>
    <row r="687" spans="8:8" x14ac:dyDescent="0.2">
      <c r="H687" s="3"/>
    </row>
    <row r="688" spans="8:8" x14ac:dyDescent="0.2">
      <c r="H688" s="3"/>
    </row>
    <row r="689" spans="8:8" x14ac:dyDescent="0.2">
      <c r="H689" s="3"/>
    </row>
    <row r="690" spans="8:8" x14ac:dyDescent="0.2">
      <c r="H690" s="3"/>
    </row>
    <row r="691" spans="8:8" x14ac:dyDescent="0.2">
      <c r="H691" s="3"/>
    </row>
    <row r="692" spans="8:8" x14ac:dyDescent="0.2">
      <c r="H692" s="3"/>
    </row>
    <row r="693" spans="8:8" x14ac:dyDescent="0.2">
      <c r="H693" s="3"/>
    </row>
    <row r="694" spans="8:8" x14ac:dyDescent="0.2">
      <c r="H694" s="3"/>
    </row>
    <row r="695" spans="8:8" x14ac:dyDescent="0.2">
      <c r="H695" s="3"/>
    </row>
    <row r="696" spans="8:8" x14ac:dyDescent="0.2">
      <c r="H696" s="3"/>
    </row>
    <row r="697" spans="8:8" x14ac:dyDescent="0.2">
      <c r="H697" s="3"/>
    </row>
    <row r="698" spans="8:8" x14ac:dyDescent="0.2">
      <c r="H698" s="3"/>
    </row>
    <row r="699" spans="8:8" x14ac:dyDescent="0.2">
      <c r="H699" s="3"/>
    </row>
    <row r="700" spans="8:8" x14ac:dyDescent="0.2">
      <c r="H700" s="3"/>
    </row>
    <row r="701" spans="8:8" x14ac:dyDescent="0.2">
      <c r="H701" s="3"/>
    </row>
    <row r="702" spans="8:8" x14ac:dyDescent="0.2">
      <c r="H702" s="3"/>
    </row>
    <row r="703" spans="8:8" x14ac:dyDescent="0.2">
      <c r="H703" s="3"/>
    </row>
    <row r="704" spans="8:8" x14ac:dyDescent="0.2">
      <c r="H704" s="3"/>
    </row>
    <row r="705" spans="8:8" x14ac:dyDescent="0.2">
      <c r="H705" s="3"/>
    </row>
    <row r="706" spans="8:8" x14ac:dyDescent="0.2">
      <c r="H706" s="3"/>
    </row>
    <row r="707" spans="8:8" x14ac:dyDescent="0.2">
      <c r="H707" s="3"/>
    </row>
    <row r="708" spans="8:8" x14ac:dyDescent="0.2">
      <c r="H708" s="3"/>
    </row>
    <row r="709" spans="8:8" x14ac:dyDescent="0.2">
      <c r="H709" s="3"/>
    </row>
    <row r="710" spans="8:8" x14ac:dyDescent="0.2">
      <c r="H710" s="3"/>
    </row>
    <row r="711" spans="8:8" x14ac:dyDescent="0.2">
      <c r="H711" s="3"/>
    </row>
    <row r="712" spans="8:8" x14ac:dyDescent="0.2">
      <c r="H712" s="3"/>
    </row>
    <row r="713" spans="8:8" x14ac:dyDescent="0.2">
      <c r="H713" s="3"/>
    </row>
    <row r="714" spans="8:8" x14ac:dyDescent="0.2">
      <c r="H714" s="3"/>
    </row>
    <row r="715" spans="8:8" x14ac:dyDescent="0.2">
      <c r="H715" s="3"/>
    </row>
    <row r="716" spans="8:8" x14ac:dyDescent="0.2">
      <c r="H716" s="3"/>
    </row>
    <row r="717" spans="8:8" x14ac:dyDescent="0.2">
      <c r="H717" s="3"/>
    </row>
    <row r="718" spans="8:8" x14ac:dyDescent="0.2">
      <c r="H718" s="3"/>
    </row>
    <row r="719" spans="8:8" x14ac:dyDescent="0.2">
      <c r="H719" s="3"/>
    </row>
    <row r="720" spans="8:8" x14ac:dyDescent="0.2">
      <c r="H720" s="3"/>
    </row>
    <row r="721" spans="8:8" x14ac:dyDescent="0.2">
      <c r="H721" s="3"/>
    </row>
    <row r="722" spans="8:8" x14ac:dyDescent="0.2">
      <c r="H722" s="3"/>
    </row>
    <row r="723" spans="8:8" x14ac:dyDescent="0.2">
      <c r="H723" s="3"/>
    </row>
    <row r="724" spans="8:8" x14ac:dyDescent="0.2">
      <c r="H724" s="3"/>
    </row>
    <row r="725" spans="8:8" x14ac:dyDescent="0.2">
      <c r="H725" s="3"/>
    </row>
    <row r="726" spans="8:8" x14ac:dyDescent="0.2">
      <c r="H726" s="3"/>
    </row>
    <row r="727" spans="8:8" x14ac:dyDescent="0.2">
      <c r="H727" s="3"/>
    </row>
    <row r="728" spans="8:8" x14ac:dyDescent="0.2">
      <c r="H728" s="3"/>
    </row>
    <row r="729" spans="8:8" x14ac:dyDescent="0.2">
      <c r="H729" s="3"/>
    </row>
    <row r="730" spans="8:8" x14ac:dyDescent="0.2">
      <c r="H730" s="3"/>
    </row>
    <row r="731" spans="8:8" x14ac:dyDescent="0.2">
      <c r="H731" s="3"/>
    </row>
    <row r="732" spans="8:8" x14ac:dyDescent="0.2">
      <c r="H732" s="3"/>
    </row>
    <row r="733" spans="8:8" x14ac:dyDescent="0.2">
      <c r="H733" s="3"/>
    </row>
    <row r="734" spans="8:8" x14ac:dyDescent="0.2">
      <c r="H734" s="3"/>
    </row>
    <row r="735" spans="8:8" x14ac:dyDescent="0.2">
      <c r="H735" s="3"/>
    </row>
    <row r="736" spans="8:8" x14ac:dyDescent="0.2">
      <c r="H736" s="3"/>
    </row>
    <row r="737" spans="8:8" x14ac:dyDescent="0.2">
      <c r="H737" s="3"/>
    </row>
    <row r="738" spans="8:8" x14ac:dyDescent="0.2">
      <c r="H738" s="3"/>
    </row>
    <row r="739" spans="8:8" x14ac:dyDescent="0.2">
      <c r="H739" s="3"/>
    </row>
    <row r="740" spans="8:8" x14ac:dyDescent="0.2">
      <c r="H740" s="3"/>
    </row>
    <row r="741" spans="8:8" x14ac:dyDescent="0.2">
      <c r="H741" s="3"/>
    </row>
    <row r="742" spans="8:8" x14ac:dyDescent="0.2">
      <c r="H742" s="3"/>
    </row>
    <row r="743" spans="8:8" x14ac:dyDescent="0.2">
      <c r="H743" s="3"/>
    </row>
    <row r="744" spans="8:8" x14ac:dyDescent="0.2">
      <c r="H744" s="3"/>
    </row>
    <row r="745" spans="8:8" x14ac:dyDescent="0.2">
      <c r="H745" s="3"/>
    </row>
    <row r="746" spans="8:8" x14ac:dyDescent="0.2">
      <c r="H746" s="3"/>
    </row>
    <row r="747" spans="8:8" x14ac:dyDescent="0.2">
      <c r="H747" s="3"/>
    </row>
    <row r="748" spans="8:8" x14ac:dyDescent="0.2">
      <c r="H748" s="3"/>
    </row>
    <row r="749" spans="8:8" x14ac:dyDescent="0.2">
      <c r="H749" s="3"/>
    </row>
    <row r="750" spans="8:8" x14ac:dyDescent="0.2">
      <c r="H750" s="3"/>
    </row>
    <row r="751" spans="8:8" x14ac:dyDescent="0.2">
      <c r="H751" s="3"/>
    </row>
    <row r="752" spans="8:8" x14ac:dyDescent="0.2">
      <c r="H752" s="3"/>
    </row>
    <row r="753" spans="8:8" x14ac:dyDescent="0.2">
      <c r="H753" s="3"/>
    </row>
    <row r="754" spans="8:8" x14ac:dyDescent="0.2">
      <c r="H754" s="3"/>
    </row>
    <row r="755" spans="8:8" x14ac:dyDescent="0.2">
      <c r="H755" s="3"/>
    </row>
    <row r="756" spans="8:8" x14ac:dyDescent="0.2">
      <c r="H756" s="3"/>
    </row>
    <row r="757" spans="8:8" x14ac:dyDescent="0.2">
      <c r="H757" s="3"/>
    </row>
    <row r="758" spans="8:8" x14ac:dyDescent="0.2">
      <c r="H758" s="3"/>
    </row>
    <row r="759" spans="8:8" x14ac:dyDescent="0.2">
      <c r="H759" s="3"/>
    </row>
    <row r="760" spans="8:8" x14ac:dyDescent="0.2">
      <c r="H760" s="3"/>
    </row>
    <row r="761" spans="8:8" x14ac:dyDescent="0.2">
      <c r="H761" s="3"/>
    </row>
    <row r="762" spans="8:8" x14ac:dyDescent="0.2">
      <c r="H762" s="3"/>
    </row>
    <row r="763" spans="8:8" x14ac:dyDescent="0.2">
      <c r="H763" s="3"/>
    </row>
    <row r="764" spans="8:8" x14ac:dyDescent="0.2">
      <c r="H764" s="3"/>
    </row>
    <row r="765" spans="8:8" x14ac:dyDescent="0.2">
      <c r="H765" s="3"/>
    </row>
    <row r="766" spans="8:8" x14ac:dyDescent="0.2">
      <c r="H766" s="3"/>
    </row>
    <row r="767" spans="8:8" x14ac:dyDescent="0.2">
      <c r="H767" s="3"/>
    </row>
    <row r="768" spans="8:8" x14ac:dyDescent="0.2">
      <c r="H768" s="3"/>
    </row>
    <row r="769" spans="8:8" x14ac:dyDescent="0.2">
      <c r="H769" s="3"/>
    </row>
    <row r="770" spans="8:8" x14ac:dyDescent="0.2">
      <c r="H770" s="3"/>
    </row>
    <row r="771" spans="8:8" x14ac:dyDescent="0.2">
      <c r="H771" s="3"/>
    </row>
    <row r="772" spans="8:8" x14ac:dyDescent="0.2">
      <c r="H772" s="3"/>
    </row>
    <row r="773" spans="8:8" x14ac:dyDescent="0.2">
      <c r="H773" s="3"/>
    </row>
    <row r="774" spans="8:8" x14ac:dyDescent="0.2">
      <c r="H774" s="3"/>
    </row>
    <row r="775" spans="8:8" x14ac:dyDescent="0.2">
      <c r="H775" s="3"/>
    </row>
    <row r="776" spans="8:8" x14ac:dyDescent="0.2">
      <c r="H776" s="3"/>
    </row>
    <row r="777" spans="8:8" x14ac:dyDescent="0.2">
      <c r="H777" s="3"/>
    </row>
    <row r="778" spans="8:8" x14ac:dyDescent="0.2">
      <c r="H778" s="3"/>
    </row>
    <row r="779" spans="8:8" x14ac:dyDescent="0.2">
      <c r="H779" s="3"/>
    </row>
    <row r="780" spans="8:8" x14ac:dyDescent="0.2">
      <c r="H780" s="3"/>
    </row>
    <row r="781" spans="8:8" x14ac:dyDescent="0.2">
      <c r="H781" s="3"/>
    </row>
    <row r="782" spans="8:8" x14ac:dyDescent="0.2">
      <c r="H782" s="3"/>
    </row>
    <row r="783" spans="8:8" x14ac:dyDescent="0.2">
      <c r="H783" s="3"/>
    </row>
    <row r="784" spans="8:8" x14ac:dyDescent="0.2">
      <c r="H784" s="3"/>
    </row>
    <row r="785" spans="8:8" x14ac:dyDescent="0.2">
      <c r="H785" s="3"/>
    </row>
    <row r="786" spans="8:8" x14ac:dyDescent="0.2">
      <c r="H786" s="3"/>
    </row>
    <row r="787" spans="8:8" x14ac:dyDescent="0.2">
      <c r="H787" s="3"/>
    </row>
    <row r="788" spans="8:8" x14ac:dyDescent="0.2">
      <c r="H788" s="3"/>
    </row>
    <row r="789" spans="8:8" x14ac:dyDescent="0.2">
      <c r="H789" s="3"/>
    </row>
    <row r="790" spans="8:8" x14ac:dyDescent="0.2">
      <c r="H790" s="3"/>
    </row>
    <row r="791" spans="8:8" x14ac:dyDescent="0.2">
      <c r="H791" s="3"/>
    </row>
    <row r="792" spans="8:8" x14ac:dyDescent="0.2">
      <c r="H792" s="3"/>
    </row>
    <row r="793" spans="8:8" x14ac:dyDescent="0.2">
      <c r="H793" s="3"/>
    </row>
    <row r="794" spans="8:8" x14ac:dyDescent="0.2">
      <c r="H794" s="3"/>
    </row>
    <row r="795" spans="8:8" x14ac:dyDescent="0.2">
      <c r="H795" s="3"/>
    </row>
    <row r="796" spans="8:8" x14ac:dyDescent="0.2">
      <c r="H796" s="3"/>
    </row>
    <row r="797" spans="8:8" x14ac:dyDescent="0.2">
      <c r="H797" s="3"/>
    </row>
    <row r="798" spans="8:8" x14ac:dyDescent="0.2">
      <c r="H798" s="3"/>
    </row>
    <row r="799" spans="8:8" x14ac:dyDescent="0.2">
      <c r="H799" s="3"/>
    </row>
    <row r="800" spans="8:8" x14ac:dyDescent="0.2">
      <c r="H800" s="3"/>
    </row>
    <row r="801" spans="8:8" x14ac:dyDescent="0.2">
      <c r="H801" s="3"/>
    </row>
    <row r="802" spans="8:8" x14ac:dyDescent="0.2">
      <c r="H802" s="3"/>
    </row>
    <row r="803" spans="8:8" x14ac:dyDescent="0.2">
      <c r="H803" s="3"/>
    </row>
    <row r="804" spans="8:8" x14ac:dyDescent="0.2">
      <c r="H804" s="3"/>
    </row>
    <row r="805" spans="8:8" x14ac:dyDescent="0.2">
      <c r="H805" s="3"/>
    </row>
    <row r="806" spans="8:8" x14ac:dyDescent="0.2">
      <c r="H806" s="3"/>
    </row>
    <row r="807" spans="8:8" x14ac:dyDescent="0.2">
      <c r="H807" s="3"/>
    </row>
    <row r="808" spans="8:8" x14ac:dyDescent="0.2">
      <c r="H808" s="3"/>
    </row>
    <row r="809" spans="8:8" x14ac:dyDescent="0.2">
      <c r="H809" s="3"/>
    </row>
    <row r="810" spans="8:8" x14ac:dyDescent="0.2">
      <c r="H810" s="3"/>
    </row>
    <row r="811" spans="8:8" x14ac:dyDescent="0.2">
      <c r="H811" s="3"/>
    </row>
    <row r="812" spans="8:8" x14ac:dyDescent="0.2">
      <c r="H812" s="3"/>
    </row>
    <row r="813" spans="8:8" x14ac:dyDescent="0.2">
      <c r="H813" s="3"/>
    </row>
    <row r="814" spans="8:8" x14ac:dyDescent="0.2">
      <c r="H814" s="3"/>
    </row>
    <row r="815" spans="8:8" x14ac:dyDescent="0.2">
      <c r="H815" s="3"/>
    </row>
    <row r="816" spans="8:8" x14ac:dyDescent="0.2">
      <c r="H816" s="3"/>
    </row>
    <row r="817" spans="8:8" x14ac:dyDescent="0.2">
      <c r="H817" s="3"/>
    </row>
    <row r="818" spans="8:8" x14ac:dyDescent="0.2">
      <c r="H818" s="3"/>
    </row>
    <row r="819" spans="8:8" x14ac:dyDescent="0.2">
      <c r="H819" s="3"/>
    </row>
    <row r="820" spans="8:8" x14ac:dyDescent="0.2">
      <c r="H820" s="3"/>
    </row>
    <row r="821" spans="8:8" x14ac:dyDescent="0.2">
      <c r="H821" s="3"/>
    </row>
    <row r="822" spans="8:8" x14ac:dyDescent="0.2">
      <c r="H822" s="3"/>
    </row>
    <row r="823" spans="8:8" x14ac:dyDescent="0.2">
      <c r="H823" s="3"/>
    </row>
    <row r="824" spans="8:8" x14ac:dyDescent="0.2">
      <c r="H824" s="3"/>
    </row>
    <row r="825" spans="8:8" x14ac:dyDescent="0.2">
      <c r="H825" s="3"/>
    </row>
    <row r="826" spans="8:8" x14ac:dyDescent="0.2">
      <c r="H826" s="3"/>
    </row>
    <row r="827" spans="8:8" x14ac:dyDescent="0.2">
      <c r="H827" s="3"/>
    </row>
    <row r="828" spans="8:8" x14ac:dyDescent="0.2">
      <c r="H828" s="3"/>
    </row>
    <row r="829" spans="8:8" x14ac:dyDescent="0.2">
      <c r="H829" s="3"/>
    </row>
    <row r="830" spans="8:8" x14ac:dyDescent="0.2">
      <c r="H830" s="3"/>
    </row>
    <row r="831" spans="8:8" x14ac:dyDescent="0.2">
      <c r="H831" s="3"/>
    </row>
    <row r="832" spans="8:8" x14ac:dyDescent="0.2">
      <c r="H832" s="3"/>
    </row>
    <row r="833" spans="8:8" x14ac:dyDescent="0.2">
      <c r="H833" s="3"/>
    </row>
    <row r="834" spans="8:8" x14ac:dyDescent="0.2">
      <c r="H834" s="3"/>
    </row>
    <row r="835" spans="8:8" x14ac:dyDescent="0.2">
      <c r="H835" s="3"/>
    </row>
    <row r="836" spans="8:8" x14ac:dyDescent="0.2">
      <c r="H836" s="3"/>
    </row>
    <row r="837" spans="8:8" x14ac:dyDescent="0.2">
      <c r="H837" s="3"/>
    </row>
    <row r="838" spans="8:8" x14ac:dyDescent="0.2">
      <c r="H838" s="3"/>
    </row>
    <row r="839" spans="8:8" x14ac:dyDescent="0.2">
      <c r="H839" s="3"/>
    </row>
    <row r="840" spans="8:8" x14ac:dyDescent="0.2">
      <c r="H840" s="3"/>
    </row>
    <row r="841" spans="8:8" x14ac:dyDescent="0.2">
      <c r="H841" s="3"/>
    </row>
    <row r="842" spans="8:8" x14ac:dyDescent="0.2">
      <c r="H842" s="3"/>
    </row>
    <row r="843" spans="8:8" x14ac:dyDescent="0.2">
      <c r="H843" s="3"/>
    </row>
    <row r="844" spans="8:8" x14ac:dyDescent="0.2">
      <c r="H844" s="3"/>
    </row>
    <row r="845" spans="8:8" x14ac:dyDescent="0.2">
      <c r="H845" s="3"/>
    </row>
    <row r="846" spans="8:8" x14ac:dyDescent="0.2">
      <c r="H846" s="3"/>
    </row>
    <row r="847" spans="8:8" x14ac:dyDescent="0.2">
      <c r="H847" s="3"/>
    </row>
    <row r="848" spans="8:8" x14ac:dyDescent="0.2">
      <c r="H848" s="3"/>
    </row>
    <row r="849" spans="8:8" x14ac:dyDescent="0.2">
      <c r="H849" s="3"/>
    </row>
    <row r="850" spans="8:8" x14ac:dyDescent="0.2">
      <c r="H850" s="3"/>
    </row>
    <row r="851" spans="8:8" x14ac:dyDescent="0.2">
      <c r="H851" s="3"/>
    </row>
    <row r="852" spans="8:8" x14ac:dyDescent="0.2">
      <c r="H852" s="3"/>
    </row>
    <row r="853" spans="8:8" x14ac:dyDescent="0.2">
      <c r="H853" s="3"/>
    </row>
    <row r="854" spans="8:8" x14ac:dyDescent="0.2">
      <c r="H854" s="3"/>
    </row>
    <row r="855" spans="8:8" x14ac:dyDescent="0.2">
      <c r="H855" s="3"/>
    </row>
    <row r="856" spans="8:8" x14ac:dyDescent="0.2">
      <c r="H856" s="3"/>
    </row>
    <row r="857" spans="8:8" x14ac:dyDescent="0.2">
      <c r="H857" s="3"/>
    </row>
    <row r="858" spans="8:8" x14ac:dyDescent="0.2">
      <c r="H858" s="3"/>
    </row>
    <row r="859" spans="8:8" x14ac:dyDescent="0.2">
      <c r="H859" s="3"/>
    </row>
    <row r="860" spans="8:8" x14ac:dyDescent="0.2">
      <c r="H860" s="3"/>
    </row>
    <row r="861" spans="8:8" x14ac:dyDescent="0.2">
      <c r="H861" s="3"/>
    </row>
    <row r="862" spans="8:8" x14ac:dyDescent="0.2">
      <c r="H862" s="3"/>
    </row>
    <row r="863" spans="8:8" x14ac:dyDescent="0.2">
      <c r="H863" s="3"/>
    </row>
    <row r="864" spans="8:8" x14ac:dyDescent="0.2">
      <c r="H864" s="3"/>
    </row>
    <row r="865" spans="8:8" x14ac:dyDescent="0.2">
      <c r="H865" s="3"/>
    </row>
    <row r="866" spans="8:8" x14ac:dyDescent="0.2">
      <c r="H866" s="3"/>
    </row>
    <row r="867" spans="8:8" x14ac:dyDescent="0.2">
      <c r="H867" s="3"/>
    </row>
    <row r="868" spans="8:8" x14ac:dyDescent="0.2">
      <c r="H868" s="3"/>
    </row>
    <row r="869" spans="8:8" x14ac:dyDescent="0.2">
      <c r="H869" s="3"/>
    </row>
    <row r="870" spans="8:8" x14ac:dyDescent="0.2">
      <c r="H870" s="3"/>
    </row>
    <row r="871" spans="8:8" x14ac:dyDescent="0.2">
      <c r="H871" s="3"/>
    </row>
    <row r="872" spans="8:8" x14ac:dyDescent="0.2">
      <c r="H872" s="3"/>
    </row>
    <row r="873" spans="8:8" x14ac:dyDescent="0.2">
      <c r="H873" s="3"/>
    </row>
    <row r="874" spans="8:8" x14ac:dyDescent="0.2">
      <c r="H874" s="3"/>
    </row>
    <row r="875" spans="8:8" x14ac:dyDescent="0.2">
      <c r="H875" s="3"/>
    </row>
    <row r="876" spans="8:8" x14ac:dyDescent="0.2">
      <c r="H876" s="3"/>
    </row>
    <row r="877" spans="8:8" x14ac:dyDescent="0.2">
      <c r="H877" s="3"/>
    </row>
    <row r="878" spans="8:8" x14ac:dyDescent="0.2">
      <c r="H878" s="3"/>
    </row>
    <row r="879" spans="8:8" x14ac:dyDescent="0.2">
      <c r="H879" s="3"/>
    </row>
    <row r="880" spans="8:8" x14ac:dyDescent="0.2">
      <c r="H880" s="3"/>
    </row>
    <row r="881" spans="8:8" x14ac:dyDescent="0.2">
      <c r="H881" s="3"/>
    </row>
    <row r="882" spans="8:8" x14ac:dyDescent="0.2">
      <c r="H882" s="3"/>
    </row>
    <row r="883" spans="8:8" x14ac:dyDescent="0.2">
      <c r="H883" s="3"/>
    </row>
    <row r="884" spans="8:8" x14ac:dyDescent="0.2">
      <c r="H884" s="3"/>
    </row>
    <row r="885" spans="8:8" x14ac:dyDescent="0.2">
      <c r="H885" s="3"/>
    </row>
    <row r="886" spans="8:8" x14ac:dyDescent="0.2">
      <c r="H886" s="3"/>
    </row>
    <row r="887" spans="8:8" x14ac:dyDescent="0.2">
      <c r="H887" s="3"/>
    </row>
    <row r="888" spans="8:8" x14ac:dyDescent="0.2">
      <c r="H888" s="3"/>
    </row>
    <row r="889" spans="8:8" x14ac:dyDescent="0.2">
      <c r="H889" s="3"/>
    </row>
    <row r="890" spans="8:8" x14ac:dyDescent="0.2">
      <c r="H890" s="3"/>
    </row>
    <row r="891" spans="8:8" x14ac:dyDescent="0.2">
      <c r="H891" s="3"/>
    </row>
    <row r="892" spans="8:8" x14ac:dyDescent="0.2">
      <c r="H892" s="3"/>
    </row>
    <row r="893" spans="8:8" x14ac:dyDescent="0.2">
      <c r="H893" s="3"/>
    </row>
    <row r="894" spans="8:8" x14ac:dyDescent="0.2">
      <c r="H894" s="3"/>
    </row>
    <row r="895" spans="8:8" x14ac:dyDescent="0.2">
      <c r="H895" s="3"/>
    </row>
    <row r="896" spans="8:8" x14ac:dyDescent="0.2">
      <c r="H896" s="3"/>
    </row>
    <row r="897" spans="8:8" x14ac:dyDescent="0.2">
      <c r="H897" s="3"/>
    </row>
    <row r="898" spans="8:8" x14ac:dyDescent="0.2">
      <c r="H898" s="3"/>
    </row>
    <row r="899" spans="8:8" x14ac:dyDescent="0.2">
      <c r="H899" s="3"/>
    </row>
    <row r="900" spans="8:8" x14ac:dyDescent="0.2">
      <c r="H900" s="3"/>
    </row>
    <row r="901" spans="8:8" x14ac:dyDescent="0.2">
      <c r="H901" s="3"/>
    </row>
    <row r="902" spans="8:8" x14ac:dyDescent="0.2">
      <c r="H902" s="3"/>
    </row>
    <row r="903" spans="8:8" x14ac:dyDescent="0.2">
      <c r="H903" s="3"/>
    </row>
    <row r="904" spans="8:8" x14ac:dyDescent="0.2">
      <c r="H904" s="3"/>
    </row>
    <row r="905" spans="8:8" x14ac:dyDescent="0.2">
      <c r="H905" s="3"/>
    </row>
    <row r="906" spans="8:8" x14ac:dyDescent="0.2">
      <c r="H906" s="3"/>
    </row>
    <row r="907" spans="8:8" x14ac:dyDescent="0.2">
      <c r="H907" s="3"/>
    </row>
    <row r="908" spans="8:8" x14ac:dyDescent="0.2">
      <c r="H908" s="3"/>
    </row>
    <row r="909" spans="8:8" x14ac:dyDescent="0.2">
      <c r="H909" s="3"/>
    </row>
    <row r="910" spans="8:8" x14ac:dyDescent="0.2">
      <c r="H910" s="3"/>
    </row>
    <row r="911" spans="8:8" x14ac:dyDescent="0.2">
      <c r="H911" s="3"/>
    </row>
    <row r="912" spans="8:8" x14ac:dyDescent="0.2">
      <c r="H912" s="3"/>
    </row>
    <row r="913" spans="8:8" x14ac:dyDescent="0.2">
      <c r="H913" s="3"/>
    </row>
    <row r="914" spans="8:8" x14ac:dyDescent="0.2">
      <c r="H914" s="3"/>
    </row>
    <row r="915" spans="8:8" x14ac:dyDescent="0.2">
      <c r="H915" s="3"/>
    </row>
    <row r="916" spans="8:8" x14ac:dyDescent="0.2">
      <c r="H916" s="3"/>
    </row>
    <row r="917" spans="8:8" x14ac:dyDescent="0.2">
      <c r="H917" s="3"/>
    </row>
    <row r="918" spans="8:8" x14ac:dyDescent="0.2">
      <c r="H918" s="3"/>
    </row>
    <row r="919" spans="8:8" x14ac:dyDescent="0.2">
      <c r="H919" s="3"/>
    </row>
    <row r="920" spans="8:8" x14ac:dyDescent="0.2">
      <c r="H920" s="3"/>
    </row>
    <row r="921" spans="8:8" x14ac:dyDescent="0.2">
      <c r="H921" s="3"/>
    </row>
    <row r="922" spans="8:8" x14ac:dyDescent="0.2">
      <c r="H922" s="3"/>
    </row>
    <row r="923" spans="8:8" x14ac:dyDescent="0.2">
      <c r="H923" s="3"/>
    </row>
    <row r="924" spans="8:8" x14ac:dyDescent="0.2">
      <c r="H924" s="3"/>
    </row>
    <row r="925" spans="8:8" x14ac:dyDescent="0.2">
      <c r="H925" s="3"/>
    </row>
    <row r="926" spans="8:8" x14ac:dyDescent="0.2">
      <c r="H926" s="3"/>
    </row>
    <row r="927" spans="8:8" x14ac:dyDescent="0.2">
      <c r="H927" s="3"/>
    </row>
    <row r="928" spans="8:8" x14ac:dyDescent="0.2">
      <c r="H928" s="3"/>
    </row>
    <row r="929" spans="8:8" x14ac:dyDescent="0.2">
      <c r="H929" s="3"/>
    </row>
    <row r="930" spans="8:8" x14ac:dyDescent="0.2">
      <c r="H930" s="3"/>
    </row>
    <row r="931" spans="8:8" x14ac:dyDescent="0.2">
      <c r="H931" s="3"/>
    </row>
    <row r="932" spans="8:8" x14ac:dyDescent="0.2">
      <c r="H932" s="3"/>
    </row>
    <row r="933" spans="8:8" x14ac:dyDescent="0.2">
      <c r="H933" s="3"/>
    </row>
    <row r="934" spans="8:8" x14ac:dyDescent="0.2">
      <c r="H934" s="3"/>
    </row>
    <row r="935" spans="8:8" x14ac:dyDescent="0.2">
      <c r="H935" s="3"/>
    </row>
    <row r="936" spans="8:8" x14ac:dyDescent="0.2">
      <c r="H936" s="3"/>
    </row>
    <row r="937" spans="8:8" x14ac:dyDescent="0.2">
      <c r="H937" s="3"/>
    </row>
    <row r="938" spans="8:8" x14ac:dyDescent="0.2">
      <c r="H938" s="3"/>
    </row>
    <row r="939" spans="8:8" x14ac:dyDescent="0.2">
      <c r="H939" s="3"/>
    </row>
    <row r="940" spans="8:8" x14ac:dyDescent="0.2">
      <c r="H940" s="3"/>
    </row>
    <row r="941" spans="8:8" x14ac:dyDescent="0.2">
      <c r="H941" s="3"/>
    </row>
    <row r="942" spans="8:8" x14ac:dyDescent="0.2">
      <c r="H942" s="3"/>
    </row>
    <row r="943" spans="8:8" x14ac:dyDescent="0.2">
      <c r="H943" s="3"/>
    </row>
    <row r="944" spans="8:8" x14ac:dyDescent="0.2">
      <c r="H944" s="3"/>
    </row>
    <row r="945" spans="8:8" x14ac:dyDescent="0.2">
      <c r="H945" s="3"/>
    </row>
    <row r="946" spans="8:8" x14ac:dyDescent="0.2">
      <c r="H946" s="3"/>
    </row>
    <row r="947" spans="8:8" x14ac:dyDescent="0.2">
      <c r="H947" s="3"/>
    </row>
    <row r="948" spans="8:8" x14ac:dyDescent="0.2">
      <c r="H948" s="3"/>
    </row>
    <row r="949" spans="8:8" x14ac:dyDescent="0.2">
      <c r="H949" s="3"/>
    </row>
    <row r="950" spans="8:8" x14ac:dyDescent="0.2">
      <c r="H950" s="3"/>
    </row>
    <row r="951" spans="8:8" x14ac:dyDescent="0.2">
      <c r="H951" s="3"/>
    </row>
    <row r="952" spans="8:8" x14ac:dyDescent="0.2">
      <c r="H952" s="3"/>
    </row>
    <row r="953" spans="8:8" x14ac:dyDescent="0.2">
      <c r="H953" s="3"/>
    </row>
    <row r="954" spans="8:8" x14ac:dyDescent="0.2">
      <c r="H954" s="3"/>
    </row>
    <row r="955" spans="8:8" x14ac:dyDescent="0.2">
      <c r="H955" s="3"/>
    </row>
    <row r="956" spans="8:8" x14ac:dyDescent="0.2">
      <c r="H956" s="3"/>
    </row>
    <row r="957" spans="8:8" x14ac:dyDescent="0.2">
      <c r="H957" s="3"/>
    </row>
    <row r="958" spans="8:8" x14ac:dyDescent="0.2">
      <c r="H958" s="3"/>
    </row>
    <row r="959" spans="8:8" x14ac:dyDescent="0.2">
      <c r="H959" s="3"/>
    </row>
    <row r="960" spans="8:8" x14ac:dyDescent="0.2">
      <c r="H960" s="3"/>
    </row>
    <row r="961" spans="8:8" x14ac:dyDescent="0.2">
      <c r="H961" s="3"/>
    </row>
    <row r="962" spans="8:8" x14ac:dyDescent="0.2">
      <c r="H962" s="3"/>
    </row>
    <row r="963" spans="8:8" x14ac:dyDescent="0.2">
      <c r="H963" s="3"/>
    </row>
    <row r="964" spans="8:8" x14ac:dyDescent="0.2">
      <c r="H964" s="3"/>
    </row>
    <row r="965" spans="8:8" x14ac:dyDescent="0.2">
      <c r="H965" s="3"/>
    </row>
    <row r="966" spans="8:8" x14ac:dyDescent="0.2">
      <c r="H966" s="3"/>
    </row>
    <row r="967" spans="8:8" x14ac:dyDescent="0.2">
      <c r="H967" s="3"/>
    </row>
    <row r="968" spans="8:8" x14ac:dyDescent="0.2">
      <c r="H968" s="3"/>
    </row>
    <row r="969" spans="8:8" x14ac:dyDescent="0.2">
      <c r="H969" s="3"/>
    </row>
    <row r="970" spans="8:8" x14ac:dyDescent="0.2">
      <c r="H970" s="3"/>
    </row>
    <row r="971" spans="8:8" x14ac:dyDescent="0.2">
      <c r="H971" s="3"/>
    </row>
    <row r="972" spans="8:8" x14ac:dyDescent="0.2">
      <c r="H972" s="3"/>
    </row>
    <row r="973" spans="8:8" x14ac:dyDescent="0.2">
      <c r="H973" s="3"/>
    </row>
    <row r="974" spans="8:8" x14ac:dyDescent="0.2">
      <c r="H974" s="3"/>
    </row>
    <row r="975" spans="8:8" x14ac:dyDescent="0.2">
      <c r="H975" s="3"/>
    </row>
    <row r="976" spans="8:8" x14ac:dyDescent="0.2">
      <c r="H976" s="3"/>
    </row>
    <row r="977" spans="8:8" x14ac:dyDescent="0.2">
      <c r="H977" s="3"/>
    </row>
    <row r="978" spans="8:8" x14ac:dyDescent="0.2">
      <c r="H978" s="3"/>
    </row>
    <row r="979" spans="8:8" x14ac:dyDescent="0.2">
      <c r="H979" s="3"/>
    </row>
    <row r="980" spans="8:8" x14ac:dyDescent="0.2">
      <c r="H980" s="3"/>
    </row>
    <row r="981" spans="8:8" x14ac:dyDescent="0.2">
      <c r="H981" s="3"/>
    </row>
    <row r="982" spans="8:8" x14ac:dyDescent="0.2">
      <c r="H982" s="3"/>
    </row>
    <row r="983" spans="8:8" x14ac:dyDescent="0.2">
      <c r="H983" s="3"/>
    </row>
    <row r="984" spans="8:8" x14ac:dyDescent="0.2">
      <c r="H984" s="3"/>
    </row>
    <row r="985" spans="8:8" x14ac:dyDescent="0.2">
      <c r="H985" s="3"/>
    </row>
    <row r="986" spans="8:8" x14ac:dyDescent="0.2">
      <c r="H986" s="3"/>
    </row>
    <row r="987" spans="8:8" x14ac:dyDescent="0.2">
      <c r="H987" s="3"/>
    </row>
    <row r="988" spans="8:8" x14ac:dyDescent="0.2">
      <c r="H988" s="3"/>
    </row>
    <row r="989" spans="8:8" x14ac:dyDescent="0.2">
      <c r="H989" s="3"/>
    </row>
    <row r="990" spans="8:8" x14ac:dyDescent="0.2">
      <c r="H990" s="3"/>
    </row>
    <row r="991" spans="8:8" x14ac:dyDescent="0.2">
      <c r="H991" s="3"/>
    </row>
    <row r="992" spans="8:8" x14ac:dyDescent="0.2">
      <c r="H992" s="3"/>
    </row>
    <row r="993" spans="8:8" x14ac:dyDescent="0.2">
      <c r="H993" s="3"/>
    </row>
    <row r="994" spans="8:8" x14ac:dyDescent="0.2">
      <c r="H994" s="3"/>
    </row>
    <row r="995" spans="8:8" x14ac:dyDescent="0.2">
      <c r="H995" s="3"/>
    </row>
    <row r="996" spans="8:8" x14ac:dyDescent="0.2">
      <c r="H996" s="3"/>
    </row>
    <row r="997" spans="8:8" x14ac:dyDescent="0.2">
      <c r="H997" s="3"/>
    </row>
    <row r="998" spans="8:8" x14ac:dyDescent="0.2">
      <c r="H998" s="3"/>
    </row>
    <row r="999" spans="8:8" x14ac:dyDescent="0.2">
      <c r="H999" s="3"/>
    </row>
    <row r="1000" spans="8:8" x14ac:dyDescent="0.2">
      <c r="H1000" s="3"/>
    </row>
    <row r="1001" spans="8:8" x14ac:dyDescent="0.2">
      <c r="H1001" s="3"/>
    </row>
    <row r="1002" spans="8:8" x14ac:dyDescent="0.2">
      <c r="H1002" s="3"/>
    </row>
    <row r="1003" spans="8:8" x14ac:dyDescent="0.2">
      <c r="H1003" s="3"/>
    </row>
    <row r="1004" spans="8:8" x14ac:dyDescent="0.2">
      <c r="H1004" s="3"/>
    </row>
    <row r="1005" spans="8:8" x14ac:dyDescent="0.2">
      <c r="H1005" s="3"/>
    </row>
    <row r="1006" spans="8:8" x14ac:dyDescent="0.2">
      <c r="H1006" s="3"/>
    </row>
    <row r="1007" spans="8:8" x14ac:dyDescent="0.2">
      <c r="H1007" s="3"/>
    </row>
    <row r="1008" spans="8:8" x14ac:dyDescent="0.2">
      <c r="H1008" s="3"/>
    </row>
    <row r="1009" spans="8:8" x14ac:dyDescent="0.2">
      <c r="H1009" s="3"/>
    </row>
    <row r="1010" spans="8:8" x14ac:dyDescent="0.2">
      <c r="H1010" s="3"/>
    </row>
    <row r="1011" spans="8:8" x14ac:dyDescent="0.2">
      <c r="H1011" s="3"/>
    </row>
    <row r="1012" spans="8:8" x14ac:dyDescent="0.2">
      <c r="H1012" s="3"/>
    </row>
    <row r="1013" spans="8:8" x14ac:dyDescent="0.2">
      <c r="H1013" s="3"/>
    </row>
    <row r="1014" spans="8:8" x14ac:dyDescent="0.2">
      <c r="H1014" s="3"/>
    </row>
    <row r="1015" spans="8:8" x14ac:dyDescent="0.2">
      <c r="H1015" s="3"/>
    </row>
    <row r="1016" spans="8:8" x14ac:dyDescent="0.2">
      <c r="H1016" s="3"/>
    </row>
    <row r="1017" spans="8:8" x14ac:dyDescent="0.2">
      <c r="H1017" s="3"/>
    </row>
    <row r="1018" spans="8:8" x14ac:dyDescent="0.2">
      <c r="H1018" s="3"/>
    </row>
    <row r="1019" spans="8:8" x14ac:dyDescent="0.2">
      <c r="H1019" s="3"/>
    </row>
    <row r="1020" spans="8:8" x14ac:dyDescent="0.2">
      <c r="H1020" s="3"/>
    </row>
    <row r="1021" spans="8:8" x14ac:dyDescent="0.2">
      <c r="H1021" s="3"/>
    </row>
    <row r="1022" spans="8:8" x14ac:dyDescent="0.2">
      <c r="H1022" s="3"/>
    </row>
    <row r="1023" spans="8:8" x14ac:dyDescent="0.2">
      <c r="H1023" s="3"/>
    </row>
    <row r="1024" spans="8:8" x14ac:dyDescent="0.2">
      <c r="H1024" s="3"/>
    </row>
    <row r="1025" spans="8:8" x14ac:dyDescent="0.2">
      <c r="H1025" s="3"/>
    </row>
    <row r="1026" spans="8:8" x14ac:dyDescent="0.2">
      <c r="H1026" s="3"/>
    </row>
    <row r="1027" spans="8:8" x14ac:dyDescent="0.2">
      <c r="H1027" s="3"/>
    </row>
    <row r="1028" spans="8:8" x14ac:dyDescent="0.2">
      <c r="H1028" s="3"/>
    </row>
    <row r="1029" spans="8:8" x14ac:dyDescent="0.2">
      <c r="H1029" s="3"/>
    </row>
    <row r="1030" spans="8:8" x14ac:dyDescent="0.2">
      <c r="H1030" s="3"/>
    </row>
    <row r="1031" spans="8:8" x14ac:dyDescent="0.2">
      <c r="H1031" s="3"/>
    </row>
    <row r="1032" spans="8:8" x14ac:dyDescent="0.2">
      <c r="H1032" s="3"/>
    </row>
    <row r="1033" spans="8:8" x14ac:dyDescent="0.2">
      <c r="H1033" s="3"/>
    </row>
    <row r="1034" spans="8:8" x14ac:dyDescent="0.2">
      <c r="H1034" s="3"/>
    </row>
    <row r="1035" spans="8:8" x14ac:dyDescent="0.2">
      <c r="H1035" s="3"/>
    </row>
    <row r="1036" spans="8:8" x14ac:dyDescent="0.2">
      <c r="H1036" s="3"/>
    </row>
    <row r="1037" spans="8:8" x14ac:dyDescent="0.2">
      <c r="H1037" s="3"/>
    </row>
    <row r="1038" spans="8:8" x14ac:dyDescent="0.2">
      <c r="H1038" s="3"/>
    </row>
    <row r="1039" spans="8:8" x14ac:dyDescent="0.2">
      <c r="H1039" s="3"/>
    </row>
    <row r="1040" spans="8:8" x14ac:dyDescent="0.2">
      <c r="H1040" s="3"/>
    </row>
    <row r="1041" spans="8:8" x14ac:dyDescent="0.2">
      <c r="H1041" s="3"/>
    </row>
    <row r="1042" spans="8:8" x14ac:dyDescent="0.2">
      <c r="H1042" s="3"/>
    </row>
    <row r="1043" spans="8:8" x14ac:dyDescent="0.2">
      <c r="H1043" s="3"/>
    </row>
    <row r="1044" spans="8:8" x14ac:dyDescent="0.2">
      <c r="H1044" s="3"/>
    </row>
    <row r="1045" spans="8:8" x14ac:dyDescent="0.2">
      <c r="H1045" s="3"/>
    </row>
    <row r="1046" spans="8:8" x14ac:dyDescent="0.2">
      <c r="H1046" s="3"/>
    </row>
    <row r="1047" spans="8:8" x14ac:dyDescent="0.2">
      <c r="H1047" s="3"/>
    </row>
    <row r="1048" spans="8:8" x14ac:dyDescent="0.2">
      <c r="H1048" s="3"/>
    </row>
    <row r="1049" spans="8:8" x14ac:dyDescent="0.2">
      <c r="H1049" s="3"/>
    </row>
    <row r="1050" spans="8:8" x14ac:dyDescent="0.2">
      <c r="H1050" s="3"/>
    </row>
    <row r="1051" spans="8:8" x14ac:dyDescent="0.2">
      <c r="H1051" s="3"/>
    </row>
    <row r="1052" spans="8:8" x14ac:dyDescent="0.2">
      <c r="H1052" s="3"/>
    </row>
    <row r="1053" spans="8:8" x14ac:dyDescent="0.2">
      <c r="H1053" s="3"/>
    </row>
    <row r="1054" spans="8:8" x14ac:dyDescent="0.2">
      <c r="H1054" s="3"/>
    </row>
    <row r="1055" spans="8:8" x14ac:dyDescent="0.2">
      <c r="H1055" s="3"/>
    </row>
    <row r="1056" spans="8:8" x14ac:dyDescent="0.2">
      <c r="H1056" s="3"/>
    </row>
    <row r="1057" spans="8:8" x14ac:dyDescent="0.2">
      <c r="H1057" s="3"/>
    </row>
    <row r="1058" spans="8:8" x14ac:dyDescent="0.2">
      <c r="H1058" s="3"/>
    </row>
    <row r="1059" spans="8:8" x14ac:dyDescent="0.2">
      <c r="H1059" s="3"/>
    </row>
    <row r="1060" spans="8:8" x14ac:dyDescent="0.2">
      <c r="H1060" s="3"/>
    </row>
    <row r="1061" spans="8:8" x14ac:dyDescent="0.2">
      <c r="H1061" s="3"/>
    </row>
    <row r="1062" spans="8:8" x14ac:dyDescent="0.2">
      <c r="H1062" s="3"/>
    </row>
    <row r="1063" spans="8:8" x14ac:dyDescent="0.2">
      <c r="H1063" s="3"/>
    </row>
    <row r="1064" spans="8:8" x14ac:dyDescent="0.2">
      <c r="H1064" s="3"/>
    </row>
    <row r="1065" spans="8:8" x14ac:dyDescent="0.2">
      <c r="H1065" s="3"/>
    </row>
    <row r="1066" spans="8:8" x14ac:dyDescent="0.2">
      <c r="H1066" s="3"/>
    </row>
    <row r="1067" spans="8:8" x14ac:dyDescent="0.2">
      <c r="H1067" s="3"/>
    </row>
    <row r="1068" spans="8:8" x14ac:dyDescent="0.2">
      <c r="H1068" s="3"/>
    </row>
    <row r="1069" spans="8:8" x14ac:dyDescent="0.2">
      <c r="H1069" s="3"/>
    </row>
    <row r="1070" spans="8:8" x14ac:dyDescent="0.2">
      <c r="H1070" s="3"/>
    </row>
    <row r="1071" spans="8:8" x14ac:dyDescent="0.2">
      <c r="H1071" s="3"/>
    </row>
    <row r="1072" spans="8:8" x14ac:dyDescent="0.2">
      <c r="H1072" s="3"/>
    </row>
    <row r="1073" spans="8:8" x14ac:dyDescent="0.2">
      <c r="H1073" s="3"/>
    </row>
    <row r="1074" spans="8:8" x14ac:dyDescent="0.2">
      <c r="H1074" s="3"/>
    </row>
    <row r="1075" spans="8:8" x14ac:dyDescent="0.2">
      <c r="H1075" s="3"/>
    </row>
    <row r="1076" spans="8:8" x14ac:dyDescent="0.2">
      <c r="H1076" s="3"/>
    </row>
    <row r="1077" spans="8:8" x14ac:dyDescent="0.2">
      <c r="H1077" s="3"/>
    </row>
    <row r="1078" spans="8:8" x14ac:dyDescent="0.2">
      <c r="H1078" s="3"/>
    </row>
    <row r="1079" spans="8:8" x14ac:dyDescent="0.2">
      <c r="H1079" s="3"/>
    </row>
    <row r="1080" spans="8:8" x14ac:dyDescent="0.2">
      <c r="H1080" s="3"/>
    </row>
    <row r="1081" spans="8:8" x14ac:dyDescent="0.2">
      <c r="H1081" s="3"/>
    </row>
    <row r="1082" spans="8:8" x14ac:dyDescent="0.2">
      <c r="H1082" s="3"/>
    </row>
    <row r="1083" spans="8:8" x14ac:dyDescent="0.2">
      <c r="H1083" s="3"/>
    </row>
    <row r="1084" spans="8:8" x14ac:dyDescent="0.2">
      <c r="H1084" s="3"/>
    </row>
    <row r="1085" spans="8:8" x14ac:dyDescent="0.2">
      <c r="H1085" s="3"/>
    </row>
    <row r="1086" spans="8:8" x14ac:dyDescent="0.2">
      <c r="H1086" s="3"/>
    </row>
    <row r="1087" spans="8:8" x14ac:dyDescent="0.2">
      <c r="H1087" s="3"/>
    </row>
    <row r="1088" spans="8:8" x14ac:dyDescent="0.2">
      <c r="H1088" s="3"/>
    </row>
    <row r="1089" spans="8:8" x14ac:dyDescent="0.2">
      <c r="H1089" s="3"/>
    </row>
    <row r="1090" spans="8:8" x14ac:dyDescent="0.2">
      <c r="H1090" s="3"/>
    </row>
    <row r="1091" spans="8:8" x14ac:dyDescent="0.2">
      <c r="H1091" s="3"/>
    </row>
    <row r="1092" spans="8:8" x14ac:dyDescent="0.2">
      <c r="H1092" s="3"/>
    </row>
    <row r="1093" spans="8:8" x14ac:dyDescent="0.2">
      <c r="H1093" s="3"/>
    </row>
    <row r="1094" spans="8:8" x14ac:dyDescent="0.2">
      <c r="H1094" s="3"/>
    </row>
    <row r="1095" spans="8:8" x14ac:dyDescent="0.2">
      <c r="H1095" s="3"/>
    </row>
    <row r="1096" spans="8:8" x14ac:dyDescent="0.2">
      <c r="H1096" s="3"/>
    </row>
    <row r="1097" spans="8:8" x14ac:dyDescent="0.2">
      <c r="H1097" s="3"/>
    </row>
    <row r="1098" spans="8:8" x14ac:dyDescent="0.2">
      <c r="H1098" s="3"/>
    </row>
    <row r="1099" spans="8:8" x14ac:dyDescent="0.2">
      <c r="H1099" s="3"/>
    </row>
    <row r="1100" spans="8:8" x14ac:dyDescent="0.2">
      <c r="H1100" s="3"/>
    </row>
    <row r="1101" spans="8:8" x14ac:dyDescent="0.2">
      <c r="H1101" s="3"/>
    </row>
    <row r="1102" spans="8:8" x14ac:dyDescent="0.2">
      <c r="H1102" s="3"/>
    </row>
    <row r="1103" spans="8:8" x14ac:dyDescent="0.2">
      <c r="H1103" s="3"/>
    </row>
    <row r="1104" spans="8:8" x14ac:dyDescent="0.2">
      <c r="H1104" s="3"/>
    </row>
    <row r="1105" spans="8:8" x14ac:dyDescent="0.2">
      <c r="H1105" s="3"/>
    </row>
    <row r="1106" spans="8:8" x14ac:dyDescent="0.2">
      <c r="H1106" s="3"/>
    </row>
    <row r="1107" spans="8:8" x14ac:dyDescent="0.2">
      <c r="H1107" s="3"/>
    </row>
    <row r="1108" spans="8:8" x14ac:dyDescent="0.2">
      <c r="H1108" s="3"/>
    </row>
    <row r="1109" spans="8:8" x14ac:dyDescent="0.2">
      <c r="H1109" s="3"/>
    </row>
    <row r="1110" spans="8:8" x14ac:dyDescent="0.2">
      <c r="H1110" s="3"/>
    </row>
    <row r="1111" spans="8:8" x14ac:dyDescent="0.2">
      <c r="H1111" s="3"/>
    </row>
    <row r="1112" spans="8:8" x14ac:dyDescent="0.2">
      <c r="H1112" s="3"/>
    </row>
    <row r="1113" spans="8:8" x14ac:dyDescent="0.2">
      <c r="H1113" s="3"/>
    </row>
    <row r="1114" spans="8:8" x14ac:dyDescent="0.2">
      <c r="H1114" s="3"/>
    </row>
    <row r="1115" spans="8:8" x14ac:dyDescent="0.2">
      <c r="H1115" s="3"/>
    </row>
    <row r="1116" spans="8:8" x14ac:dyDescent="0.2">
      <c r="H1116" s="3"/>
    </row>
    <row r="1117" spans="8:8" x14ac:dyDescent="0.2">
      <c r="H1117" s="3"/>
    </row>
    <row r="1118" spans="8:8" x14ac:dyDescent="0.2">
      <c r="H1118" s="3"/>
    </row>
    <row r="1119" spans="8:8" x14ac:dyDescent="0.2">
      <c r="H1119" s="3"/>
    </row>
    <row r="1120" spans="8:8" x14ac:dyDescent="0.2">
      <c r="H1120" s="3"/>
    </row>
    <row r="1121" spans="8:8" x14ac:dyDescent="0.2">
      <c r="H1121" s="3"/>
    </row>
    <row r="1122" spans="8:8" x14ac:dyDescent="0.2">
      <c r="H1122" s="3"/>
    </row>
    <row r="1123" spans="8:8" x14ac:dyDescent="0.2">
      <c r="H1123" s="3"/>
    </row>
    <row r="1124" spans="8:8" x14ac:dyDescent="0.2">
      <c r="H1124" s="3"/>
    </row>
    <row r="1125" spans="8:8" x14ac:dyDescent="0.2">
      <c r="H1125" s="3"/>
    </row>
    <row r="1126" spans="8:8" x14ac:dyDescent="0.2">
      <c r="H1126" s="3"/>
    </row>
    <row r="1127" spans="8:8" x14ac:dyDescent="0.2">
      <c r="H1127" s="3"/>
    </row>
    <row r="1128" spans="8:8" x14ac:dyDescent="0.2">
      <c r="H1128" s="3"/>
    </row>
    <row r="1129" spans="8:8" x14ac:dyDescent="0.2">
      <c r="H1129" s="3"/>
    </row>
    <row r="1130" spans="8:8" x14ac:dyDescent="0.2">
      <c r="H1130" s="3"/>
    </row>
    <row r="1131" spans="8:8" x14ac:dyDescent="0.2">
      <c r="H1131" s="3"/>
    </row>
    <row r="1132" spans="8:8" x14ac:dyDescent="0.2">
      <c r="H1132" s="3"/>
    </row>
    <row r="1133" spans="8:8" x14ac:dyDescent="0.2">
      <c r="H1133" s="3"/>
    </row>
    <row r="1134" spans="8:8" x14ac:dyDescent="0.2">
      <c r="H1134" s="3"/>
    </row>
    <row r="1135" spans="8:8" x14ac:dyDescent="0.2">
      <c r="H1135" s="3"/>
    </row>
    <row r="1136" spans="8:8" x14ac:dyDescent="0.2">
      <c r="H1136" s="3"/>
    </row>
    <row r="1137" spans="8:8" x14ac:dyDescent="0.2">
      <c r="H1137" s="3"/>
    </row>
    <row r="1138" spans="8:8" x14ac:dyDescent="0.2">
      <c r="H1138" s="3"/>
    </row>
    <row r="1139" spans="8:8" x14ac:dyDescent="0.2">
      <c r="H1139" s="3"/>
    </row>
    <row r="1140" spans="8:8" x14ac:dyDescent="0.2">
      <c r="H1140" s="3"/>
    </row>
    <row r="1141" spans="8:8" x14ac:dyDescent="0.2">
      <c r="H1141" s="3"/>
    </row>
    <row r="1142" spans="8:8" x14ac:dyDescent="0.2">
      <c r="H1142" s="3"/>
    </row>
    <row r="1143" spans="8:8" x14ac:dyDescent="0.2">
      <c r="H1143" s="3"/>
    </row>
    <row r="1144" spans="8:8" x14ac:dyDescent="0.2">
      <c r="H1144" s="3"/>
    </row>
    <row r="1145" spans="8:8" x14ac:dyDescent="0.2">
      <c r="H1145" s="3"/>
    </row>
    <row r="1146" spans="8:8" x14ac:dyDescent="0.2">
      <c r="H1146" s="3"/>
    </row>
    <row r="1147" spans="8:8" x14ac:dyDescent="0.2">
      <c r="H1147" s="3"/>
    </row>
    <row r="1148" spans="8:8" x14ac:dyDescent="0.2">
      <c r="H1148" s="3"/>
    </row>
    <row r="1149" spans="8:8" x14ac:dyDescent="0.2">
      <c r="H1149" s="3"/>
    </row>
    <row r="1150" spans="8:8" x14ac:dyDescent="0.2">
      <c r="H1150" s="3"/>
    </row>
    <row r="1151" spans="8:8" x14ac:dyDescent="0.2">
      <c r="H1151" s="3"/>
    </row>
    <row r="1152" spans="8:8" x14ac:dyDescent="0.2">
      <c r="H1152" s="3"/>
    </row>
    <row r="1153" spans="8:8" x14ac:dyDescent="0.2">
      <c r="H1153" s="3"/>
    </row>
    <row r="1154" spans="8:8" x14ac:dyDescent="0.2">
      <c r="H1154" s="3"/>
    </row>
    <row r="1155" spans="8:8" x14ac:dyDescent="0.2">
      <c r="H1155" s="3"/>
    </row>
    <row r="1156" spans="8:8" x14ac:dyDescent="0.2">
      <c r="H1156" s="3"/>
    </row>
    <row r="1157" spans="8:8" x14ac:dyDescent="0.2">
      <c r="H1157" s="3"/>
    </row>
    <row r="1158" spans="8:8" x14ac:dyDescent="0.2">
      <c r="H1158" s="3"/>
    </row>
    <row r="1159" spans="8:8" x14ac:dyDescent="0.2">
      <c r="H1159" s="3"/>
    </row>
    <row r="1160" spans="8:8" x14ac:dyDescent="0.2">
      <c r="H1160" s="3"/>
    </row>
    <row r="1161" spans="8:8" x14ac:dyDescent="0.2">
      <c r="H1161" s="3"/>
    </row>
    <row r="1162" spans="8:8" x14ac:dyDescent="0.2">
      <c r="H1162" s="3"/>
    </row>
    <row r="1163" spans="8:8" x14ac:dyDescent="0.2">
      <c r="H1163" s="3"/>
    </row>
    <row r="1164" spans="8:8" x14ac:dyDescent="0.2">
      <c r="H1164" s="3"/>
    </row>
    <row r="1165" spans="8:8" x14ac:dyDescent="0.2">
      <c r="H1165" s="3"/>
    </row>
    <row r="1166" spans="8:8" x14ac:dyDescent="0.2">
      <c r="H1166" s="3"/>
    </row>
    <row r="1167" spans="8:8" x14ac:dyDescent="0.2">
      <c r="H1167" s="3"/>
    </row>
    <row r="1168" spans="8:8" x14ac:dyDescent="0.2">
      <c r="H1168" s="3"/>
    </row>
    <row r="1169" spans="8:8" x14ac:dyDescent="0.2">
      <c r="H1169" s="3"/>
    </row>
    <row r="1170" spans="8:8" x14ac:dyDescent="0.2">
      <c r="H1170" s="3"/>
    </row>
    <row r="1171" spans="8:8" x14ac:dyDescent="0.2">
      <c r="H1171" s="3"/>
    </row>
    <row r="1172" spans="8:8" x14ac:dyDescent="0.2">
      <c r="H1172" s="3"/>
    </row>
    <row r="1173" spans="8:8" x14ac:dyDescent="0.2">
      <c r="H1173" s="3"/>
    </row>
    <row r="1174" spans="8:8" x14ac:dyDescent="0.2">
      <c r="H1174" s="3"/>
    </row>
    <row r="1175" spans="8:8" x14ac:dyDescent="0.2">
      <c r="H1175" s="3"/>
    </row>
    <row r="1176" spans="8:8" x14ac:dyDescent="0.2">
      <c r="H1176" s="3"/>
    </row>
    <row r="1177" spans="8:8" x14ac:dyDescent="0.2">
      <c r="H1177" s="3"/>
    </row>
    <row r="1178" spans="8:8" x14ac:dyDescent="0.2">
      <c r="H1178" s="3"/>
    </row>
    <row r="1179" spans="8:8" x14ac:dyDescent="0.2">
      <c r="H1179" s="3"/>
    </row>
    <row r="1180" spans="8:8" x14ac:dyDescent="0.2">
      <c r="H1180" s="3"/>
    </row>
    <row r="1181" spans="8:8" x14ac:dyDescent="0.2">
      <c r="H1181" s="3"/>
    </row>
    <row r="1182" spans="8:8" x14ac:dyDescent="0.2">
      <c r="H1182" s="3"/>
    </row>
    <row r="1183" spans="8:8" x14ac:dyDescent="0.2">
      <c r="H1183" s="3"/>
    </row>
    <row r="1184" spans="8:8" x14ac:dyDescent="0.2">
      <c r="H1184" s="3"/>
    </row>
    <row r="1185" spans="8:8" x14ac:dyDescent="0.2">
      <c r="H1185" s="3"/>
    </row>
    <row r="1186" spans="8:8" x14ac:dyDescent="0.2">
      <c r="H1186" s="3"/>
    </row>
    <row r="1187" spans="8:8" x14ac:dyDescent="0.2">
      <c r="H1187" s="3"/>
    </row>
    <row r="1188" spans="8:8" x14ac:dyDescent="0.2">
      <c r="H1188" s="3"/>
    </row>
    <row r="1189" spans="8:8" x14ac:dyDescent="0.2">
      <c r="H1189" s="3"/>
    </row>
    <row r="1190" spans="8:8" x14ac:dyDescent="0.2">
      <c r="H1190" s="3"/>
    </row>
    <row r="1191" spans="8:8" x14ac:dyDescent="0.2">
      <c r="H1191" s="3"/>
    </row>
    <row r="1192" spans="8:8" x14ac:dyDescent="0.2">
      <c r="H1192" s="3"/>
    </row>
    <row r="1193" spans="8:8" x14ac:dyDescent="0.2">
      <c r="H1193" s="3"/>
    </row>
    <row r="1194" spans="8:8" x14ac:dyDescent="0.2">
      <c r="H1194" s="3"/>
    </row>
    <row r="1195" spans="8:8" x14ac:dyDescent="0.2">
      <c r="H1195" s="3"/>
    </row>
    <row r="1196" spans="8:8" x14ac:dyDescent="0.2">
      <c r="H1196" s="3"/>
    </row>
    <row r="1197" spans="8:8" x14ac:dyDescent="0.2">
      <c r="H1197" s="3"/>
    </row>
    <row r="1198" spans="8:8" x14ac:dyDescent="0.2">
      <c r="H1198" s="3"/>
    </row>
    <row r="1199" spans="8:8" x14ac:dyDescent="0.2">
      <c r="H1199" s="3"/>
    </row>
    <row r="1200" spans="8:8" x14ac:dyDescent="0.2">
      <c r="H1200" s="3"/>
    </row>
    <row r="1201" spans="8:8" x14ac:dyDescent="0.2">
      <c r="H1201" s="3"/>
    </row>
    <row r="1202" spans="8:8" x14ac:dyDescent="0.2">
      <c r="H1202" s="3"/>
    </row>
    <row r="1203" spans="8:8" x14ac:dyDescent="0.2">
      <c r="H1203" s="3"/>
    </row>
    <row r="1204" spans="8:8" x14ac:dyDescent="0.2">
      <c r="H1204" s="3"/>
    </row>
    <row r="1205" spans="8:8" x14ac:dyDescent="0.2">
      <c r="H1205" s="3"/>
    </row>
    <row r="1206" spans="8:8" x14ac:dyDescent="0.2">
      <c r="H1206" s="3"/>
    </row>
    <row r="1207" spans="8:8" x14ac:dyDescent="0.2">
      <c r="H1207" s="3"/>
    </row>
    <row r="1208" spans="8:8" x14ac:dyDescent="0.2">
      <c r="H1208" s="3"/>
    </row>
    <row r="1209" spans="8:8" x14ac:dyDescent="0.2">
      <c r="H1209" s="3"/>
    </row>
    <row r="1210" spans="8:8" x14ac:dyDescent="0.2">
      <c r="H1210" s="3"/>
    </row>
    <row r="1211" spans="8:8" x14ac:dyDescent="0.2">
      <c r="H1211" s="3"/>
    </row>
    <row r="1212" spans="8:8" x14ac:dyDescent="0.2">
      <c r="H1212" s="3"/>
    </row>
    <row r="1213" spans="8:8" x14ac:dyDescent="0.2">
      <c r="H1213" s="3"/>
    </row>
    <row r="1214" spans="8:8" x14ac:dyDescent="0.2">
      <c r="H1214" s="3"/>
    </row>
    <row r="1215" spans="8:8" x14ac:dyDescent="0.2">
      <c r="H1215" s="3"/>
    </row>
    <row r="1216" spans="8:8" x14ac:dyDescent="0.2">
      <c r="H1216" s="3"/>
    </row>
    <row r="1217" spans="8:8" x14ac:dyDescent="0.2">
      <c r="H1217" s="3"/>
    </row>
    <row r="1218" spans="8:8" x14ac:dyDescent="0.2">
      <c r="H1218" s="3"/>
    </row>
    <row r="1219" spans="8:8" x14ac:dyDescent="0.2">
      <c r="H1219" s="3"/>
    </row>
    <row r="1220" spans="8:8" x14ac:dyDescent="0.2">
      <c r="H1220" s="3"/>
    </row>
    <row r="1221" spans="8:8" x14ac:dyDescent="0.2">
      <c r="H1221" s="3"/>
    </row>
    <row r="1222" spans="8:8" x14ac:dyDescent="0.2">
      <c r="H1222" s="3"/>
    </row>
    <row r="1223" spans="8:8" x14ac:dyDescent="0.2">
      <c r="H1223" s="3"/>
    </row>
    <row r="1224" spans="8:8" x14ac:dyDescent="0.2">
      <c r="H1224" s="3"/>
    </row>
    <row r="1225" spans="8:8" x14ac:dyDescent="0.2">
      <c r="H1225" s="3"/>
    </row>
    <row r="1226" spans="8:8" x14ac:dyDescent="0.2">
      <c r="H1226" s="3"/>
    </row>
    <row r="1227" spans="8:8" x14ac:dyDescent="0.2">
      <c r="H1227" s="3"/>
    </row>
    <row r="1228" spans="8:8" x14ac:dyDescent="0.2">
      <c r="H1228" s="3"/>
    </row>
    <row r="1229" spans="8:8" x14ac:dyDescent="0.2">
      <c r="H1229" s="3"/>
    </row>
    <row r="1230" spans="8:8" x14ac:dyDescent="0.2">
      <c r="H1230" s="3"/>
    </row>
    <row r="1231" spans="8:8" x14ac:dyDescent="0.2">
      <c r="H1231" s="3"/>
    </row>
    <row r="1232" spans="8:8" x14ac:dyDescent="0.2">
      <c r="H1232" s="3"/>
    </row>
    <row r="1233" spans="8:8" x14ac:dyDescent="0.2">
      <c r="H1233" s="3"/>
    </row>
    <row r="1234" spans="8:8" x14ac:dyDescent="0.2">
      <c r="H1234" s="3"/>
    </row>
    <row r="1235" spans="8:8" x14ac:dyDescent="0.2">
      <c r="H1235" s="3"/>
    </row>
    <row r="1236" spans="8:8" x14ac:dyDescent="0.2">
      <c r="H1236" s="3"/>
    </row>
    <row r="1237" spans="8:8" x14ac:dyDescent="0.2">
      <c r="H1237" s="3"/>
    </row>
    <row r="1238" spans="8:8" x14ac:dyDescent="0.2">
      <c r="H1238" s="3"/>
    </row>
    <row r="1239" spans="8:8" x14ac:dyDescent="0.2">
      <c r="H1239" s="3"/>
    </row>
    <row r="1240" spans="8:8" x14ac:dyDescent="0.2">
      <c r="H1240" s="3"/>
    </row>
    <row r="1241" spans="8:8" x14ac:dyDescent="0.2">
      <c r="H1241" s="3"/>
    </row>
    <row r="1242" spans="8:8" x14ac:dyDescent="0.2">
      <c r="H1242" s="3"/>
    </row>
    <row r="1243" spans="8:8" x14ac:dyDescent="0.2">
      <c r="H1243" s="3"/>
    </row>
    <row r="1244" spans="8:8" x14ac:dyDescent="0.2">
      <c r="H1244" s="3"/>
    </row>
    <row r="1245" spans="8:8" x14ac:dyDescent="0.2">
      <c r="H1245" s="3"/>
    </row>
    <row r="1246" spans="8:8" x14ac:dyDescent="0.2">
      <c r="H1246" s="3"/>
    </row>
    <row r="1247" spans="8:8" x14ac:dyDescent="0.2">
      <c r="H1247" s="3"/>
    </row>
    <row r="1248" spans="8:8" x14ac:dyDescent="0.2">
      <c r="H1248" s="3"/>
    </row>
    <row r="1249" spans="8:8" x14ac:dyDescent="0.2">
      <c r="H1249" s="3"/>
    </row>
    <row r="1250" spans="8:8" x14ac:dyDescent="0.2">
      <c r="H1250" s="3"/>
    </row>
    <row r="1251" spans="8:8" x14ac:dyDescent="0.2">
      <c r="H1251" s="3"/>
    </row>
    <row r="1252" spans="8:8" x14ac:dyDescent="0.2">
      <c r="H1252" s="3"/>
    </row>
    <row r="1253" spans="8:8" x14ac:dyDescent="0.2">
      <c r="H1253" s="3"/>
    </row>
    <row r="1254" spans="8:8" x14ac:dyDescent="0.2">
      <c r="H1254" s="3"/>
    </row>
    <row r="1255" spans="8:8" x14ac:dyDescent="0.2">
      <c r="H1255" s="3"/>
    </row>
    <row r="1256" spans="8:8" x14ac:dyDescent="0.2">
      <c r="H1256" s="3"/>
    </row>
    <row r="1257" spans="8:8" x14ac:dyDescent="0.2">
      <c r="H1257" s="3"/>
    </row>
    <row r="1258" spans="8:8" x14ac:dyDescent="0.2">
      <c r="H1258" s="3"/>
    </row>
    <row r="1259" spans="8:8" x14ac:dyDescent="0.2">
      <c r="H1259" s="3"/>
    </row>
    <row r="1260" spans="8:8" x14ac:dyDescent="0.2">
      <c r="H1260" s="3"/>
    </row>
    <row r="1261" spans="8:8" x14ac:dyDescent="0.2">
      <c r="H1261" s="3"/>
    </row>
    <row r="1262" spans="8:8" x14ac:dyDescent="0.2">
      <c r="H1262" s="3"/>
    </row>
    <row r="1263" spans="8:8" x14ac:dyDescent="0.2">
      <c r="H1263" s="3"/>
    </row>
    <row r="1264" spans="8:8" x14ac:dyDescent="0.2">
      <c r="H1264" s="3"/>
    </row>
    <row r="1265" spans="8:8" x14ac:dyDescent="0.2">
      <c r="H1265" s="3"/>
    </row>
    <row r="1266" spans="8:8" x14ac:dyDescent="0.2">
      <c r="H1266" s="3"/>
    </row>
    <row r="1267" spans="8:8" x14ac:dyDescent="0.2">
      <c r="H1267" s="3"/>
    </row>
    <row r="1268" spans="8:8" x14ac:dyDescent="0.2">
      <c r="H1268" s="3"/>
    </row>
    <row r="1269" spans="8:8" x14ac:dyDescent="0.2">
      <c r="H1269" s="3"/>
    </row>
    <row r="1270" spans="8:8" x14ac:dyDescent="0.2">
      <c r="H1270" s="3"/>
    </row>
    <row r="1271" spans="8:8" x14ac:dyDescent="0.2">
      <c r="H1271" s="3"/>
    </row>
    <row r="1272" spans="8:8" x14ac:dyDescent="0.2">
      <c r="H1272" s="3"/>
    </row>
    <row r="1273" spans="8:8" x14ac:dyDescent="0.2">
      <c r="H1273" s="3"/>
    </row>
    <row r="1274" spans="8:8" x14ac:dyDescent="0.2">
      <c r="H1274" s="3"/>
    </row>
    <row r="1275" spans="8:8" x14ac:dyDescent="0.2">
      <c r="H1275" s="3"/>
    </row>
    <row r="1276" spans="8:8" x14ac:dyDescent="0.2">
      <c r="H1276" s="3"/>
    </row>
    <row r="1277" spans="8:8" x14ac:dyDescent="0.2">
      <c r="H1277" s="3"/>
    </row>
    <row r="1278" spans="8:8" x14ac:dyDescent="0.2">
      <c r="H1278" s="3"/>
    </row>
    <row r="1279" spans="8:8" x14ac:dyDescent="0.2">
      <c r="H1279" s="3"/>
    </row>
    <row r="1280" spans="8:8" x14ac:dyDescent="0.2">
      <c r="H1280" s="3"/>
    </row>
    <row r="1281" spans="8:8" x14ac:dyDescent="0.2">
      <c r="H1281" s="3"/>
    </row>
    <row r="1282" spans="8:8" x14ac:dyDescent="0.2">
      <c r="H1282" s="3"/>
    </row>
    <row r="1283" spans="8:8" x14ac:dyDescent="0.2">
      <c r="H1283" s="3"/>
    </row>
    <row r="1284" spans="8:8" x14ac:dyDescent="0.2">
      <c r="H1284" s="3"/>
    </row>
    <row r="1285" spans="8:8" x14ac:dyDescent="0.2">
      <c r="H1285" s="3"/>
    </row>
    <row r="1286" spans="8:8" x14ac:dyDescent="0.2">
      <c r="H1286" s="3"/>
    </row>
    <row r="1287" spans="8:8" x14ac:dyDescent="0.2">
      <c r="H1287" s="3"/>
    </row>
    <row r="1288" spans="8:8" x14ac:dyDescent="0.2">
      <c r="H1288" s="3"/>
    </row>
    <row r="1289" spans="8:8" x14ac:dyDescent="0.2">
      <c r="H1289" s="3"/>
    </row>
    <row r="1290" spans="8:8" x14ac:dyDescent="0.2">
      <c r="H1290" s="3"/>
    </row>
    <row r="1291" spans="8:8" x14ac:dyDescent="0.2">
      <c r="H1291" s="3"/>
    </row>
    <row r="1292" spans="8:8" x14ac:dyDescent="0.2">
      <c r="H1292" s="3"/>
    </row>
    <row r="1293" spans="8:8" x14ac:dyDescent="0.2">
      <c r="H1293" s="3"/>
    </row>
    <row r="1294" spans="8:8" x14ac:dyDescent="0.2">
      <c r="H1294" s="3"/>
    </row>
    <row r="1295" spans="8:8" x14ac:dyDescent="0.2">
      <c r="H1295" s="3"/>
    </row>
    <row r="1296" spans="8:8" x14ac:dyDescent="0.2">
      <c r="H1296" s="3"/>
    </row>
    <row r="1297" spans="8:8" x14ac:dyDescent="0.2">
      <c r="H1297" s="3"/>
    </row>
    <row r="1298" spans="8:8" x14ac:dyDescent="0.2">
      <c r="H1298" s="3"/>
    </row>
    <row r="1299" spans="8:8" x14ac:dyDescent="0.2">
      <c r="H1299" s="3"/>
    </row>
    <row r="1300" spans="8:8" x14ac:dyDescent="0.2">
      <c r="H1300" s="3"/>
    </row>
    <row r="1301" spans="8:8" x14ac:dyDescent="0.2">
      <c r="H1301" s="3"/>
    </row>
    <row r="1302" spans="8:8" x14ac:dyDescent="0.2">
      <c r="H1302" s="3"/>
    </row>
    <row r="1303" spans="8:8" x14ac:dyDescent="0.2">
      <c r="H1303" s="3"/>
    </row>
    <row r="1304" spans="8:8" x14ac:dyDescent="0.2">
      <c r="H1304" s="3"/>
    </row>
    <row r="1305" spans="8:8" x14ac:dyDescent="0.2">
      <c r="H1305" s="3"/>
    </row>
    <row r="1306" spans="8:8" x14ac:dyDescent="0.2">
      <c r="H1306" s="3"/>
    </row>
    <row r="1307" spans="8:8" x14ac:dyDescent="0.2">
      <c r="H1307" s="3"/>
    </row>
    <row r="1308" spans="8:8" x14ac:dyDescent="0.2">
      <c r="H1308" s="3"/>
    </row>
    <row r="1309" spans="8:8" x14ac:dyDescent="0.2">
      <c r="H1309" s="3"/>
    </row>
    <row r="1310" spans="8:8" x14ac:dyDescent="0.2">
      <c r="H1310" s="3"/>
    </row>
    <row r="1311" spans="8:8" x14ac:dyDescent="0.2">
      <c r="H1311" s="3"/>
    </row>
    <row r="1312" spans="8:8" x14ac:dyDescent="0.2">
      <c r="H1312" s="3"/>
    </row>
    <row r="1313" spans="8:8" x14ac:dyDescent="0.2">
      <c r="H1313" s="3"/>
    </row>
    <row r="1314" spans="8:8" x14ac:dyDescent="0.2">
      <c r="H1314" s="3"/>
    </row>
    <row r="1315" spans="8:8" x14ac:dyDescent="0.2">
      <c r="H1315" s="3"/>
    </row>
    <row r="1316" spans="8:8" x14ac:dyDescent="0.2">
      <c r="H1316" s="3"/>
    </row>
    <row r="1317" spans="8:8" x14ac:dyDescent="0.2">
      <c r="H1317" s="3"/>
    </row>
    <row r="1318" spans="8:8" x14ac:dyDescent="0.2">
      <c r="H1318" s="3"/>
    </row>
    <row r="1319" spans="8:8" x14ac:dyDescent="0.2">
      <c r="H1319" s="3"/>
    </row>
    <row r="1320" spans="8:8" x14ac:dyDescent="0.2">
      <c r="H1320" s="3"/>
    </row>
    <row r="1321" spans="8:8" x14ac:dyDescent="0.2">
      <c r="H1321" s="3"/>
    </row>
    <row r="1322" spans="8:8" x14ac:dyDescent="0.2">
      <c r="H1322" s="3"/>
    </row>
    <row r="1323" spans="8:8" x14ac:dyDescent="0.2">
      <c r="H1323" s="3"/>
    </row>
    <row r="1324" spans="8:8" x14ac:dyDescent="0.2">
      <c r="H1324" s="3"/>
    </row>
    <row r="1325" spans="8:8" x14ac:dyDescent="0.2">
      <c r="H1325" s="3"/>
    </row>
    <row r="1326" spans="8:8" x14ac:dyDescent="0.2">
      <c r="H1326" s="3"/>
    </row>
    <row r="1327" spans="8:8" x14ac:dyDescent="0.2">
      <c r="H1327" s="3"/>
    </row>
    <row r="1328" spans="8:8" x14ac:dyDescent="0.2">
      <c r="H1328" s="3"/>
    </row>
    <row r="1329" spans="8:8" x14ac:dyDescent="0.2">
      <c r="H1329" s="3"/>
    </row>
    <row r="1330" spans="8:8" x14ac:dyDescent="0.2">
      <c r="H1330" s="3"/>
    </row>
    <row r="1331" spans="8:8" x14ac:dyDescent="0.2">
      <c r="H1331" s="3"/>
    </row>
    <row r="1332" spans="8:8" x14ac:dyDescent="0.2">
      <c r="H1332" s="3"/>
    </row>
    <row r="1333" spans="8:8" x14ac:dyDescent="0.2">
      <c r="H1333" s="3"/>
    </row>
    <row r="1334" spans="8:8" x14ac:dyDescent="0.2">
      <c r="H1334" s="3"/>
    </row>
    <row r="1335" spans="8:8" x14ac:dyDescent="0.2">
      <c r="H1335" s="3"/>
    </row>
    <row r="1336" spans="8:8" x14ac:dyDescent="0.2">
      <c r="H1336" s="3"/>
    </row>
    <row r="1337" spans="8:8" x14ac:dyDescent="0.2">
      <c r="H1337" s="3"/>
    </row>
    <row r="1338" spans="8:8" x14ac:dyDescent="0.2">
      <c r="H1338" s="3"/>
    </row>
    <row r="1339" spans="8:8" x14ac:dyDescent="0.2">
      <c r="H1339" s="3"/>
    </row>
    <row r="1340" spans="8:8" x14ac:dyDescent="0.2">
      <c r="H1340" s="3"/>
    </row>
    <row r="1341" spans="8:8" x14ac:dyDescent="0.2">
      <c r="H1341" s="3"/>
    </row>
    <row r="1342" spans="8:8" x14ac:dyDescent="0.2">
      <c r="H1342" s="3"/>
    </row>
    <row r="1343" spans="8:8" x14ac:dyDescent="0.2">
      <c r="H1343" s="3"/>
    </row>
    <row r="1344" spans="8:8" x14ac:dyDescent="0.2">
      <c r="H1344" s="3"/>
    </row>
    <row r="1345" spans="8:8" x14ac:dyDescent="0.2">
      <c r="H1345" s="3"/>
    </row>
    <row r="1346" spans="8:8" x14ac:dyDescent="0.2">
      <c r="H1346" s="3"/>
    </row>
    <row r="1347" spans="8:8" x14ac:dyDescent="0.2">
      <c r="H1347" s="3"/>
    </row>
    <row r="1348" spans="8:8" x14ac:dyDescent="0.2">
      <c r="H1348" s="3"/>
    </row>
    <row r="1349" spans="8:8" x14ac:dyDescent="0.2">
      <c r="H1349" s="3"/>
    </row>
    <row r="1350" spans="8:8" x14ac:dyDescent="0.2">
      <c r="H1350" s="3"/>
    </row>
    <row r="1351" spans="8:8" x14ac:dyDescent="0.2">
      <c r="H1351" s="3"/>
    </row>
    <row r="1352" spans="8:8" x14ac:dyDescent="0.2">
      <c r="H1352" s="3"/>
    </row>
    <row r="1353" spans="8:8" x14ac:dyDescent="0.2">
      <c r="H1353" s="3"/>
    </row>
    <row r="1354" spans="8:8" x14ac:dyDescent="0.2">
      <c r="H1354" s="3"/>
    </row>
    <row r="1355" spans="8:8" x14ac:dyDescent="0.2">
      <c r="H1355" s="3"/>
    </row>
    <row r="1356" spans="8:8" x14ac:dyDescent="0.2">
      <c r="H1356" s="3"/>
    </row>
    <row r="1357" spans="8:8" x14ac:dyDescent="0.2">
      <c r="H1357" s="3"/>
    </row>
    <row r="1358" spans="8:8" x14ac:dyDescent="0.2">
      <c r="H1358" s="3"/>
    </row>
    <row r="1359" spans="8:8" x14ac:dyDescent="0.2">
      <c r="H1359" s="3"/>
    </row>
    <row r="1360" spans="8:8" x14ac:dyDescent="0.2">
      <c r="H1360" s="3"/>
    </row>
    <row r="1361" spans="8:8" x14ac:dyDescent="0.2">
      <c r="H1361" s="3"/>
    </row>
    <row r="1362" spans="8:8" x14ac:dyDescent="0.2">
      <c r="H1362" s="3"/>
    </row>
    <row r="1363" spans="8:8" x14ac:dyDescent="0.2">
      <c r="H1363" s="3"/>
    </row>
    <row r="1364" spans="8:8" x14ac:dyDescent="0.2">
      <c r="H1364" s="3"/>
    </row>
    <row r="1365" spans="8:8" x14ac:dyDescent="0.2">
      <c r="H1365" s="3"/>
    </row>
    <row r="1366" spans="8:8" x14ac:dyDescent="0.2">
      <c r="H1366" s="3"/>
    </row>
    <row r="1367" spans="8:8" x14ac:dyDescent="0.2">
      <c r="H1367" s="3"/>
    </row>
    <row r="1368" spans="8:8" x14ac:dyDescent="0.2">
      <c r="H1368" s="3"/>
    </row>
    <row r="1369" spans="8:8" x14ac:dyDescent="0.2">
      <c r="H1369" s="3"/>
    </row>
    <row r="1370" spans="8:8" x14ac:dyDescent="0.2">
      <c r="H1370" s="3"/>
    </row>
    <row r="1371" spans="8:8" x14ac:dyDescent="0.2">
      <c r="H1371" s="3"/>
    </row>
    <row r="1372" spans="8:8" x14ac:dyDescent="0.2">
      <c r="H1372" s="3"/>
    </row>
    <row r="1373" spans="8:8" x14ac:dyDescent="0.2">
      <c r="H1373" s="3"/>
    </row>
    <row r="1374" spans="8:8" x14ac:dyDescent="0.2">
      <c r="H1374" s="3"/>
    </row>
    <row r="1375" spans="8:8" x14ac:dyDescent="0.2">
      <c r="H1375" s="3"/>
    </row>
    <row r="1376" spans="8:8" x14ac:dyDescent="0.2">
      <c r="H1376" s="3"/>
    </row>
    <row r="1377" spans="8:8" x14ac:dyDescent="0.2">
      <c r="H1377" s="3"/>
    </row>
    <row r="1378" spans="8:8" x14ac:dyDescent="0.2">
      <c r="H1378" s="3"/>
    </row>
    <row r="1379" spans="8:8" x14ac:dyDescent="0.2">
      <c r="H1379" s="3"/>
    </row>
    <row r="1380" spans="8:8" x14ac:dyDescent="0.2">
      <c r="H1380" s="3"/>
    </row>
    <row r="1381" spans="8:8" x14ac:dyDescent="0.2">
      <c r="H1381" s="3"/>
    </row>
    <row r="1382" spans="8:8" x14ac:dyDescent="0.2">
      <c r="H1382" s="3"/>
    </row>
    <row r="1383" spans="8:8" x14ac:dyDescent="0.2">
      <c r="H1383" s="3"/>
    </row>
    <row r="1384" spans="8:8" x14ac:dyDescent="0.2">
      <c r="H1384" s="3"/>
    </row>
    <row r="1385" spans="8:8" x14ac:dyDescent="0.2">
      <c r="H1385" s="3"/>
    </row>
    <row r="1386" spans="8:8" x14ac:dyDescent="0.2">
      <c r="H1386" s="3"/>
    </row>
    <row r="1387" spans="8:8" x14ac:dyDescent="0.2">
      <c r="H1387" s="3"/>
    </row>
    <row r="1388" spans="8:8" x14ac:dyDescent="0.2">
      <c r="H1388" s="3"/>
    </row>
    <row r="1389" spans="8:8" x14ac:dyDescent="0.2">
      <c r="H1389" s="3"/>
    </row>
    <row r="1390" spans="8:8" x14ac:dyDescent="0.2">
      <c r="H1390" s="3"/>
    </row>
    <row r="1391" spans="8:8" x14ac:dyDescent="0.2">
      <c r="H1391" s="3"/>
    </row>
    <row r="1392" spans="8:8" x14ac:dyDescent="0.2">
      <c r="H1392" s="3"/>
    </row>
    <row r="1393" spans="8:8" x14ac:dyDescent="0.2">
      <c r="H1393" s="3"/>
    </row>
    <row r="1394" spans="8:8" x14ac:dyDescent="0.2">
      <c r="H1394" s="3"/>
    </row>
    <row r="1395" spans="8:8" x14ac:dyDescent="0.2">
      <c r="H1395" s="3"/>
    </row>
    <row r="1396" spans="8:8" x14ac:dyDescent="0.2">
      <c r="H1396" s="3"/>
    </row>
    <row r="1397" spans="8:8" x14ac:dyDescent="0.2">
      <c r="H1397" s="3"/>
    </row>
    <row r="1398" spans="8:8" x14ac:dyDescent="0.2">
      <c r="H1398" s="3"/>
    </row>
    <row r="1399" spans="8:8" x14ac:dyDescent="0.2">
      <c r="H1399" s="3"/>
    </row>
    <row r="1400" spans="8:8" x14ac:dyDescent="0.2">
      <c r="H1400" s="3"/>
    </row>
    <row r="1401" spans="8:8" x14ac:dyDescent="0.2">
      <c r="H1401" s="3"/>
    </row>
    <row r="1402" spans="8:8" x14ac:dyDescent="0.2">
      <c r="H1402" s="3"/>
    </row>
    <row r="1403" spans="8:8" x14ac:dyDescent="0.2">
      <c r="H1403" s="3"/>
    </row>
    <row r="1404" spans="8:8" x14ac:dyDescent="0.2">
      <c r="H1404" s="3"/>
    </row>
    <row r="1405" spans="8:8" x14ac:dyDescent="0.2">
      <c r="H1405" s="3"/>
    </row>
    <row r="1406" spans="8:8" x14ac:dyDescent="0.2">
      <c r="H1406" s="3"/>
    </row>
    <row r="1407" spans="8:8" x14ac:dyDescent="0.2">
      <c r="H1407" s="3"/>
    </row>
    <row r="1408" spans="8:8" x14ac:dyDescent="0.2">
      <c r="H1408" s="3"/>
    </row>
    <row r="1409" spans="8:8" x14ac:dyDescent="0.2">
      <c r="H1409" s="3"/>
    </row>
    <row r="1410" spans="8:8" x14ac:dyDescent="0.2">
      <c r="H1410" s="3"/>
    </row>
    <row r="1411" spans="8:8" x14ac:dyDescent="0.2">
      <c r="H1411" s="3"/>
    </row>
    <row r="1412" spans="8:8" x14ac:dyDescent="0.2">
      <c r="H1412" s="3"/>
    </row>
    <row r="1413" spans="8:8" x14ac:dyDescent="0.2">
      <c r="H1413" s="3"/>
    </row>
    <row r="1414" spans="8:8" x14ac:dyDescent="0.2">
      <c r="H1414" s="3"/>
    </row>
    <row r="1415" spans="8:8" x14ac:dyDescent="0.2">
      <c r="H1415" s="3"/>
    </row>
    <row r="1416" spans="8:8" x14ac:dyDescent="0.2">
      <c r="H1416" s="3"/>
    </row>
    <row r="1417" spans="8:8" x14ac:dyDescent="0.2">
      <c r="H1417" s="3"/>
    </row>
    <row r="1418" spans="8:8" x14ac:dyDescent="0.2">
      <c r="H1418" s="3"/>
    </row>
    <row r="1419" spans="8:8" x14ac:dyDescent="0.2">
      <c r="H1419" s="3"/>
    </row>
    <row r="1420" spans="8:8" x14ac:dyDescent="0.2">
      <c r="H1420" s="3"/>
    </row>
    <row r="1421" spans="8:8" x14ac:dyDescent="0.2">
      <c r="H1421" s="3"/>
    </row>
    <row r="1422" spans="8:8" x14ac:dyDescent="0.2">
      <c r="H1422" s="3"/>
    </row>
    <row r="1423" spans="8:8" x14ac:dyDescent="0.2">
      <c r="H1423" s="3"/>
    </row>
    <row r="1424" spans="8:8" x14ac:dyDescent="0.2">
      <c r="H1424" s="3"/>
    </row>
    <row r="1425" spans="8:8" x14ac:dyDescent="0.2">
      <c r="H1425" s="3"/>
    </row>
    <row r="1426" spans="8:8" x14ac:dyDescent="0.2">
      <c r="H1426" s="3"/>
    </row>
    <row r="1427" spans="8:8" x14ac:dyDescent="0.2">
      <c r="H1427" s="3"/>
    </row>
    <row r="1428" spans="8:8" x14ac:dyDescent="0.2">
      <c r="H1428" s="3"/>
    </row>
    <row r="1429" spans="8:8" x14ac:dyDescent="0.2">
      <c r="H1429" s="3"/>
    </row>
    <row r="1430" spans="8:8" x14ac:dyDescent="0.2">
      <c r="H1430" s="3"/>
    </row>
    <row r="1431" spans="8:8" x14ac:dyDescent="0.2">
      <c r="H1431" s="3"/>
    </row>
    <row r="1432" spans="8:8" x14ac:dyDescent="0.2">
      <c r="H1432" s="3"/>
    </row>
    <row r="1433" spans="8:8" x14ac:dyDescent="0.2">
      <c r="H1433" s="3"/>
    </row>
    <row r="1434" spans="8:8" x14ac:dyDescent="0.2">
      <c r="H1434" s="3"/>
    </row>
    <row r="1435" spans="8:8" x14ac:dyDescent="0.2">
      <c r="H1435" s="3"/>
    </row>
    <row r="1436" spans="8:8" x14ac:dyDescent="0.2">
      <c r="H1436" s="3"/>
    </row>
    <row r="1437" spans="8:8" x14ac:dyDescent="0.2">
      <c r="H1437" s="3"/>
    </row>
    <row r="1438" spans="8:8" x14ac:dyDescent="0.2">
      <c r="H1438" s="3"/>
    </row>
    <row r="1439" spans="8:8" x14ac:dyDescent="0.2">
      <c r="H1439" s="3"/>
    </row>
    <row r="1440" spans="8:8" x14ac:dyDescent="0.2">
      <c r="H1440" s="3"/>
    </row>
    <row r="1441" spans="8:8" x14ac:dyDescent="0.2">
      <c r="H1441" s="3"/>
    </row>
    <row r="1442" spans="8:8" x14ac:dyDescent="0.2">
      <c r="H1442" s="3"/>
    </row>
    <row r="1443" spans="8:8" x14ac:dyDescent="0.2">
      <c r="H1443" s="3"/>
    </row>
    <row r="1444" spans="8:8" x14ac:dyDescent="0.2">
      <c r="H1444" s="3"/>
    </row>
    <row r="1445" spans="8:8" x14ac:dyDescent="0.2">
      <c r="H1445" s="3"/>
    </row>
    <row r="1446" spans="8:8" x14ac:dyDescent="0.2">
      <c r="H1446" s="3"/>
    </row>
    <row r="1447" spans="8:8" x14ac:dyDescent="0.2">
      <c r="H1447" s="3"/>
    </row>
    <row r="1448" spans="8:8" x14ac:dyDescent="0.2">
      <c r="H1448" s="3"/>
    </row>
    <row r="1449" spans="8:8" x14ac:dyDescent="0.2">
      <c r="H1449" s="3"/>
    </row>
    <row r="1450" spans="8:8" x14ac:dyDescent="0.2">
      <c r="H1450" s="3"/>
    </row>
    <row r="1451" spans="8:8" x14ac:dyDescent="0.2">
      <c r="H1451" s="3"/>
    </row>
    <row r="1452" spans="8:8" x14ac:dyDescent="0.2">
      <c r="H1452" s="3"/>
    </row>
    <row r="1453" spans="8:8" x14ac:dyDescent="0.2">
      <c r="H1453" s="3"/>
    </row>
    <row r="1454" spans="8:8" x14ac:dyDescent="0.2">
      <c r="H1454" s="3"/>
    </row>
    <row r="1455" spans="8:8" x14ac:dyDescent="0.2">
      <c r="H1455" s="3"/>
    </row>
    <row r="1456" spans="8:8" x14ac:dyDescent="0.2">
      <c r="H1456" s="3"/>
    </row>
    <row r="1457" spans="8:8" x14ac:dyDescent="0.2">
      <c r="H1457" s="3"/>
    </row>
    <row r="1458" spans="8:8" x14ac:dyDescent="0.2">
      <c r="H1458" s="3"/>
    </row>
    <row r="1459" spans="8:8" x14ac:dyDescent="0.2">
      <c r="H1459" s="3"/>
    </row>
    <row r="1460" spans="8:8" x14ac:dyDescent="0.2">
      <c r="H1460" s="3"/>
    </row>
    <row r="1461" spans="8:8" x14ac:dyDescent="0.2">
      <c r="H1461" s="3"/>
    </row>
    <row r="1462" spans="8:8" x14ac:dyDescent="0.2">
      <c r="H1462" s="3"/>
    </row>
    <row r="1463" spans="8:8" x14ac:dyDescent="0.2">
      <c r="H1463" s="3"/>
    </row>
    <row r="1464" spans="8:8" x14ac:dyDescent="0.2">
      <c r="H1464" s="3"/>
    </row>
    <row r="1465" spans="8:8" x14ac:dyDescent="0.2">
      <c r="H1465" s="3"/>
    </row>
    <row r="1466" spans="8:8" x14ac:dyDescent="0.2">
      <c r="H1466" s="3"/>
    </row>
    <row r="1467" spans="8:8" x14ac:dyDescent="0.2">
      <c r="H1467" s="3"/>
    </row>
    <row r="1468" spans="8:8" x14ac:dyDescent="0.2">
      <c r="H1468" s="3"/>
    </row>
    <row r="1469" spans="8:8" x14ac:dyDescent="0.2">
      <c r="H1469" s="3"/>
    </row>
    <row r="1470" spans="8:8" x14ac:dyDescent="0.2">
      <c r="H1470" s="3"/>
    </row>
    <row r="1471" spans="8:8" x14ac:dyDescent="0.2">
      <c r="H1471" s="3"/>
    </row>
    <row r="1472" spans="8:8" x14ac:dyDescent="0.2">
      <c r="H1472" s="3"/>
    </row>
    <row r="1473" spans="8:8" x14ac:dyDescent="0.2">
      <c r="H1473" s="3"/>
    </row>
    <row r="1474" spans="8:8" x14ac:dyDescent="0.2">
      <c r="H1474" s="3"/>
    </row>
    <row r="1475" spans="8:8" x14ac:dyDescent="0.2">
      <c r="H1475" s="3"/>
    </row>
    <row r="1476" spans="8:8" x14ac:dyDescent="0.2">
      <c r="H1476" s="3"/>
    </row>
    <row r="1477" spans="8:8" x14ac:dyDescent="0.2">
      <c r="H1477" s="3"/>
    </row>
    <row r="1478" spans="8:8" x14ac:dyDescent="0.2">
      <c r="H1478" s="3"/>
    </row>
    <row r="1479" spans="8:8" x14ac:dyDescent="0.2">
      <c r="H1479" s="3"/>
    </row>
    <row r="1480" spans="8:8" x14ac:dyDescent="0.2">
      <c r="H1480" s="3"/>
    </row>
    <row r="1481" spans="8:8" x14ac:dyDescent="0.2">
      <c r="H1481" s="3"/>
    </row>
    <row r="1482" spans="8:8" x14ac:dyDescent="0.2">
      <c r="H1482" s="3"/>
    </row>
    <row r="1483" spans="8:8" x14ac:dyDescent="0.2">
      <c r="H1483" s="3"/>
    </row>
    <row r="1484" spans="8:8" x14ac:dyDescent="0.2">
      <c r="H1484" s="3"/>
    </row>
    <row r="1485" spans="8:8" x14ac:dyDescent="0.2">
      <c r="H1485" s="3"/>
    </row>
  </sheetData>
  <mergeCells count="1">
    <mergeCell ref="E6:F6"/>
  </mergeCells>
  <conditionalFormatting sqref="H2:J16">
    <cfRule type="expression" dxfId="26" priority="148" stopIfTrue="1">
      <formula>$H2=$H$27</formula>
    </cfRule>
    <cfRule type="expression" dxfId="25" priority="149" stopIfTrue="1">
      <formula>$H2=$H$28</formula>
    </cfRule>
  </conditionalFormatting>
  <pageMargins left="0.7" right="0.7" top="0.75" bottom="0.75" header="0.3" footer="0.3"/>
  <pageSetup paperSize="9" orientation="portrait" r:id="rId1"/>
  <drawing r:id="rId2"/>
  <legacyDrawing r:id="rId3"/>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2:N321"/>
  <sheetViews>
    <sheetView workbookViewId="0">
      <selection activeCell="M14" sqref="M14"/>
    </sheetView>
  </sheetViews>
  <sheetFormatPr defaultRowHeight="12.75" x14ac:dyDescent="0.2"/>
  <cols>
    <col min="1" max="1" width="27.140625" bestFit="1" customWidth="1"/>
    <col min="2" max="2" width="17.85546875" style="7" customWidth="1"/>
    <col min="3" max="3" width="8.28515625" style="7" customWidth="1"/>
    <col min="4" max="4" width="9.28515625" style="8" customWidth="1"/>
    <col min="5" max="7" width="9" style="8" customWidth="1"/>
    <col min="8" max="8" width="17.42578125" bestFit="1" customWidth="1"/>
    <col min="9" max="9" width="1.42578125" customWidth="1"/>
    <col min="10" max="12" width="17.42578125" bestFit="1" customWidth="1"/>
    <col min="13" max="13" width="10.140625" bestFit="1" customWidth="1"/>
    <col min="14" max="14" width="11.140625" customWidth="1"/>
  </cols>
  <sheetData>
    <row r="2" spans="1:13" ht="15.75" x14ac:dyDescent="0.25">
      <c r="D2" s="94" t="s">
        <v>87</v>
      </c>
      <c r="E2"/>
      <c r="F2"/>
      <c r="G2"/>
    </row>
    <row r="3" spans="1:13" ht="51" x14ac:dyDescent="0.2">
      <c r="B3" s="9" t="s">
        <v>9</v>
      </c>
      <c r="C3" s="108" t="s">
        <v>117</v>
      </c>
      <c r="D3" s="8" t="s">
        <v>5</v>
      </c>
      <c r="E3" s="109" t="s">
        <v>118</v>
      </c>
      <c r="F3" s="8" t="s">
        <v>6</v>
      </c>
      <c r="G3" s="8" t="s">
        <v>116</v>
      </c>
      <c r="H3" s="110" t="s">
        <v>119</v>
      </c>
      <c r="I3" s="8"/>
      <c r="J3" s="8" t="s">
        <v>120</v>
      </c>
      <c r="K3" s="8" t="s">
        <v>121</v>
      </c>
    </row>
    <row r="4" spans="1:13" x14ac:dyDescent="0.2">
      <c r="B4" s="9">
        <f>IF('Contributions calculator'!$D$5&lt;H5,'Contributions calculator'!$D$5,"")</f>
        <v>0</v>
      </c>
      <c r="C4" s="9"/>
      <c r="D4" s="11">
        <v>65</v>
      </c>
      <c r="E4" s="5"/>
      <c r="F4" s="5"/>
      <c r="G4" s="5"/>
      <c r="H4" s="12"/>
    </row>
    <row r="5" spans="1:13" x14ac:dyDescent="0.2">
      <c r="A5" t="s">
        <v>10</v>
      </c>
      <c r="B5" s="9" t="str">
        <f>IF(AND('Contributions calculator'!$D$5&gt;=H5,'Contributions calculator'!$D$5&lt;=J5),'Contributions calculator'!$D$5,"")</f>
        <v/>
      </c>
      <c r="C5" s="13" t="str">
        <f t="shared" ref="C5:C14" si="0">IF(B5="","",IF(DAY(K5)&gt;=DAY(B5),0,-1)+(YEAR(K5)-YEAR(B5))*12+MONTH(K5)-MONTH(B5))</f>
        <v/>
      </c>
      <c r="D5" s="8" t="str">
        <f>IF(B5="","",ROUNDDOWN(C5/12,0))</f>
        <v/>
      </c>
      <c r="E5" s="8" t="str">
        <f>IF(OR(G5="",G5=0),F5,F5+1)</f>
        <v/>
      </c>
      <c r="F5" s="8" t="str">
        <f>IF(B5="","",C5-(65*12))</f>
        <v/>
      </c>
      <c r="G5" s="8" t="str">
        <f>IF(B5="","",K5-M5)</f>
        <v/>
      </c>
      <c r="H5" s="12">
        <v>19699</v>
      </c>
      <c r="J5" s="9">
        <v>19729</v>
      </c>
      <c r="K5" s="9">
        <v>43530</v>
      </c>
      <c r="L5" s="12"/>
      <c r="M5" s="10" t="str">
        <f t="shared" ref="M5:M13" si="1">IF(B5="","",DATE(YEAR(B5)+65,MONTH(B5)+F5,DAY(B5)))</f>
        <v/>
      </c>
    </row>
    <row r="6" spans="1:13" x14ac:dyDescent="0.2">
      <c r="B6" s="9" t="str">
        <f>IF(AND('Contributions calculator'!$D$5&gt;=H6,'Contributions calculator'!$D$5&lt;=J6),'Contributions calculator'!$D$5,"")</f>
        <v/>
      </c>
      <c r="C6" s="13" t="str">
        <f t="shared" si="0"/>
        <v/>
      </c>
      <c r="D6" s="8" t="str">
        <f t="shared" ref="D6:D13" si="2">IF(B6="","",ROUNDDOWN(C6/12,0))</f>
        <v/>
      </c>
      <c r="E6" s="8" t="str">
        <f t="shared" ref="E6:E40" si="3">IF(OR(G6="",G6=0),F6,F6+1)</f>
        <v/>
      </c>
      <c r="F6" s="8" t="str">
        <f t="shared" ref="F6:F14" si="4">IF(B6="","",C6-(65*12))</f>
        <v/>
      </c>
      <c r="G6" s="8" t="str">
        <f t="shared" ref="G6:G40" si="5">IF(B6="","",K6-M6)</f>
        <v/>
      </c>
      <c r="H6" s="12">
        <v>19730</v>
      </c>
      <c r="J6" s="9">
        <v>19760</v>
      </c>
      <c r="K6" s="9">
        <v>43591</v>
      </c>
      <c r="L6" s="12"/>
      <c r="M6" s="10" t="str">
        <f t="shared" si="1"/>
        <v/>
      </c>
    </row>
    <row r="7" spans="1:13" x14ac:dyDescent="0.2">
      <c r="B7" s="9" t="str">
        <f>IF(AND('Contributions calculator'!$D$5&gt;=H7,'Contributions calculator'!$D$5&lt;=J7),'Contributions calculator'!$D$5,"")</f>
        <v/>
      </c>
      <c r="C7" s="13" t="str">
        <f t="shared" si="0"/>
        <v/>
      </c>
      <c r="D7" s="8" t="str">
        <f t="shared" si="2"/>
        <v/>
      </c>
      <c r="E7" s="8" t="str">
        <f t="shared" si="3"/>
        <v/>
      </c>
      <c r="F7" s="8" t="str">
        <f t="shared" si="4"/>
        <v/>
      </c>
      <c r="G7" s="8" t="str">
        <f t="shared" si="5"/>
        <v/>
      </c>
      <c r="H7" s="12">
        <v>19761</v>
      </c>
      <c r="J7" s="9">
        <v>19788</v>
      </c>
      <c r="K7" s="9">
        <v>43652</v>
      </c>
      <c r="L7" s="12"/>
      <c r="M7" s="10" t="str">
        <f t="shared" si="1"/>
        <v/>
      </c>
    </row>
    <row r="8" spans="1:13" x14ac:dyDescent="0.2">
      <c r="B8" s="9" t="str">
        <f>IF(AND('Contributions calculator'!$D$5&gt;=H8,'Contributions calculator'!$D$5&lt;=J8),'Contributions calculator'!$D$5,"")</f>
        <v/>
      </c>
      <c r="C8" s="13" t="str">
        <f t="shared" si="0"/>
        <v/>
      </c>
      <c r="D8" s="8" t="str">
        <f t="shared" si="2"/>
        <v/>
      </c>
      <c r="E8" s="8" t="str">
        <f t="shared" si="3"/>
        <v/>
      </c>
      <c r="F8" s="8" t="str">
        <f t="shared" si="4"/>
        <v/>
      </c>
      <c r="G8" s="8" t="str">
        <f t="shared" si="5"/>
        <v/>
      </c>
      <c r="H8" s="12">
        <v>19789</v>
      </c>
      <c r="J8" s="9">
        <v>19819</v>
      </c>
      <c r="K8" s="9">
        <v>43714</v>
      </c>
      <c r="L8" s="12"/>
      <c r="M8" s="10" t="str">
        <f t="shared" si="1"/>
        <v/>
      </c>
    </row>
    <row r="9" spans="1:13" x14ac:dyDescent="0.2">
      <c r="B9" s="9" t="str">
        <f>IF(AND('Contributions calculator'!$D$5&gt;=H9,'Contributions calculator'!$D$5&lt;=J9),'Contributions calculator'!$D$5,"")</f>
        <v/>
      </c>
      <c r="C9" s="13" t="str">
        <f t="shared" si="0"/>
        <v/>
      </c>
      <c r="D9" s="8" t="str">
        <f t="shared" si="2"/>
        <v/>
      </c>
      <c r="E9" s="8" t="str">
        <f t="shared" si="3"/>
        <v/>
      </c>
      <c r="F9" s="8" t="str">
        <f t="shared" si="4"/>
        <v/>
      </c>
      <c r="G9" s="8" t="str">
        <f t="shared" si="5"/>
        <v/>
      </c>
      <c r="H9" s="12">
        <v>19820</v>
      </c>
      <c r="J9" s="9">
        <v>19849</v>
      </c>
      <c r="K9" s="9">
        <v>43775</v>
      </c>
      <c r="L9" s="12"/>
      <c r="M9" s="10" t="str">
        <f t="shared" si="1"/>
        <v/>
      </c>
    </row>
    <row r="10" spans="1:13" x14ac:dyDescent="0.2">
      <c r="B10" s="9" t="str">
        <f>IF(AND('Contributions calculator'!$D$5&gt;=H10,'Contributions calculator'!$D$5&lt;=J10),'Contributions calculator'!$D$5,"")</f>
        <v/>
      </c>
      <c r="C10" s="13" t="str">
        <f t="shared" si="0"/>
        <v/>
      </c>
      <c r="D10" s="8" t="str">
        <f t="shared" si="2"/>
        <v/>
      </c>
      <c r="E10" s="8" t="str">
        <f t="shared" si="3"/>
        <v/>
      </c>
      <c r="F10" s="8" t="str">
        <f t="shared" si="4"/>
        <v/>
      </c>
      <c r="G10" s="8" t="str">
        <f t="shared" si="5"/>
        <v/>
      </c>
      <c r="H10" s="12">
        <v>19850</v>
      </c>
      <c r="J10" s="9">
        <v>19880</v>
      </c>
      <c r="K10" s="9">
        <v>43836</v>
      </c>
      <c r="L10" s="12"/>
      <c r="M10" s="10" t="str">
        <f t="shared" si="1"/>
        <v/>
      </c>
    </row>
    <row r="11" spans="1:13" x14ac:dyDescent="0.2">
      <c r="B11" s="9" t="str">
        <f>IF(AND('Contributions calculator'!$D$5&gt;=H11,'Contributions calculator'!$D$5&lt;=J11),'Contributions calculator'!$D$5,"")</f>
        <v/>
      </c>
      <c r="C11" s="13" t="str">
        <f t="shared" si="0"/>
        <v/>
      </c>
      <c r="D11" s="8" t="str">
        <f t="shared" si="2"/>
        <v/>
      </c>
      <c r="E11" s="8" t="str">
        <f t="shared" si="3"/>
        <v/>
      </c>
      <c r="F11" s="8" t="str">
        <f t="shared" si="4"/>
        <v/>
      </c>
      <c r="G11" s="8" t="str">
        <f t="shared" si="5"/>
        <v/>
      </c>
      <c r="H11" s="12">
        <v>19881</v>
      </c>
      <c r="J11" s="9">
        <v>19910</v>
      </c>
      <c r="K11" s="9">
        <v>43896</v>
      </c>
      <c r="L11" s="12"/>
      <c r="M11" s="10" t="str">
        <f t="shared" si="1"/>
        <v/>
      </c>
    </row>
    <row r="12" spans="1:13" x14ac:dyDescent="0.2">
      <c r="B12" s="9" t="str">
        <f>IF(AND('Contributions calculator'!$D$5&gt;=H12,'Contributions calculator'!$D$5&lt;=J12),'Contributions calculator'!$D$5,"")</f>
        <v/>
      </c>
      <c r="C12" s="13" t="str">
        <f t="shared" si="0"/>
        <v/>
      </c>
      <c r="D12" s="8" t="str">
        <f t="shared" si="2"/>
        <v/>
      </c>
      <c r="E12" s="8" t="str">
        <f t="shared" si="3"/>
        <v/>
      </c>
      <c r="F12" s="8" t="str">
        <f t="shared" si="4"/>
        <v/>
      </c>
      <c r="G12" s="8" t="str">
        <f t="shared" si="5"/>
        <v/>
      </c>
      <c r="H12" s="12">
        <v>19911</v>
      </c>
      <c r="J12" s="9">
        <v>19941</v>
      </c>
      <c r="K12" s="9">
        <v>43957</v>
      </c>
      <c r="L12" s="12"/>
      <c r="M12" s="10" t="str">
        <f t="shared" si="1"/>
        <v/>
      </c>
    </row>
    <row r="13" spans="1:13" x14ac:dyDescent="0.2">
      <c r="B13" s="9" t="str">
        <f>IF(AND('Contributions calculator'!$D$5&gt;=H13,'Contributions calculator'!$D$5&lt;=J13),'Contributions calculator'!$D$5,"")</f>
        <v/>
      </c>
      <c r="C13" s="13" t="str">
        <f t="shared" si="0"/>
        <v/>
      </c>
      <c r="D13" s="8" t="str">
        <f t="shared" si="2"/>
        <v/>
      </c>
      <c r="E13" s="8" t="str">
        <f t="shared" si="3"/>
        <v/>
      </c>
      <c r="F13" s="8" t="str">
        <f t="shared" si="4"/>
        <v/>
      </c>
      <c r="G13" s="8" t="str">
        <f t="shared" si="5"/>
        <v/>
      </c>
      <c r="H13" s="12">
        <v>19942</v>
      </c>
      <c r="J13" s="9">
        <v>19972</v>
      </c>
      <c r="K13" s="9">
        <v>44018</v>
      </c>
      <c r="L13" s="12"/>
      <c r="M13" s="10" t="str">
        <f t="shared" si="1"/>
        <v/>
      </c>
    </row>
    <row r="14" spans="1:13" x14ac:dyDescent="0.2">
      <c r="B14" s="9" t="str">
        <f>IF(AND('Contributions calculator'!$D$5&gt;=H14,'Contributions calculator'!$D$5&lt;=J14),'Contributions calculator'!$D$5,"")</f>
        <v/>
      </c>
      <c r="C14" s="13" t="str">
        <f t="shared" si="0"/>
        <v/>
      </c>
      <c r="D14" s="8" t="str">
        <f>IF(B14="","",66)</f>
        <v/>
      </c>
      <c r="F14" s="8" t="str">
        <f t="shared" si="4"/>
        <v/>
      </c>
      <c r="G14" s="8" t="str">
        <f t="shared" si="5"/>
        <v/>
      </c>
      <c r="H14" s="12">
        <v>19973</v>
      </c>
      <c r="J14" s="9">
        <v>20002</v>
      </c>
      <c r="K14" s="9">
        <v>44080</v>
      </c>
      <c r="L14" s="12"/>
      <c r="M14" s="10" t="str">
        <f>IF(B14="","",DATE(YEAR(B14)+65,MONTH(B14)+F14,DAY(B14)))</f>
        <v/>
      </c>
    </row>
    <row r="15" spans="1:13" x14ac:dyDescent="0.2">
      <c r="B15" s="9" t="str">
        <f>IF(AND('Contributions calculator'!$D$5&gt;=H15,'Contributions calculator'!$D$5&lt;=J15),'Contributions calculator'!$D$5,"")</f>
        <v/>
      </c>
      <c r="C15" s="13" t="str">
        <f>IF(B15="","",IF(DAY(K15)&gt;=DAY(B15),0,-1)+(YEAR(K15)-YEAR(B15))*12+MONTH(K15)-MONTH(B15))</f>
        <v/>
      </c>
      <c r="D15" s="8" t="str">
        <f>IF(B15="","",66)</f>
        <v/>
      </c>
      <c r="H15" s="12">
        <v>20003</v>
      </c>
      <c r="J15" s="9">
        <v>22011</v>
      </c>
      <c r="K15" s="9" t="str">
        <f>IF(AND('Contributions calculator'!D$5&gt;=H15,'Contributions calculator'!D$5&lt;=J15),(DATE(YEAR(B15)+66,MONTH(B15),DAY(B15))),"")</f>
        <v/>
      </c>
      <c r="M15" s="10" t="str">
        <f>IF(B15="","",DATE(YEAR(B15)+D15,MONTH(B15)+F15,DAY(B15)))</f>
        <v/>
      </c>
    </row>
    <row r="16" spans="1:13" x14ac:dyDescent="0.2">
      <c r="B16" s="9"/>
      <c r="C16" s="12"/>
      <c r="D16" s="12"/>
      <c r="E16" s="8" t="str">
        <f t="shared" si="3"/>
        <v/>
      </c>
      <c r="F16" s="8" t="str">
        <f>IF(B16="","",C16-(D16*12))</f>
        <v/>
      </c>
      <c r="H16" s="12"/>
      <c r="M16" s="10"/>
    </row>
    <row r="17" spans="1:13" x14ac:dyDescent="0.2">
      <c r="A17" t="s">
        <v>11</v>
      </c>
      <c r="B17" s="9" t="str">
        <f>IF(AND('Contributions calculator'!$D$5&gt;=H17,'Contributions calculator'!$D$5&lt;=J17),'Contributions calculator'!$D$5,"")</f>
        <v/>
      </c>
      <c r="C17" s="9"/>
      <c r="D17" s="8" t="str">
        <f t="shared" ref="D17:D27" si="6">IF(B17="","",66)</f>
        <v/>
      </c>
      <c r="E17" s="8" t="str">
        <f t="shared" si="3"/>
        <v/>
      </c>
      <c r="F17" s="8" t="str">
        <f>IF(B17="","",1)</f>
        <v/>
      </c>
      <c r="H17" s="12">
        <v>22012</v>
      </c>
      <c r="J17" s="9">
        <v>22041</v>
      </c>
      <c r="K17" s="9"/>
      <c r="L17" s="14"/>
      <c r="M17" s="10"/>
    </row>
    <row r="18" spans="1:13" x14ac:dyDescent="0.2">
      <c r="B18" s="9" t="str">
        <f>IF(AND('Contributions calculator'!$D$5&gt;=H18,'Contributions calculator'!$D$5&lt;=J18),'Contributions calculator'!$D$5,"")</f>
        <v/>
      </c>
      <c r="C18" s="9"/>
      <c r="D18" s="8" t="str">
        <f t="shared" si="6"/>
        <v/>
      </c>
      <c r="E18" s="8" t="str">
        <f t="shared" si="3"/>
        <v/>
      </c>
      <c r="F18" s="8" t="str">
        <f>IF(B18="","",2)</f>
        <v/>
      </c>
      <c r="H18" s="12">
        <v>22042</v>
      </c>
      <c r="J18" s="9">
        <v>22072</v>
      </c>
      <c r="K18" s="9"/>
      <c r="M18" s="10"/>
    </row>
    <row r="19" spans="1:13" x14ac:dyDescent="0.2">
      <c r="B19" s="9" t="str">
        <f>IF(AND('Contributions calculator'!$D$5&gt;=H19,'Contributions calculator'!$D$5&lt;=J19),'Contributions calculator'!$D$5,"")</f>
        <v/>
      </c>
      <c r="C19" s="9"/>
      <c r="D19" s="8" t="str">
        <f t="shared" si="6"/>
        <v/>
      </c>
      <c r="E19" s="8" t="str">
        <f t="shared" si="3"/>
        <v/>
      </c>
      <c r="F19" s="8" t="str">
        <f>IF(B19="","",3)</f>
        <v/>
      </c>
      <c r="H19" s="12">
        <v>22073</v>
      </c>
      <c r="J19" s="9">
        <v>22102</v>
      </c>
      <c r="K19" s="9"/>
      <c r="M19" s="10"/>
    </row>
    <row r="20" spans="1:13" x14ac:dyDescent="0.2">
      <c r="B20" s="9" t="str">
        <f>IF(AND('Contributions calculator'!$D$5&gt;=H20,'Contributions calculator'!$D$5&lt;=J20),'Contributions calculator'!$D$5,"")</f>
        <v/>
      </c>
      <c r="C20" s="9"/>
      <c r="D20" s="8" t="str">
        <f t="shared" si="6"/>
        <v/>
      </c>
      <c r="E20" s="8" t="str">
        <f t="shared" si="3"/>
        <v/>
      </c>
      <c r="F20" s="8" t="str">
        <f>IF(B20="","",4)</f>
        <v/>
      </c>
      <c r="H20" s="12">
        <v>22103</v>
      </c>
      <c r="J20" s="9">
        <v>22133</v>
      </c>
      <c r="K20" s="9"/>
      <c r="M20" s="10"/>
    </row>
    <row r="21" spans="1:13" x14ac:dyDescent="0.2">
      <c r="B21" s="9" t="str">
        <f>IF(AND('Contributions calculator'!$D$5&gt;=H21,'Contributions calculator'!$D$5&lt;=J21),'Contributions calculator'!$D$5,"")</f>
        <v/>
      </c>
      <c r="C21" s="9"/>
      <c r="D21" s="8" t="str">
        <f t="shared" si="6"/>
        <v/>
      </c>
      <c r="E21" s="8" t="str">
        <f t="shared" si="3"/>
        <v/>
      </c>
      <c r="F21" s="8" t="str">
        <f>IF(B21="","",5)</f>
        <v/>
      </c>
      <c r="H21" s="12">
        <v>22134</v>
      </c>
      <c r="J21" s="9">
        <v>22164</v>
      </c>
      <c r="K21" s="9"/>
      <c r="M21" s="10"/>
    </row>
    <row r="22" spans="1:13" x14ac:dyDescent="0.2">
      <c r="B22" s="9" t="str">
        <f>IF(AND('Contributions calculator'!$D$5&gt;=H22,'Contributions calculator'!$D$5&lt;=J22),'Contributions calculator'!$D$5,"")</f>
        <v/>
      </c>
      <c r="C22" s="9"/>
      <c r="D22" s="8" t="str">
        <f t="shared" si="6"/>
        <v/>
      </c>
      <c r="E22" s="8" t="str">
        <f t="shared" si="3"/>
        <v/>
      </c>
      <c r="F22" s="8" t="str">
        <f>IF(B22="","",6)</f>
        <v/>
      </c>
      <c r="H22" s="12">
        <v>22165</v>
      </c>
      <c r="J22" s="9">
        <v>22194</v>
      </c>
      <c r="K22" s="9"/>
      <c r="M22" s="10"/>
    </row>
    <row r="23" spans="1:13" x14ac:dyDescent="0.2">
      <c r="B23" s="9" t="str">
        <f>IF(AND('Contributions calculator'!$D$5&gt;=H23,'Contributions calculator'!$D$5&lt;=J23),'Contributions calculator'!$D$5,"")</f>
        <v/>
      </c>
      <c r="C23" s="9"/>
      <c r="D23" s="8" t="str">
        <f t="shared" si="6"/>
        <v/>
      </c>
      <c r="E23" s="8" t="str">
        <f t="shared" si="3"/>
        <v/>
      </c>
      <c r="F23" s="8" t="str">
        <f>IF(B23="","",7)</f>
        <v/>
      </c>
      <c r="H23" s="12">
        <v>22195</v>
      </c>
      <c r="J23" s="9">
        <v>22225</v>
      </c>
      <c r="K23" s="9"/>
      <c r="M23" s="10"/>
    </row>
    <row r="24" spans="1:13" x14ac:dyDescent="0.2">
      <c r="B24" s="9" t="str">
        <f>IF(AND('Contributions calculator'!$D$5&gt;=H24,'Contributions calculator'!$D$5&lt;=J24),'Contributions calculator'!$D$5,"")</f>
        <v/>
      </c>
      <c r="C24" s="9"/>
      <c r="D24" s="8" t="str">
        <f t="shared" si="6"/>
        <v/>
      </c>
      <c r="E24" s="8" t="str">
        <f t="shared" si="3"/>
        <v/>
      </c>
      <c r="F24" s="8" t="str">
        <f>IF(B24="","",8)</f>
        <v/>
      </c>
      <c r="H24" s="12">
        <v>22226</v>
      </c>
      <c r="J24" s="9">
        <v>22255</v>
      </c>
      <c r="K24" s="9"/>
      <c r="M24" s="10"/>
    </row>
    <row r="25" spans="1:13" x14ac:dyDescent="0.2">
      <c r="B25" s="9" t="str">
        <f>IF(AND('Contributions calculator'!$D$5&gt;=H25,'Contributions calculator'!$D$5&lt;=J25),'Contributions calculator'!$D$5,"")</f>
        <v/>
      </c>
      <c r="C25" s="9"/>
      <c r="D25" s="8" t="str">
        <f t="shared" si="6"/>
        <v/>
      </c>
      <c r="E25" s="8" t="str">
        <f t="shared" si="3"/>
        <v/>
      </c>
      <c r="F25" s="8" t="str">
        <f>IF(B25="","",9)</f>
        <v/>
      </c>
      <c r="H25" s="12">
        <v>22256</v>
      </c>
      <c r="J25" s="9">
        <v>22286</v>
      </c>
      <c r="K25" s="9"/>
      <c r="M25" s="10"/>
    </row>
    <row r="26" spans="1:13" x14ac:dyDescent="0.2">
      <c r="B26" s="9" t="str">
        <f>IF(AND('Contributions calculator'!$D$5&gt;=H26,'Contributions calculator'!$D$5&lt;=J26),'Contributions calculator'!$D$5,"")</f>
        <v/>
      </c>
      <c r="C26" s="9"/>
      <c r="D26" s="8" t="str">
        <f t="shared" si="6"/>
        <v/>
      </c>
      <c r="E26" s="8" t="str">
        <f t="shared" si="3"/>
        <v/>
      </c>
      <c r="F26" s="8" t="str">
        <f>IF(B26="","",10)</f>
        <v/>
      </c>
      <c r="H26" s="12">
        <v>22287</v>
      </c>
      <c r="J26" s="9">
        <v>22317</v>
      </c>
      <c r="K26" s="9"/>
      <c r="M26" s="10"/>
    </row>
    <row r="27" spans="1:13" x14ac:dyDescent="0.2">
      <c r="B27" s="9" t="str">
        <f>IF(AND('Contributions calculator'!$D$5&gt;=H27,'Contributions calculator'!$D$5&lt;=J27),'Contributions calculator'!$D$5,"")</f>
        <v/>
      </c>
      <c r="C27" s="9"/>
      <c r="D27" s="8" t="str">
        <f t="shared" si="6"/>
        <v/>
      </c>
      <c r="E27" s="8" t="str">
        <f t="shared" si="3"/>
        <v/>
      </c>
      <c r="F27" s="8" t="str">
        <f>IF(B27="","",11)</f>
        <v/>
      </c>
      <c r="H27" s="12">
        <v>22318</v>
      </c>
      <c r="J27" s="9">
        <v>22345</v>
      </c>
      <c r="K27" s="9"/>
      <c r="M27" s="10"/>
    </row>
    <row r="28" spans="1:13" x14ac:dyDescent="0.2">
      <c r="B28" s="9" t="str">
        <f>IF(AND('Contributions calculator'!$D$5&gt;=H28,'Contributions calculator'!$D$5&lt;=J28),'Contributions calculator'!$D$5,"")</f>
        <v/>
      </c>
      <c r="C28" s="9"/>
      <c r="D28" s="8" t="str">
        <f>IF(B28="","",67)</f>
        <v/>
      </c>
      <c r="H28" s="12">
        <v>22346</v>
      </c>
      <c r="J28" s="9">
        <v>28220</v>
      </c>
      <c r="K28" s="9"/>
      <c r="M28" s="10"/>
    </row>
    <row r="29" spans="1:13" x14ac:dyDescent="0.2">
      <c r="B29" s="9"/>
      <c r="E29" s="8" t="str">
        <f t="shared" si="3"/>
        <v/>
      </c>
      <c r="F29" s="8" t="str">
        <f>IF(B29="","",C29-(D29*12))</f>
        <v/>
      </c>
      <c r="H29" s="12"/>
      <c r="M29" s="10"/>
    </row>
    <row r="30" spans="1:13" x14ac:dyDescent="0.2">
      <c r="A30" t="s">
        <v>12</v>
      </c>
      <c r="B30" s="9" t="str">
        <f>IF(AND('Contributions calculator'!$D$5&gt;=H30,'Contributions calculator'!$D$5&lt;=J30),'Contributions calculator'!$D$5,"")</f>
        <v/>
      </c>
      <c r="C30" s="13" t="str">
        <f t="shared" ref="C30:C41" si="7">IF(B30="","",IF(DAY(K30)&gt;=DAY(B30),0,-1)+(YEAR(K30)-YEAR(B30))*12+MONTH(K30)-MONTH(B30))</f>
        <v/>
      </c>
      <c r="D30" s="8" t="str">
        <f>IF(B30="","",ROUNDDOWN(C30/12,0))</f>
        <v/>
      </c>
      <c r="E30" s="8" t="str">
        <f t="shared" si="3"/>
        <v/>
      </c>
      <c r="F30" s="8" t="str">
        <f t="shared" ref="F30:F40" si="8">IF(B30="","",C30-(67*12))</f>
        <v/>
      </c>
      <c r="G30" s="8" t="str">
        <f t="shared" si="5"/>
        <v/>
      </c>
      <c r="H30" s="12">
        <v>28221</v>
      </c>
      <c r="J30" s="9">
        <v>28250</v>
      </c>
      <c r="K30" s="9">
        <v>52723</v>
      </c>
      <c r="M30" s="10" t="str">
        <f t="shared" ref="M30:M40" si="9">IF(B30="","",DATE(YEAR(B30)+67,MONTH(B30)+F30,DAY(B30)))</f>
        <v/>
      </c>
    </row>
    <row r="31" spans="1:13" x14ac:dyDescent="0.2">
      <c r="B31" s="9" t="str">
        <f>IF(AND('Contributions calculator'!$D$5&gt;=H31,'Contributions calculator'!$D$5&lt;=J31),'Contributions calculator'!$D$5,"")</f>
        <v/>
      </c>
      <c r="C31" s="13" t="str">
        <f t="shared" si="7"/>
        <v/>
      </c>
      <c r="D31" s="8" t="str">
        <f t="shared" ref="D31:D40" si="10">IF(B31="","",ROUNDDOWN(C31/12,0))</f>
        <v/>
      </c>
      <c r="E31" s="8" t="str">
        <f t="shared" si="3"/>
        <v/>
      </c>
      <c r="F31" s="8" t="str">
        <f t="shared" si="8"/>
        <v/>
      </c>
      <c r="G31" s="8" t="str">
        <f t="shared" si="5"/>
        <v/>
      </c>
      <c r="H31" s="12">
        <v>28251</v>
      </c>
      <c r="J31" s="9">
        <v>28281</v>
      </c>
      <c r="K31" s="9">
        <v>52784</v>
      </c>
      <c r="M31" s="10" t="str">
        <f t="shared" si="9"/>
        <v/>
      </c>
    </row>
    <row r="32" spans="1:13" x14ac:dyDescent="0.2">
      <c r="B32" s="9" t="str">
        <f>IF(AND('Contributions calculator'!$D$5&gt;=H32,'Contributions calculator'!$D$5&lt;=J32),'Contributions calculator'!$D$5,"")</f>
        <v/>
      </c>
      <c r="C32" s="13" t="str">
        <f t="shared" si="7"/>
        <v/>
      </c>
      <c r="D32" s="8" t="str">
        <f t="shared" si="10"/>
        <v/>
      </c>
      <c r="E32" s="8" t="str">
        <f t="shared" si="3"/>
        <v/>
      </c>
      <c r="F32" s="8" t="str">
        <f t="shared" si="8"/>
        <v/>
      </c>
      <c r="G32" s="8" t="str">
        <f t="shared" si="5"/>
        <v/>
      </c>
      <c r="H32" s="12">
        <v>28282</v>
      </c>
      <c r="J32" s="9">
        <v>28311</v>
      </c>
      <c r="K32" s="9">
        <v>52846</v>
      </c>
      <c r="M32" s="10" t="str">
        <f t="shared" si="9"/>
        <v/>
      </c>
    </row>
    <row r="33" spans="2:14" x14ac:dyDescent="0.2">
      <c r="B33" s="9" t="str">
        <f>IF(AND('Contributions calculator'!$D$5&gt;=H33,'Contributions calculator'!$D$5&lt;=J33),'Contributions calculator'!$D$5,"")</f>
        <v/>
      </c>
      <c r="C33" s="13" t="str">
        <f t="shared" si="7"/>
        <v/>
      </c>
      <c r="D33" s="8" t="str">
        <f t="shared" si="10"/>
        <v/>
      </c>
      <c r="E33" s="8" t="str">
        <f t="shared" si="3"/>
        <v/>
      </c>
      <c r="F33" s="8" t="str">
        <f t="shared" si="8"/>
        <v/>
      </c>
      <c r="G33" s="8" t="str">
        <f t="shared" si="5"/>
        <v/>
      </c>
      <c r="H33" s="12">
        <v>28312</v>
      </c>
      <c r="J33" s="9">
        <v>28342</v>
      </c>
      <c r="K33" s="9">
        <v>52907</v>
      </c>
      <c r="M33" s="10" t="str">
        <f t="shared" si="9"/>
        <v/>
      </c>
    </row>
    <row r="34" spans="2:14" x14ac:dyDescent="0.2">
      <c r="B34" s="9" t="str">
        <f>IF(AND('Contributions calculator'!$D$5&gt;=H34,'Contributions calculator'!$D$5&lt;=J34),'Contributions calculator'!$D$5,"")</f>
        <v/>
      </c>
      <c r="C34" s="13" t="str">
        <f t="shared" si="7"/>
        <v/>
      </c>
      <c r="D34" s="8" t="str">
        <f t="shared" si="10"/>
        <v/>
      </c>
      <c r="E34" s="8" t="str">
        <f t="shared" si="3"/>
        <v/>
      </c>
      <c r="F34" s="8" t="str">
        <f t="shared" si="8"/>
        <v/>
      </c>
      <c r="G34" s="8" t="str">
        <f t="shared" si="5"/>
        <v/>
      </c>
      <c r="H34" s="12">
        <v>28343</v>
      </c>
      <c r="J34" s="9">
        <v>28373</v>
      </c>
      <c r="K34" s="9">
        <v>52968</v>
      </c>
      <c r="M34" s="10" t="str">
        <f t="shared" si="9"/>
        <v/>
      </c>
    </row>
    <row r="35" spans="2:14" x14ac:dyDescent="0.2">
      <c r="B35" s="9" t="str">
        <f>IF(AND('Contributions calculator'!$D$5&gt;=H35,'Contributions calculator'!$D$5&lt;=J35),'Contributions calculator'!$D$5,"")</f>
        <v/>
      </c>
      <c r="C35" s="13" t="str">
        <f t="shared" si="7"/>
        <v/>
      </c>
      <c r="D35" s="8" t="str">
        <f t="shared" si="10"/>
        <v/>
      </c>
      <c r="E35" s="8" t="str">
        <f t="shared" si="3"/>
        <v/>
      </c>
      <c r="F35" s="8" t="str">
        <f t="shared" si="8"/>
        <v/>
      </c>
      <c r="G35" s="8" t="str">
        <f t="shared" si="5"/>
        <v/>
      </c>
      <c r="H35" s="12">
        <v>28374</v>
      </c>
      <c r="J35" s="9">
        <v>28403</v>
      </c>
      <c r="K35" s="9">
        <v>53027</v>
      </c>
      <c r="M35" s="10" t="str">
        <f t="shared" si="9"/>
        <v/>
      </c>
    </row>
    <row r="36" spans="2:14" x14ac:dyDescent="0.2">
      <c r="B36" s="9" t="str">
        <f>IF(AND('Contributions calculator'!$D$5&gt;=H36,'Contributions calculator'!$D$5&lt;=J36),'Contributions calculator'!$D$5,"")</f>
        <v/>
      </c>
      <c r="C36" s="13" t="str">
        <f t="shared" si="7"/>
        <v/>
      </c>
      <c r="D36" s="8" t="str">
        <f t="shared" si="10"/>
        <v/>
      </c>
      <c r="E36" s="8" t="str">
        <f t="shared" si="3"/>
        <v/>
      </c>
      <c r="F36" s="8" t="str">
        <f t="shared" si="8"/>
        <v/>
      </c>
      <c r="G36" s="8" t="str">
        <f t="shared" si="5"/>
        <v/>
      </c>
      <c r="H36" s="12">
        <v>28404</v>
      </c>
      <c r="J36" s="9">
        <v>28434</v>
      </c>
      <c r="K36" s="9">
        <v>53088</v>
      </c>
      <c r="M36" s="10" t="str">
        <f t="shared" si="9"/>
        <v/>
      </c>
    </row>
    <row r="37" spans="2:14" x14ac:dyDescent="0.2">
      <c r="B37" s="9" t="str">
        <f>IF(AND('Contributions calculator'!$D$5&gt;=H37,'Contributions calculator'!$D$5&lt;=J37),'Contributions calculator'!$D$5,"")</f>
        <v/>
      </c>
      <c r="C37" s="13" t="str">
        <f t="shared" si="7"/>
        <v/>
      </c>
      <c r="D37" s="8" t="str">
        <f t="shared" si="10"/>
        <v/>
      </c>
      <c r="E37" s="8" t="str">
        <f t="shared" si="3"/>
        <v/>
      </c>
      <c r="F37" s="8" t="str">
        <f t="shared" si="8"/>
        <v/>
      </c>
      <c r="G37" s="8" t="str">
        <f t="shared" si="5"/>
        <v/>
      </c>
      <c r="H37" s="12">
        <v>28435</v>
      </c>
      <c r="J37" s="9">
        <v>28464</v>
      </c>
      <c r="K37" s="9">
        <v>53149</v>
      </c>
      <c r="M37" s="10" t="str">
        <f t="shared" si="9"/>
        <v/>
      </c>
    </row>
    <row r="38" spans="2:14" x14ac:dyDescent="0.2">
      <c r="B38" s="9" t="str">
        <f>IF(AND('Contributions calculator'!$D$5&gt;=H38,'Contributions calculator'!$D$5&lt;=J38),'Contributions calculator'!$D$5,"")</f>
        <v/>
      </c>
      <c r="C38" s="13" t="str">
        <f t="shared" si="7"/>
        <v/>
      </c>
      <c r="D38" s="8" t="str">
        <f t="shared" si="10"/>
        <v/>
      </c>
      <c r="E38" s="8" t="str">
        <f t="shared" si="3"/>
        <v/>
      </c>
      <c r="F38" s="8" t="str">
        <f t="shared" si="8"/>
        <v/>
      </c>
      <c r="G38" s="8" t="str">
        <f t="shared" si="5"/>
        <v/>
      </c>
      <c r="H38" s="12">
        <v>28465</v>
      </c>
      <c r="J38" s="9">
        <v>28495</v>
      </c>
      <c r="K38" s="9">
        <v>53211</v>
      </c>
      <c r="M38" s="10" t="str">
        <f t="shared" si="9"/>
        <v/>
      </c>
    </row>
    <row r="39" spans="2:14" x14ac:dyDescent="0.2">
      <c r="B39" s="9" t="str">
        <f>IF(AND('Contributions calculator'!$D$5&gt;=H39,'Contributions calculator'!$D$5&lt;=J39),'Contributions calculator'!$D$5,"")</f>
        <v/>
      </c>
      <c r="C39" s="13" t="str">
        <f t="shared" si="7"/>
        <v/>
      </c>
      <c r="D39" s="8" t="str">
        <f t="shared" si="10"/>
        <v/>
      </c>
      <c r="E39" s="8" t="str">
        <f t="shared" si="3"/>
        <v/>
      </c>
      <c r="F39" s="8" t="str">
        <f t="shared" si="8"/>
        <v/>
      </c>
      <c r="G39" s="8" t="str">
        <f t="shared" si="5"/>
        <v/>
      </c>
      <c r="H39" s="12">
        <v>28496</v>
      </c>
      <c r="J39" s="9">
        <v>28526</v>
      </c>
      <c r="K39" s="9">
        <v>53272</v>
      </c>
      <c r="M39" s="10" t="str">
        <f t="shared" si="9"/>
        <v/>
      </c>
    </row>
    <row r="40" spans="2:14" x14ac:dyDescent="0.2">
      <c r="B40" s="9" t="str">
        <f>IF(AND('Contributions calculator'!$D$5&gt;=H40,'Contributions calculator'!$D$5&lt;=J40),'Contributions calculator'!$D$5,"")</f>
        <v/>
      </c>
      <c r="C40" s="13" t="str">
        <f t="shared" si="7"/>
        <v/>
      </c>
      <c r="D40" s="8" t="str">
        <f t="shared" si="10"/>
        <v/>
      </c>
      <c r="E40" s="8" t="str">
        <f t="shared" si="3"/>
        <v/>
      </c>
      <c r="F40" s="8" t="str">
        <f t="shared" si="8"/>
        <v/>
      </c>
      <c r="G40" s="8" t="str">
        <f t="shared" si="5"/>
        <v/>
      </c>
      <c r="H40" s="12">
        <v>28527</v>
      </c>
      <c r="J40" s="9">
        <v>28554</v>
      </c>
      <c r="K40" s="9">
        <v>53333</v>
      </c>
      <c r="M40" s="10" t="str">
        <f t="shared" si="9"/>
        <v/>
      </c>
    </row>
    <row r="41" spans="2:14" x14ac:dyDescent="0.2">
      <c r="B41" s="9" t="str">
        <f>IF(AND('Contributions calculator'!$D$5&gt;=H41,'Contributions calculator'!$D$5&lt;=J41),'Contributions calculator'!$D$5,"")</f>
        <v/>
      </c>
      <c r="C41" s="13" t="str">
        <f t="shared" si="7"/>
        <v/>
      </c>
      <c r="D41" s="8" t="str">
        <f>IF(B41="","",68)</f>
        <v/>
      </c>
      <c r="E41" s="8">
        <v>0</v>
      </c>
      <c r="F41" s="8" t="str">
        <f>IF(B41="","",C41-(67*12))</f>
        <v/>
      </c>
      <c r="G41" s="8" t="str">
        <f>IF(B41="","",K41-M41)</f>
        <v/>
      </c>
      <c r="H41" s="12">
        <v>28555</v>
      </c>
      <c r="J41" s="9">
        <v>28585</v>
      </c>
      <c r="K41" s="9">
        <v>53392</v>
      </c>
      <c r="M41" s="10" t="str">
        <f>IF(B41="","",DATE(YEAR(B41)+67,MONTH(B41)+F41,DAY(B41)))</f>
        <v/>
      </c>
      <c r="N41" s="10"/>
    </row>
    <row r="42" spans="2:14" x14ac:dyDescent="0.2">
      <c r="B42" s="9" t="str">
        <f ca="1">IF(AND('Contributions calculator'!$D$5&gt;=H42,'Contributions calculator'!$D$5&lt;=J42),'Contributions calculator'!$D$5,"")</f>
        <v/>
      </c>
      <c r="C42" s="13"/>
      <c r="D42" s="8" t="str">
        <f ca="1">IF(B42="","",68)</f>
        <v/>
      </c>
      <c r="H42" s="12">
        <v>28586</v>
      </c>
      <c r="J42" s="9">
        <f ca="1">TODAY()</f>
        <v>46294</v>
      </c>
      <c r="K42" s="9" t="str">
        <f ca="1">IF(AND('Contributions calculator'!D$5&gt;=H42,'Contributions calculator'!D$5&lt;=J42),(DATE(YEAR(B42)+68,MONTH(B42),DAY(B42))),"")</f>
        <v/>
      </c>
      <c r="M42" s="10" t="str">
        <f ca="1">IF(B42="","",DATE(YEAR(B42)+D42,MONTH(B42)+F42,DAY(B42)))</f>
        <v/>
      </c>
    </row>
    <row r="43" spans="2:14" x14ac:dyDescent="0.2">
      <c r="H43" s="12"/>
    </row>
    <row r="44" spans="2:14" x14ac:dyDescent="0.2">
      <c r="H44" s="12"/>
    </row>
    <row r="45" spans="2:14" x14ac:dyDescent="0.2">
      <c r="H45" s="12"/>
    </row>
    <row r="46" spans="2:14" x14ac:dyDescent="0.2">
      <c r="H46" s="12"/>
    </row>
    <row r="47" spans="2:14" x14ac:dyDescent="0.2">
      <c r="H47" s="12"/>
    </row>
    <row r="48" spans="2:14" x14ac:dyDescent="0.2">
      <c r="H48" s="12"/>
    </row>
    <row r="49" spans="8:8" customFormat="1" x14ac:dyDescent="0.2">
      <c r="H49" s="12"/>
    </row>
    <row r="50" spans="8:8" customFormat="1" x14ac:dyDescent="0.2">
      <c r="H50" s="12"/>
    </row>
    <row r="51" spans="8:8" customFormat="1" x14ac:dyDescent="0.2">
      <c r="H51" s="12"/>
    </row>
    <row r="52" spans="8:8" customFormat="1" x14ac:dyDescent="0.2">
      <c r="H52" s="12"/>
    </row>
    <row r="53" spans="8:8" customFormat="1" x14ac:dyDescent="0.2">
      <c r="H53" s="12"/>
    </row>
    <row r="54" spans="8:8" customFormat="1" x14ac:dyDescent="0.2">
      <c r="H54" s="12"/>
    </row>
    <row r="55" spans="8:8" customFormat="1" x14ac:dyDescent="0.2">
      <c r="H55" s="12"/>
    </row>
    <row r="56" spans="8:8" customFormat="1" x14ac:dyDescent="0.2">
      <c r="H56" s="12"/>
    </row>
    <row r="57" spans="8:8" customFormat="1" x14ac:dyDescent="0.2">
      <c r="H57" s="12"/>
    </row>
    <row r="58" spans="8:8" customFormat="1" x14ac:dyDescent="0.2">
      <c r="H58" s="12"/>
    </row>
    <row r="59" spans="8:8" customFormat="1" x14ac:dyDescent="0.2">
      <c r="H59" s="12"/>
    </row>
    <row r="60" spans="8:8" customFormat="1" x14ac:dyDescent="0.2">
      <c r="H60" s="12"/>
    </row>
    <row r="61" spans="8:8" customFormat="1" x14ac:dyDescent="0.2">
      <c r="H61" s="12"/>
    </row>
    <row r="62" spans="8:8" customFormat="1" x14ac:dyDescent="0.2">
      <c r="H62" s="12"/>
    </row>
    <row r="63" spans="8:8" customFormat="1" x14ac:dyDescent="0.2">
      <c r="H63" s="12"/>
    </row>
    <row r="64" spans="8:8" customFormat="1" x14ac:dyDescent="0.2">
      <c r="H64" s="12"/>
    </row>
    <row r="65" spans="8:8" customFormat="1" x14ac:dyDescent="0.2">
      <c r="H65" s="12"/>
    </row>
    <row r="66" spans="8:8" customFormat="1" x14ac:dyDescent="0.2">
      <c r="H66" s="12"/>
    </row>
    <row r="67" spans="8:8" customFormat="1" x14ac:dyDescent="0.2">
      <c r="H67" s="12"/>
    </row>
    <row r="68" spans="8:8" customFormat="1" x14ac:dyDescent="0.2">
      <c r="H68" s="12"/>
    </row>
    <row r="69" spans="8:8" customFormat="1" x14ac:dyDescent="0.2">
      <c r="H69" s="12"/>
    </row>
    <row r="70" spans="8:8" customFormat="1" x14ac:dyDescent="0.2">
      <c r="H70" s="12"/>
    </row>
    <row r="71" spans="8:8" customFormat="1" x14ac:dyDescent="0.2">
      <c r="H71" s="12"/>
    </row>
    <row r="72" spans="8:8" customFormat="1" x14ac:dyDescent="0.2">
      <c r="H72" s="12"/>
    </row>
    <row r="73" spans="8:8" customFormat="1" x14ac:dyDescent="0.2">
      <c r="H73" s="12"/>
    </row>
    <row r="74" spans="8:8" customFormat="1" x14ac:dyDescent="0.2">
      <c r="H74" s="12"/>
    </row>
    <row r="75" spans="8:8" customFormat="1" x14ac:dyDescent="0.2">
      <c r="H75" s="12"/>
    </row>
    <row r="76" spans="8:8" customFormat="1" x14ac:dyDescent="0.2">
      <c r="H76" s="12"/>
    </row>
    <row r="77" spans="8:8" customFormat="1" x14ac:dyDescent="0.2">
      <c r="H77" s="12"/>
    </row>
    <row r="78" spans="8:8" customFormat="1" x14ac:dyDescent="0.2">
      <c r="H78" s="12"/>
    </row>
    <row r="79" spans="8:8" customFormat="1" x14ac:dyDescent="0.2">
      <c r="H79" s="12"/>
    </row>
    <row r="80" spans="8:8" customFormat="1" x14ac:dyDescent="0.2">
      <c r="H80" s="12"/>
    </row>
    <row r="81" spans="8:8" customFormat="1" x14ac:dyDescent="0.2">
      <c r="H81" s="12"/>
    </row>
    <row r="82" spans="8:8" customFormat="1" x14ac:dyDescent="0.2">
      <c r="H82" s="12"/>
    </row>
    <row r="83" spans="8:8" customFormat="1" x14ac:dyDescent="0.2">
      <c r="H83" s="12"/>
    </row>
    <row r="84" spans="8:8" customFormat="1" x14ac:dyDescent="0.2">
      <c r="H84" s="12"/>
    </row>
    <row r="85" spans="8:8" customFormat="1" x14ac:dyDescent="0.2">
      <c r="H85" s="12"/>
    </row>
    <row r="86" spans="8:8" customFormat="1" x14ac:dyDescent="0.2">
      <c r="H86" s="12"/>
    </row>
    <row r="87" spans="8:8" customFormat="1" x14ac:dyDescent="0.2">
      <c r="H87" s="12"/>
    </row>
    <row r="88" spans="8:8" customFormat="1" x14ac:dyDescent="0.2">
      <c r="H88" s="12"/>
    </row>
    <row r="89" spans="8:8" customFormat="1" x14ac:dyDescent="0.2">
      <c r="H89" s="12"/>
    </row>
    <row r="90" spans="8:8" customFormat="1" x14ac:dyDescent="0.2">
      <c r="H90" s="12"/>
    </row>
    <row r="91" spans="8:8" customFormat="1" x14ac:dyDescent="0.2">
      <c r="H91" s="12"/>
    </row>
    <row r="92" spans="8:8" customFormat="1" x14ac:dyDescent="0.2">
      <c r="H92" s="12"/>
    </row>
    <row r="93" spans="8:8" customFormat="1" x14ac:dyDescent="0.2">
      <c r="H93" s="12"/>
    </row>
    <row r="94" spans="8:8" customFormat="1" x14ac:dyDescent="0.2">
      <c r="H94" s="12"/>
    </row>
    <row r="95" spans="8:8" customFormat="1" x14ac:dyDescent="0.2">
      <c r="H95" s="12"/>
    </row>
    <row r="96" spans="8:8" customFormat="1" x14ac:dyDescent="0.2">
      <c r="H96" s="12"/>
    </row>
    <row r="97" spans="8:8" customFormat="1" x14ac:dyDescent="0.2">
      <c r="H97" s="12"/>
    </row>
    <row r="98" spans="8:8" customFormat="1" x14ac:dyDescent="0.2">
      <c r="H98" s="12"/>
    </row>
    <row r="99" spans="8:8" customFormat="1" x14ac:dyDescent="0.2">
      <c r="H99" s="12"/>
    </row>
    <row r="100" spans="8:8" customFormat="1" x14ac:dyDescent="0.2">
      <c r="H100" s="12"/>
    </row>
    <row r="101" spans="8:8" customFormat="1" x14ac:dyDescent="0.2">
      <c r="H101" s="12"/>
    </row>
    <row r="102" spans="8:8" customFormat="1" x14ac:dyDescent="0.2">
      <c r="H102" s="12"/>
    </row>
    <row r="103" spans="8:8" customFormat="1" x14ac:dyDescent="0.2">
      <c r="H103" s="12"/>
    </row>
    <row r="104" spans="8:8" customFormat="1" x14ac:dyDescent="0.2">
      <c r="H104" s="12"/>
    </row>
    <row r="105" spans="8:8" customFormat="1" x14ac:dyDescent="0.2">
      <c r="H105" s="12"/>
    </row>
    <row r="106" spans="8:8" customFormat="1" x14ac:dyDescent="0.2">
      <c r="H106" s="12"/>
    </row>
    <row r="107" spans="8:8" customFormat="1" x14ac:dyDescent="0.2">
      <c r="H107" s="12"/>
    </row>
    <row r="108" spans="8:8" customFormat="1" x14ac:dyDescent="0.2">
      <c r="H108" s="12"/>
    </row>
    <row r="109" spans="8:8" customFormat="1" x14ac:dyDescent="0.2">
      <c r="H109" s="12"/>
    </row>
    <row r="110" spans="8:8" customFormat="1" x14ac:dyDescent="0.2">
      <c r="H110" s="12"/>
    </row>
    <row r="111" spans="8:8" customFormat="1" x14ac:dyDescent="0.2">
      <c r="H111" s="12"/>
    </row>
    <row r="112" spans="8:8" customFormat="1" x14ac:dyDescent="0.2">
      <c r="H112" s="12"/>
    </row>
    <row r="113" spans="8:8" customFormat="1" x14ac:dyDescent="0.2">
      <c r="H113" s="12"/>
    </row>
    <row r="114" spans="8:8" customFormat="1" x14ac:dyDescent="0.2">
      <c r="H114" s="12"/>
    </row>
    <row r="115" spans="8:8" customFormat="1" x14ac:dyDescent="0.2">
      <c r="H115" s="12"/>
    </row>
    <row r="116" spans="8:8" customFormat="1" x14ac:dyDescent="0.2">
      <c r="H116" s="12"/>
    </row>
    <row r="117" spans="8:8" customFormat="1" x14ac:dyDescent="0.2">
      <c r="H117" s="12"/>
    </row>
    <row r="118" spans="8:8" customFormat="1" x14ac:dyDescent="0.2">
      <c r="H118" s="12"/>
    </row>
    <row r="119" spans="8:8" customFormat="1" x14ac:dyDescent="0.2">
      <c r="H119" s="12"/>
    </row>
    <row r="120" spans="8:8" customFormat="1" x14ac:dyDescent="0.2">
      <c r="H120" s="12"/>
    </row>
    <row r="121" spans="8:8" customFormat="1" x14ac:dyDescent="0.2">
      <c r="H121" s="12"/>
    </row>
    <row r="122" spans="8:8" customFormat="1" x14ac:dyDescent="0.2">
      <c r="H122" s="12"/>
    </row>
    <row r="123" spans="8:8" customFormat="1" x14ac:dyDescent="0.2">
      <c r="H123" s="12"/>
    </row>
    <row r="124" spans="8:8" customFormat="1" x14ac:dyDescent="0.2">
      <c r="H124" s="12"/>
    </row>
    <row r="125" spans="8:8" customFormat="1" x14ac:dyDescent="0.2">
      <c r="H125" s="12"/>
    </row>
    <row r="126" spans="8:8" customFormat="1" x14ac:dyDescent="0.2">
      <c r="H126" s="12"/>
    </row>
    <row r="127" spans="8:8" customFormat="1" x14ac:dyDescent="0.2">
      <c r="H127" s="12"/>
    </row>
    <row r="128" spans="8:8" customFormat="1" x14ac:dyDescent="0.2">
      <c r="H128" s="12"/>
    </row>
    <row r="129" spans="8:8" customFormat="1" x14ac:dyDescent="0.2">
      <c r="H129" s="12"/>
    </row>
    <row r="130" spans="8:8" customFormat="1" x14ac:dyDescent="0.2">
      <c r="H130" s="12"/>
    </row>
    <row r="131" spans="8:8" customFormat="1" x14ac:dyDescent="0.2">
      <c r="H131" s="12"/>
    </row>
    <row r="132" spans="8:8" customFormat="1" x14ac:dyDescent="0.2">
      <c r="H132" s="12"/>
    </row>
    <row r="133" spans="8:8" customFormat="1" x14ac:dyDescent="0.2">
      <c r="H133" s="12"/>
    </row>
    <row r="134" spans="8:8" customFormat="1" x14ac:dyDescent="0.2">
      <c r="H134" s="12"/>
    </row>
    <row r="135" spans="8:8" customFormat="1" x14ac:dyDescent="0.2">
      <c r="H135" s="12"/>
    </row>
    <row r="136" spans="8:8" customFormat="1" x14ac:dyDescent="0.2">
      <c r="H136" s="12"/>
    </row>
    <row r="137" spans="8:8" customFormat="1" x14ac:dyDescent="0.2">
      <c r="H137" s="12"/>
    </row>
    <row r="138" spans="8:8" customFormat="1" x14ac:dyDescent="0.2">
      <c r="H138" s="12"/>
    </row>
    <row r="139" spans="8:8" customFormat="1" x14ac:dyDescent="0.2">
      <c r="H139" s="12"/>
    </row>
    <row r="140" spans="8:8" customFormat="1" x14ac:dyDescent="0.2">
      <c r="H140" s="12"/>
    </row>
    <row r="141" spans="8:8" customFormat="1" x14ac:dyDescent="0.2">
      <c r="H141" s="12"/>
    </row>
    <row r="142" spans="8:8" customFormat="1" x14ac:dyDescent="0.2">
      <c r="H142" s="12"/>
    </row>
    <row r="143" spans="8:8" customFormat="1" x14ac:dyDescent="0.2">
      <c r="H143" s="12"/>
    </row>
    <row r="144" spans="8:8" customFormat="1" x14ac:dyDescent="0.2">
      <c r="H144" s="12"/>
    </row>
    <row r="145" spans="8:8" customFormat="1" x14ac:dyDescent="0.2">
      <c r="H145" s="12"/>
    </row>
    <row r="146" spans="8:8" customFormat="1" x14ac:dyDescent="0.2">
      <c r="H146" s="12"/>
    </row>
    <row r="147" spans="8:8" customFormat="1" x14ac:dyDescent="0.2">
      <c r="H147" s="12"/>
    </row>
    <row r="148" spans="8:8" customFormat="1" x14ac:dyDescent="0.2">
      <c r="H148" s="12"/>
    </row>
    <row r="149" spans="8:8" customFormat="1" x14ac:dyDescent="0.2">
      <c r="H149" s="12"/>
    </row>
    <row r="150" spans="8:8" customFormat="1" x14ac:dyDescent="0.2">
      <c r="H150" s="12"/>
    </row>
    <row r="151" spans="8:8" customFormat="1" x14ac:dyDescent="0.2">
      <c r="H151" s="12"/>
    </row>
    <row r="152" spans="8:8" customFormat="1" x14ac:dyDescent="0.2">
      <c r="H152" s="12"/>
    </row>
    <row r="153" spans="8:8" customFormat="1" x14ac:dyDescent="0.2">
      <c r="H153" s="12"/>
    </row>
    <row r="154" spans="8:8" customFormat="1" x14ac:dyDescent="0.2">
      <c r="H154" s="12"/>
    </row>
    <row r="155" spans="8:8" customFormat="1" x14ac:dyDescent="0.2">
      <c r="H155" s="12"/>
    </row>
    <row r="156" spans="8:8" customFormat="1" x14ac:dyDescent="0.2">
      <c r="H156" s="12"/>
    </row>
    <row r="157" spans="8:8" customFormat="1" x14ac:dyDescent="0.2">
      <c r="H157" s="12"/>
    </row>
    <row r="158" spans="8:8" customFormat="1" x14ac:dyDescent="0.2">
      <c r="H158" s="12"/>
    </row>
    <row r="159" spans="8:8" customFormat="1" x14ac:dyDescent="0.2">
      <c r="H159" s="12"/>
    </row>
    <row r="160" spans="8:8" customFormat="1" x14ac:dyDescent="0.2">
      <c r="H160" s="12"/>
    </row>
    <row r="161" spans="8:8" customFormat="1" x14ac:dyDescent="0.2">
      <c r="H161" s="12"/>
    </row>
    <row r="162" spans="8:8" customFormat="1" x14ac:dyDescent="0.2">
      <c r="H162" s="12"/>
    </row>
    <row r="163" spans="8:8" customFormat="1" x14ac:dyDescent="0.2">
      <c r="H163" s="12"/>
    </row>
    <row r="164" spans="8:8" customFormat="1" x14ac:dyDescent="0.2">
      <c r="H164" s="12"/>
    </row>
    <row r="165" spans="8:8" customFormat="1" x14ac:dyDescent="0.2">
      <c r="H165" s="12"/>
    </row>
    <row r="166" spans="8:8" customFormat="1" x14ac:dyDescent="0.2">
      <c r="H166" s="12"/>
    </row>
    <row r="167" spans="8:8" customFormat="1" x14ac:dyDescent="0.2">
      <c r="H167" s="12"/>
    </row>
    <row r="168" spans="8:8" customFormat="1" x14ac:dyDescent="0.2">
      <c r="H168" s="12"/>
    </row>
    <row r="169" spans="8:8" customFormat="1" x14ac:dyDescent="0.2">
      <c r="H169" s="12"/>
    </row>
    <row r="170" spans="8:8" customFormat="1" x14ac:dyDescent="0.2">
      <c r="H170" s="12"/>
    </row>
    <row r="171" spans="8:8" customFormat="1" x14ac:dyDescent="0.2">
      <c r="H171" s="12"/>
    </row>
    <row r="172" spans="8:8" customFormat="1" x14ac:dyDescent="0.2">
      <c r="H172" s="12"/>
    </row>
    <row r="173" spans="8:8" customFormat="1" x14ac:dyDescent="0.2">
      <c r="H173" s="12"/>
    </row>
    <row r="174" spans="8:8" customFormat="1" x14ac:dyDescent="0.2">
      <c r="H174" s="12"/>
    </row>
    <row r="175" spans="8:8" customFormat="1" x14ac:dyDescent="0.2">
      <c r="H175" s="12"/>
    </row>
    <row r="176" spans="8:8" customFormat="1" x14ac:dyDescent="0.2">
      <c r="H176" s="12"/>
    </row>
    <row r="177" spans="8:8" customFormat="1" x14ac:dyDescent="0.2">
      <c r="H177" s="12"/>
    </row>
    <row r="178" spans="8:8" customFormat="1" x14ac:dyDescent="0.2">
      <c r="H178" s="12"/>
    </row>
    <row r="179" spans="8:8" customFormat="1" x14ac:dyDescent="0.2">
      <c r="H179" s="12"/>
    </row>
    <row r="180" spans="8:8" customFormat="1" x14ac:dyDescent="0.2">
      <c r="H180" s="12"/>
    </row>
    <row r="181" spans="8:8" customFormat="1" x14ac:dyDescent="0.2">
      <c r="H181" s="12"/>
    </row>
    <row r="182" spans="8:8" customFormat="1" x14ac:dyDescent="0.2">
      <c r="H182" s="12"/>
    </row>
    <row r="183" spans="8:8" customFormat="1" x14ac:dyDescent="0.2">
      <c r="H183" s="12"/>
    </row>
    <row r="184" spans="8:8" customFormat="1" x14ac:dyDescent="0.2">
      <c r="H184" s="12"/>
    </row>
    <row r="185" spans="8:8" customFormat="1" x14ac:dyDescent="0.2">
      <c r="H185" s="12"/>
    </row>
    <row r="186" spans="8:8" customFormat="1" x14ac:dyDescent="0.2">
      <c r="H186" s="12"/>
    </row>
    <row r="187" spans="8:8" customFormat="1" x14ac:dyDescent="0.2">
      <c r="H187" s="12"/>
    </row>
    <row r="188" spans="8:8" customFormat="1" x14ac:dyDescent="0.2">
      <c r="H188" s="12"/>
    </row>
    <row r="189" spans="8:8" customFormat="1" x14ac:dyDescent="0.2">
      <c r="H189" s="12"/>
    </row>
    <row r="190" spans="8:8" customFormat="1" x14ac:dyDescent="0.2">
      <c r="H190" s="12"/>
    </row>
    <row r="191" spans="8:8" customFormat="1" x14ac:dyDescent="0.2">
      <c r="H191" s="12"/>
    </row>
    <row r="192" spans="8:8" customFormat="1" x14ac:dyDescent="0.2">
      <c r="H192" s="12"/>
    </row>
    <row r="193" spans="8:8" customFormat="1" x14ac:dyDescent="0.2">
      <c r="H193" s="12"/>
    </row>
    <row r="194" spans="8:8" customFormat="1" x14ac:dyDescent="0.2">
      <c r="H194" s="12"/>
    </row>
    <row r="195" spans="8:8" customFormat="1" x14ac:dyDescent="0.2">
      <c r="H195" s="12"/>
    </row>
    <row r="196" spans="8:8" customFormat="1" x14ac:dyDescent="0.2">
      <c r="H196" s="12"/>
    </row>
    <row r="197" spans="8:8" customFormat="1" x14ac:dyDescent="0.2">
      <c r="H197" s="12"/>
    </row>
    <row r="198" spans="8:8" customFormat="1" x14ac:dyDescent="0.2">
      <c r="H198" s="12"/>
    </row>
    <row r="199" spans="8:8" customFormat="1" x14ac:dyDescent="0.2">
      <c r="H199" s="12"/>
    </row>
    <row r="200" spans="8:8" customFormat="1" x14ac:dyDescent="0.2">
      <c r="H200" s="12"/>
    </row>
    <row r="201" spans="8:8" customFormat="1" x14ac:dyDescent="0.2">
      <c r="H201" s="12"/>
    </row>
    <row r="202" spans="8:8" customFormat="1" x14ac:dyDescent="0.2">
      <c r="H202" s="12"/>
    </row>
    <row r="203" spans="8:8" customFormat="1" x14ac:dyDescent="0.2">
      <c r="H203" s="12"/>
    </row>
    <row r="204" spans="8:8" customFormat="1" x14ac:dyDescent="0.2">
      <c r="H204" s="12"/>
    </row>
    <row r="205" spans="8:8" customFormat="1" x14ac:dyDescent="0.2">
      <c r="H205" s="12"/>
    </row>
    <row r="206" spans="8:8" customFormat="1" x14ac:dyDescent="0.2">
      <c r="H206" s="12"/>
    </row>
    <row r="207" spans="8:8" customFormat="1" x14ac:dyDescent="0.2">
      <c r="H207" s="12"/>
    </row>
    <row r="208" spans="8:8" customFormat="1" x14ac:dyDescent="0.2">
      <c r="H208" s="12"/>
    </row>
    <row r="209" spans="8:8" customFormat="1" x14ac:dyDescent="0.2">
      <c r="H209" s="12"/>
    </row>
    <row r="210" spans="8:8" customFormat="1" x14ac:dyDescent="0.2">
      <c r="H210" s="12"/>
    </row>
    <row r="211" spans="8:8" customFormat="1" x14ac:dyDescent="0.2">
      <c r="H211" s="12"/>
    </row>
    <row r="212" spans="8:8" customFormat="1" x14ac:dyDescent="0.2">
      <c r="H212" s="12"/>
    </row>
    <row r="213" spans="8:8" customFormat="1" x14ac:dyDescent="0.2">
      <c r="H213" s="12"/>
    </row>
    <row r="214" spans="8:8" customFormat="1" x14ac:dyDescent="0.2">
      <c r="H214" s="12"/>
    </row>
    <row r="215" spans="8:8" customFormat="1" x14ac:dyDescent="0.2">
      <c r="H215" s="12"/>
    </row>
    <row r="216" spans="8:8" customFormat="1" x14ac:dyDescent="0.2">
      <c r="H216" s="12"/>
    </row>
    <row r="217" spans="8:8" customFormat="1" x14ac:dyDescent="0.2">
      <c r="H217" s="12"/>
    </row>
    <row r="218" spans="8:8" customFormat="1" x14ac:dyDescent="0.2">
      <c r="H218" s="12"/>
    </row>
    <row r="219" spans="8:8" customFormat="1" x14ac:dyDescent="0.2">
      <c r="H219" s="12"/>
    </row>
    <row r="220" spans="8:8" customFormat="1" x14ac:dyDescent="0.2">
      <c r="H220" s="12"/>
    </row>
    <row r="221" spans="8:8" customFormat="1" x14ac:dyDescent="0.2">
      <c r="H221" s="12"/>
    </row>
    <row r="222" spans="8:8" customFormat="1" x14ac:dyDescent="0.2">
      <c r="H222" s="12"/>
    </row>
    <row r="223" spans="8:8" customFormat="1" x14ac:dyDescent="0.2">
      <c r="H223" s="12"/>
    </row>
    <row r="224" spans="8:8" customFormat="1" x14ac:dyDescent="0.2">
      <c r="H224" s="12"/>
    </row>
    <row r="225" spans="8:8" customFormat="1" x14ac:dyDescent="0.2">
      <c r="H225" s="12"/>
    </row>
    <row r="226" spans="8:8" customFormat="1" x14ac:dyDescent="0.2">
      <c r="H226" s="12"/>
    </row>
    <row r="227" spans="8:8" customFormat="1" x14ac:dyDescent="0.2">
      <c r="H227" s="12"/>
    </row>
    <row r="228" spans="8:8" customFormat="1" x14ac:dyDescent="0.2">
      <c r="H228" s="12"/>
    </row>
    <row r="229" spans="8:8" customFormat="1" x14ac:dyDescent="0.2">
      <c r="H229" s="12"/>
    </row>
    <row r="230" spans="8:8" customFormat="1" x14ac:dyDescent="0.2">
      <c r="H230" s="12"/>
    </row>
    <row r="231" spans="8:8" customFormat="1" x14ac:dyDescent="0.2">
      <c r="H231" s="12"/>
    </row>
    <row r="232" spans="8:8" customFormat="1" x14ac:dyDescent="0.2">
      <c r="H232" s="12"/>
    </row>
    <row r="233" spans="8:8" customFormat="1" x14ac:dyDescent="0.2">
      <c r="H233" s="12"/>
    </row>
    <row r="234" spans="8:8" customFormat="1" x14ac:dyDescent="0.2">
      <c r="H234" s="12"/>
    </row>
    <row r="235" spans="8:8" customFormat="1" x14ac:dyDescent="0.2">
      <c r="H235" s="12"/>
    </row>
    <row r="236" spans="8:8" customFormat="1" x14ac:dyDescent="0.2">
      <c r="H236" s="12"/>
    </row>
    <row r="237" spans="8:8" customFormat="1" x14ac:dyDescent="0.2">
      <c r="H237" s="12"/>
    </row>
    <row r="238" spans="8:8" customFormat="1" x14ac:dyDescent="0.2">
      <c r="H238" s="12"/>
    </row>
    <row r="239" spans="8:8" customFormat="1" x14ac:dyDescent="0.2">
      <c r="H239" s="12"/>
    </row>
    <row r="240" spans="8:8" customFormat="1" x14ac:dyDescent="0.2">
      <c r="H240" s="12"/>
    </row>
    <row r="241" spans="8:8" customFormat="1" x14ac:dyDescent="0.2">
      <c r="H241" s="12"/>
    </row>
    <row r="242" spans="8:8" customFormat="1" x14ac:dyDescent="0.2">
      <c r="H242" s="12"/>
    </row>
    <row r="243" spans="8:8" customFormat="1" x14ac:dyDescent="0.2">
      <c r="H243" s="12"/>
    </row>
    <row r="244" spans="8:8" customFormat="1" x14ac:dyDescent="0.2">
      <c r="H244" s="12"/>
    </row>
    <row r="245" spans="8:8" customFormat="1" x14ac:dyDescent="0.2">
      <c r="H245" s="12"/>
    </row>
    <row r="246" spans="8:8" customFormat="1" x14ac:dyDescent="0.2">
      <c r="H246" s="12"/>
    </row>
    <row r="247" spans="8:8" customFormat="1" x14ac:dyDescent="0.2">
      <c r="H247" s="12"/>
    </row>
    <row r="248" spans="8:8" customFormat="1" x14ac:dyDescent="0.2">
      <c r="H248" s="12"/>
    </row>
    <row r="249" spans="8:8" customFormat="1" x14ac:dyDescent="0.2">
      <c r="H249" s="12"/>
    </row>
    <row r="250" spans="8:8" customFormat="1" x14ac:dyDescent="0.2">
      <c r="H250" s="12"/>
    </row>
    <row r="251" spans="8:8" customFormat="1" x14ac:dyDescent="0.2">
      <c r="H251" s="12"/>
    </row>
    <row r="252" spans="8:8" customFormat="1" x14ac:dyDescent="0.2">
      <c r="H252" s="12"/>
    </row>
    <row r="253" spans="8:8" customFormat="1" x14ac:dyDescent="0.2">
      <c r="H253" s="12"/>
    </row>
    <row r="254" spans="8:8" customFormat="1" x14ac:dyDescent="0.2">
      <c r="H254" s="12"/>
    </row>
    <row r="255" spans="8:8" customFormat="1" x14ac:dyDescent="0.2">
      <c r="H255" s="12"/>
    </row>
    <row r="256" spans="8:8" customFormat="1" x14ac:dyDescent="0.2">
      <c r="H256" s="12"/>
    </row>
    <row r="257" spans="8:8" customFormat="1" x14ac:dyDescent="0.2">
      <c r="H257" s="12"/>
    </row>
    <row r="258" spans="8:8" customFormat="1" x14ac:dyDescent="0.2">
      <c r="H258" s="12"/>
    </row>
    <row r="259" spans="8:8" customFormat="1" x14ac:dyDescent="0.2">
      <c r="H259" s="12"/>
    </row>
    <row r="260" spans="8:8" customFormat="1" x14ac:dyDescent="0.2">
      <c r="H260" s="12"/>
    </row>
    <row r="261" spans="8:8" customFormat="1" x14ac:dyDescent="0.2">
      <c r="H261" s="12"/>
    </row>
    <row r="262" spans="8:8" customFormat="1" x14ac:dyDescent="0.2">
      <c r="H262" s="12"/>
    </row>
    <row r="263" spans="8:8" customFormat="1" x14ac:dyDescent="0.2">
      <c r="H263" s="12"/>
    </row>
    <row r="264" spans="8:8" customFormat="1" x14ac:dyDescent="0.2">
      <c r="H264" s="12"/>
    </row>
    <row r="265" spans="8:8" customFormat="1" x14ac:dyDescent="0.2">
      <c r="H265" s="12"/>
    </row>
    <row r="266" spans="8:8" customFormat="1" x14ac:dyDescent="0.2">
      <c r="H266" s="12"/>
    </row>
    <row r="267" spans="8:8" customFormat="1" x14ac:dyDescent="0.2">
      <c r="H267" s="12"/>
    </row>
    <row r="268" spans="8:8" customFormat="1" x14ac:dyDescent="0.2">
      <c r="H268" s="12"/>
    </row>
    <row r="269" spans="8:8" customFormat="1" x14ac:dyDescent="0.2">
      <c r="H269" s="12"/>
    </row>
    <row r="270" spans="8:8" customFormat="1" x14ac:dyDescent="0.2">
      <c r="H270" s="12"/>
    </row>
    <row r="271" spans="8:8" customFormat="1" x14ac:dyDescent="0.2">
      <c r="H271" s="12"/>
    </row>
    <row r="272" spans="8:8" customFormat="1" x14ac:dyDescent="0.2">
      <c r="H272" s="12"/>
    </row>
    <row r="273" spans="8:8" customFormat="1" x14ac:dyDescent="0.2">
      <c r="H273" s="12"/>
    </row>
    <row r="274" spans="8:8" customFormat="1" x14ac:dyDescent="0.2">
      <c r="H274" s="12"/>
    </row>
    <row r="275" spans="8:8" customFormat="1" x14ac:dyDescent="0.2">
      <c r="H275" s="12"/>
    </row>
    <row r="276" spans="8:8" customFormat="1" x14ac:dyDescent="0.2">
      <c r="H276" s="12"/>
    </row>
    <row r="277" spans="8:8" customFormat="1" x14ac:dyDescent="0.2">
      <c r="H277" s="12"/>
    </row>
    <row r="278" spans="8:8" customFormat="1" x14ac:dyDescent="0.2">
      <c r="H278" s="12"/>
    </row>
    <row r="279" spans="8:8" customFormat="1" x14ac:dyDescent="0.2">
      <c r="H279" s="12"/>
    </row>
    <row r="280" spans="8:8" customFormat="1" x14ac:dyDescent="0.2">
      <c r="H280" s="12"/>
    </row>
    <row r="281" spans="8:8" customFormat="1" x14ac:dyDescent="0.2">
      <c r="H281" s="12"/>
    </row>
    <row r="282" spans="8:8" customFormat="1" x14ac:dyDescent="0.2">
      <c r="H282" s="12"/>
    </row>
    <row r="283" spans="8:8" customFormat="1" x14ac:dyDescent="0.2">
      <c r="H283" s="12"/>
    </row>
    <row r="284" spans="8:8" customFormat="1" x14ac:dyDescent="0.2">
      <c r="H284" s="12"/>
    </row>
    <row r="285" spans="8:8" customFormat="1" x14ac:dyDescent="0.2">
      <c r="H285" s="12"/>
    </row>
    <row r="286" spans="8:8" customFormat="1" x14ac:dyDescent="0.2">
      <c r="H286" s="12"/>
    </row>
    <row r="287" spans="8:8" customFormat="1" x14ac:dyDescent="0.2">
      <c r="H287" s="12"/>
    </row>
    <row r="288" spans="8:8" customFormat="1" x14ac:dyDescent="0.2">
      <c r="H288" s="12"/>
    </row>
    <row r="289" spans="8:8" customFormat="1" x14ac:dyDescent="0.2">
      <c r="H289" s="12"/>
    </row>
    <row r="290" spans="8:8" customFormat="1" x14ac:dyDescent="0.2">
      <c r="H290" s="12"/>
    </row>
    <row r="291" spans="8:8" customFormat="1" x14ac:dyDescent="0.2">
      <c r="H291" s="12"/>
    </row>
    <row r="292" spans="8:8" customFormat="1" x14ac:dyDescent="0.2">
      <c r="H292" s="12"/>
    </row>
    <row r="293" spans="8:8" customFormat="1" x14ac:dyDescent="0.2">
      <c r="H293" s="12"/>
    </row>
    <row r="294" spans="8:8" customFormat="1" x14ac:dyDescent="0.2">
      <c r="H294" s="12"/>
    </row>
    <row r="295" spans="8:8" customFormat="1" x14ac:dyDescent="0.2">
      <c r="H295" s="12"/>
    </row>
    <row r="296" spans="8:8" customFormat="1" x14ac:dyDescent="0.2">
      <c r="H296" s="12"/>
    </row>
    <row r="297" spans="8:8" customFormat="1" x14ac:dyDescent="0.2">
      <c r="H297" s="12"/>
    </row>
    <row r="298" spans="8:8" customFormat="1" x14ac:dyDescent="0.2">
      <c r="H298" s="12"/>
    </row>
    <row r="299" spans="8:8" customFormat="1" x14ac:dyDescent="0.2">
      <c r="H299" s="12"/>
    </row>
    <row r="300" spans="8:8" customFormat="1" x14ac:dyDescent="0.2">
      <c r="H300" s="12"/>
    </row>
    <row r="301" spans="8:8" customFormat="1" x14ac:dyDescent="0.2">
      <c r="H301" s="12"/>
    </row>
    <row r="302" spans="8:8" customFormat="1" x14ac:dyDescent="0.2">
      <c r="H302" s="12"/>
    </row>
    <row r="303" spans="8:8" customFormat="1" x14ac:dyDescent="0.2">
      <c r="H303" s="12"/>
    </row>
    <row r="304" spans="8:8" customFormat="1" x14ac:dyDescent="0.2">
      <c r="H304" s="12"/>
    </row>
    <row r="305" spans="8:8" customFormat="1" x14ac:dyDescent="0.2">
      <c r="H305" s="12"/>
    </row>
    <row r="306" spans="8:8" customFormat="1" x14ac:dyDescent="0.2">
      <c r="H306" s="12"/>
    </row>
    <row r="307" spans="8:8" customFormat="1" x14ac:dyDescent="0.2">
      <c r="H307" s="12"/>
    </row>
    <row r="308" spans="8:8" customFormat="1" x14ac:dyDescent="0.2">
      <c r="H308" s="12"/>
    </row>
    <row r="309" spans="8:8" customFormat="1" x14ac:dyDescent="0.2">
      <c r="H309" s="12"/>
    </row>
    <row r="310" spans="8:8" customFormat="1" x14ac:dyDescent="0.2">
      <c r="H310" s="12"/>
    </row>
    <row r="311" spans="8:8" customFormat="1" x14ac:dyDescent="0.2">
      <c r="H311" s="12"/>
    </row>
    <row r="312" spans="8:8" customFormat="1" x14ac:dyDescent="0.2">
      <c r="H312" s="12"/>
    </row>
    <row r="313" spans="8:8" customFormat="1" x14ac:dyDescent="0.2">
      <c r="H313" s="12"/>
    </row>
    <row r="314" spans="8:8" customFormat="1" x14ac:dyDescent="0.2">
      <c r="H314" s="12"/>
    </row>
    <row r="315" spans="8:8" customFormat="1" x14ac:dyDescent="0.2">
      <c r="H315" s="12"/>
    </row>
    <row r="316" spans="8:8" customFormat="1" x14ac:dyDescent="0.2">
      <c r="H316" s="12"/>
    </row>
    <row r="317" spans="8:8" customFormat="1" x14ac:dyDescent="0.2">
      <c r="H317" s="12"/>
    </row>
    <row r="318" spans="8:8" customFormat="1" x14ac:dyDescent="0.2">
      <c r="H318" s="12"/>
    </row>
    <row r="319" spans="8:8" customFormat="1" x14ac:dyDescent="0.2">
      <c r="H319" s="12"/>
    </row>
    <row r="320" spans="8:8" customFormat="1" x14ac:dyDescent="0.2">
      <c r="H320" s="12"/>
    </row>
    <row r="321" spans="8:8" customFormat="1" x14ac:dyDescent="0.2">
      <c r="H321" s="12"/>
    </row>
  </sheetData>
  <conditionalFormatting sqref="B4:D4 B4:B42 D5:G5 D6:D15 E6:G42 C17:D29 B43:G50">
    <cfRule type="expression" dxfId="24" priority="3" stopIfTrue="1">
      <formula>$B4&lt;&gt;""</formula>
    </cfRule>
  </conditionalFormatting>
  <conditionalFormatting sqref="D30:D42">
    <cfRule type="expression" dxfId="23" priority="1" stopIfTrue="1">
      <formula>$B30&lt;&gt;""</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B1:Z61"/>
  <sheetViews>
    <sheetView workbookViewId="0">
      <selection activeCell="B5" sqref="B5:D5"/>
    </sheetView>
  </sheetViews>
  <sheetFormatPr defaultColWidth="9.140625" defaultRowHeight="15" x14ac:dyDescent="0.25"/>
  <cols>
    <col min="1" max="1" width="3" style="15" customWidth="1"/>
    <col min="2" max="2" width="17.140625" customWidth="1"/>
    <col min="3" max="3" width="15.140625" customWidth="1"/>
    <col min="4" max="4" width="16.140625" customWidth="1"/>
    <col min="5" max="5" width="3" customWidth="1"/>
    <col min="6" max="6" width="18.42578125" customWidth="1"/>
    <col min="7" max="7" width="16" customWidth="1"/>
    <col min="8" max="8" width="18" customWidth="1"/>
    <col min="9" max="9" width="4.140625" style="15" customWidth="1"/>
    <col min="10" max="10" width="17.140625" customWidth="1"/>
    <col min="11" max="11" width="13.85546875" customWidth="1"/>
    <col min="12" max="12" width="15.42578125" customWidth="1"/>
    <col min="13" max="13" width="3.85546875" style="15" customWidth="1"/>
    <col min="14" max="14" width="17.140625" customWidth="1"/>
    <col min="15" max="15" width="13.85546875" customWidth="1"/>
    <col min="16" max="16" width="15.42578125" customWidth="1"/>
    <col min="17" max="17" width="3.85546875" style="15" customWidth="1"/>
    <col min="18" max="18" width="17.140625" customWidth="1"/>
    <col min="19" max="19" width="13.85546875" customWidth="1"/>
    <col min="20" max="20" width="15.42578125" customWidth="1"/>
    <col min="21" max="16384" width="9.140625" style="15"/>
  </cols>
  <sheetData>
    <row r="1" spans="2:26" ht="27" x14ac:dyDescent="0.3">
      <c r="G1" s="102" t="s">
        <v>35</v>
      </c>
      <c r="J1" s="112" t="s">
        <v>140</v>
      </c>
      <c r="K1" s="113">
        <v>46204</v>
      </c>
    </row>
    <row r="2" spans="2:26" ht="26.25" x14ac:dyDescent="0.25">
      <c r="J2" s="112" t="s">
        <v>142</v>
      </c>
      <c r="K2" t="s">
        <v>143</v>
      </c>
    </row>
    <row r="3" spans="2:26" ht="18" x14ac:dyDescent="0.25">
      <c r="B3" s="111" t="s">
        <v>134</v>
      </c>
      <c r="F3" s="111" t="s">
        <v>135</v>
      </c>
      <c r="J3" s="111" t="s">
        <v>136</v>
      </c>
      <c r="N3" s="111" t="s">
        <v>137</v>
      </c>
      <c r="R3" s="111" t="s">
        <v>138</v>
      </c>
    </row>
    <row r="4" spans="2:26" x14ac:dyDescent="0.25">
      <c r="B4" s="83"/>
      <c r="F4" s="83"/>
      <c r="J4" s="83"/>
      <c r="N4" s="83"/>
      <c r="R4" s="83"/>
    </row>
    <row r="5" spans="2:26" ht="18" x14ac:dyDescent="0.25">
      <c r="B5" s="221" t="s">
        <v>99</v>
      </c>
      <c r="C5" s="221"/>
      <c r="D5" s="221"/>
      <c r="F5" s="221" t="s">
        <v>100</v>
      </c>
      <c r="G5" s="221"/>
      <c r="H5" s="221"/>
      <c r="J5" s="221" t="s">
        <v>101</v>
      </c>
      <c r="K5" s="221"/>
      <c r="L5" s="221"/>
      <c r="N5" s="221" t="s">
        <v>103</v>
      </c>
      <c r="O5" s="221"/>
      <c r="P5" s="221"/>
      <c r="R5" s="221" t="s">
        <v>104</v>
      </c>
      <c r="S5" s="221"/>
      <c r="T5" s="221"/>
    </row>
    <row r="6" spans="2:26" x14ac:dyDescent="0.25">
      <c r="B6" s="83"/>
      <c r="F6" s="83"/>
      <c r="J6" s="101"/>
      <c r="K6" s="101"/>
      <c r="L6" s="101"/>
      <c r="N6" s="101"/>
      <c r="O6" s="101"/>
      <c r="P6" s="101"/>
      <c r="R6" s="101"/>
      <c r="S6" s="101"/>
      <c r="T6" s="101"/>
    </row>
    <row r="7" spans="2:26" ht="51.75" customHeight="1" thickBot="1" x14ac:dyDescent="0.3">
      <c r="B7" s="77" t="s">
        <v>36</v>
      </c>
      <c r="C7" s="77" t="s">
        <v>13</v>
      </c>
      <c r="D7" s="84" t="s">
        <v>37</v>
      </c>
      <c r="F7" s="77" t="s">
        <v>36</v>
      </c>
      <c r="G7" s="77" t="s">
        <v>13</v>
      </c>
      <c r="H7" s="84" t="s">
        <v>37</v>
      </c>
      <c r="J7" s="77" t="s">
        <v>36</v>
      </c>
      <c r="K7" s="77" t="s">
        <v>13</v>
      </c>
      <c r="L7" s="84" t="s">
        <v>37</v>
      </c>
      <c r="N7" s="77" t="s">
        <v>36</v>
      </c>
      <c r="O7" s="77" t="s">
        <v>13</v>
      </c>
      <c r="P7" s="84" t="s">
        <v>37</v>
      </c>
      <c r="R7" s="77" t="s">
        <v>36</v>
      </c>
      <c r="S7" s="77" t="s">
        <v>13</v>
      </c>
      <c r="T7" s="84" t="s">
        <v>37</v>
      </c>
    </row>
    <row r="8" spans="2:26" ht="24.75" customHeight="1" thickBot="1" x14ac:dyDescent="0.3">
      <c r="B8" s="85" t="s">
        <v>38</v>
      </c>
      <c r="C8" s="220" t="s">
        <v>39</v>
      </c>
      <c r="D8" s="220"/>
      <c r="F8" s="85" t="s">
        <v>38</v>
      </c>
      <c r="G8" s="220" t="s">
        <v>39</v>
      </c>
      <c r="H8" s="220"/>
      <c r="J8" s="85" t="s">
        <v>38</v>
      </c>
      <c r="K8" s="220" t="s">
        <v>102</v>
      </c>
      <c r="L8" s="220"/>
      <c r="N8" s="85" t="s">
        <v>38</v>
      </c>
      <c r="O8" s="220" t="s">
        <v>102</v>
      </c>
      <c r="P8" s="220"/>
      <c r="R8" s="85" t="s">
        <v>38</v>
      </c>
      <c r="S8" s="220" t="s">
        <v>102</v>
      </c>
      <c r="T8" s="220"/>
    </row>
    <row r="9" spans="2:26" x14ac:dyDescent="0.25">
      <c r="B9" s="97">
        <v>20</v>
      </c>
      <c r="C9" s="98"/>
      <c r="D9" s="98"/>
      <c r="E9" s="74"/>
      <c r="F9" s="97">
        <v>20</v>
      </c>
      <c r="G9" s="98">
        <v>2120</v>
      </c>
      <c r="H9" s="98">
        <v>2300</v>
      </c>
      <c r="J9" s="97">
        <v>20</v>
      </c>
      <c r="K9" s="98">
        <v>2030</v>
      </c>
      <c r="L9" s="98">
        <v>2200</v>
      </c>
      <c r="N9" s="97">
        <v>20</v>
      </c>
      <c r="O9" s="98">
        <v>1940</v>
      </c>
      <c r="P9" s="98">
        <v>2120</v>
      </c>
      <c r="R9" s="97">
        <v>20</v>
      </c>
      <c r="S9" s="98">
        <v>1860</v>
      </c>
      <c r="T9" s="98">
        <v>2030</v>
      </c>
      <c r="V9" s="15">
        <v>20</v>
      </c>
      <c r="Z9" s="15">
        <v>20</v>
      </c>
    </row>
    <row r="10" spans="2:26" x14ac:dyDescent="0.25">
      <c r="B10" s="97">
        <v>21</v>
      </c>
      <c r="C10" s="98"/>
      <c r="D10" s="98"/>
      <c r="E10" s="74"/>
      <c r="F10" s="97">
        <v>21</v>
      </c>
      <c r="G10" s="98">
        <v>2160</v>
      </c>
      <c r="H10" s="98">
        <v>2340</v>
      </c>
      <c r="J10" s="97">
        <v>21</v>
      </c>
      <c r="K10" s="98">
        <v>2070</v>
      </c>
      <c r="L10" s="98">
        <v>2240</v>
      </c>
      <c r="N10" s="97">
        <v>21</v>
      </c>
      <c r="O10" s="98">
        <v>1980</v>
      </c>
      <c r="P10" s="98">
        <v>2160</v>
      </c>
      <c r="R10" s="97">
        <v>21</v>
      </c>
      <c r="S10" s="98">
        <v>1890</v>
      </c>
      <c r="T10" s="98">
        <v>2070</v>
      </c>
      <c r="V10" s="15">
        <v>21</v>
      </c>
      <c r="Z10" s="15">
        <v>21</v>
      </c>
    </row>
    <row r="11" spans="2:26" x14ac:dyDescent="0.25">
      <c r="B11" s="97">
        <v>22</v>
      </c>
      <c r="C11" s="98"/>
      <c r="D11" s="98"/>
      <c r="E11" s="74"/>
      <c r="F11" s="97">
        <v>22</v>
      </c>
      <c r="G11" s="98">
        <v>2200</v>
      </c>
      <c r="H11" s="98">
        <v>2380</v>
      </c>
      <c r="J11" s="97">
        <v>22</v>
      </c>
      <c r="K11" s="98">
        <v>2110</v>
      </c>
      <c r="L11" s="98">
        <v>2290</v>
      </c>
      <c r="N11" s="97">
        <v>22</v>
      </c>
      <c r="O11" s="98">
        <v>2010</v>
      </c>
      <c r="P11" s="98">
        <v>2190</v>
      </c>
      <c r="R11" s="97">
        <v>22</v>
      </c>
      <c r="S11" s="98">
        <v>1930</v>
      </c>
      <c r="T11" s="98">
        <v>2110</v>
      </c>
      <c r="V11" s="15">
        <v>22</v>
      </c>
      <c r="Z11" s="15">
        <v>22</v>
      </c>
    </row>
    <row r="12" spans="2:26" x14ac:dyDescent="0.25">
      <c r="B12" s="97">
        <v>23</v>
      </c>
      <c r="C12" s="98"/>
      <c r="D12" s="98"/>
      <c r="E12" s="74"/>
      <c r="F12" s="97">
        <v>23</v>
      </c>
      <c r="G12" s="98">
        <v>2240</v>
      </c>
      <c r="H12" s="98">
        <v>2420</v>
      </c>
      <c r="J12" s="97">
        <v>23</v>
      </c>
      <c r="K12" s="98">
        <v>2140</v>
      </c>
      <c r="L12" s="98">
        <v>2330</v>
      </c>
      <c r="N12" s="97">
        <v>23</v>
      </c>
      <c r="O12" s="98">
        <v>2050</v>
      </c>
      <c r="P12" s="98">
        <v>2230</v>
      </c>
      <c r="R12" s="97">
        <v>23</v>
      </c>
      <c r="S12" s="98">
        <v>1960</v>
      </c>
      <c r="T12" s="98">
        <v>2140</v>
      </c>
      <c r="V12" s="15">
        <v>23</v>
      </c>
      <c r="Z12" s="15">
        <v>23</v>
      </c>
    </row>
    <row r="13" spans="2:26" x14ac:dyDescent="0.25">
      <c r="B13" s="97">
        <v>24</v>
      </c>
      <c r="C13" s="98"/>
      <c r="D13" s="98"/>
      <c r="E13" s="74"/>
      <c r="F13" s="97">
        <v>24</v>
      </c>
      <c r="G13" s="98">
        <v>2280</v>
      </c>
      <c r="H13" s="98">
        <v>2470</v>
      </c>
      <c r="J13" s="97">
        <v>24</v>
      </c>
      <c r="K13" s="98">
        <v>2180</v>
      </c>
      <c r="L13" s="98">
        <v>2370</v>
      </c>
      <c r="N13" s="97">
        <v>24</v>
      </c>
      <c r="O13" s="98">
        <v>2090</v>
      </c>
      <c r="P13" s="98">
        <v>2270</v>
      </c>
      <c r="R13" s="97">
        <v>24</v>
      </c>
      <c r="S13" s="98">
        <v>2000</v>
      </c>
      <c r="T13" s="98">
        <v>2180</v>
      </c>
      <c r="V13" s="15">
        <v>24</v>
      </c>
      <c r="Z13" s="15">
        <v>24</v>
      </c>
    </row>
    <row r="14" spans="2:26" x14ac:dyDescent="0.25">
      <c r="B14" s="97">
        <v>25</v>
      </c>
      <c r="C14" s="98"/>
      <c r="D14" s="98"/>
      <c r="E14" s="74"/>
      <c r="F14" s="97">
        <v>25</v>
      </c>
      <c r="G14" s="98">
        <v>2320</v>
      </c>
      <c r="H14" s="98">
        <v>2510</v>
      </c>
      <c r="J14" s="97">
        <v>25</v>
      </c>
      <c r="K14" s="98">
        <v>2220</v>
      </c>
      <c r="L14" s="98">
        <v>2410</v>
      </c>
      <c r="N14" s="97">
        <v>25</v>
      </c>
      <c r="O14" s="98">
        <v>2120</v>
      </c>
      <c r="P14" s="98">
        <v>2310</v>
      </c>
      <c r="R14" s="97">
        <v>25</v>
      </c>
      <c r="S14" s="98">
        <v>2030</v>
      </c>
      <c r="T14" s="98">
        <v>2220</v>
      </c>
      <c r="V14" s="15">
        <v>25</v>
      </c>
      <c r="Z14" s="15">
        <v>25</v>
      </c>
    </row>
    <row r="15" spans="2:26" x14ac:dyDescent="0.25">
      <c r="B15" s="97">
        <v>26</v>
      </c>
      <c r="C15" s="98"/>
      <c r="D15" s="98"/>
      <c r="E15" s="74"/>
      <c r="F15" s="97">
        <v>26</v>
      </c>
      <c r="G15" s="98">
        <v>2360</v>
      </c>
      <c r="H15" s="98">
        <v>2560</v>
      </c>
      <c r="J15" s="97">
        <v>26</v>
      </c>
      <c r="K15" s="98">
        <v>2260</v>
      </c>
      <c r="L15" s="98">
        <v>2450</v>
      </c>
      <c r="N15" s="97">
        <v>26</v>
      </c>
      <c r="O15" s="98">
        <v>2160</v>
      </c>
      <c r="P15" s="98">
        <v>2360</v>
      </c>
      <c r="R15" s="97">
        <v>26</v>
      </c>
      <c r="S15" s="98">
        <v>2070</v>
      </c>
      <c r="T15" s="98">
        <v>2260</v>
      </c>
      <c r="V15" s="15">
        <v>26</v>
      </c>
      <c r="Z15" s="15">
        <v>26</v>
      </c>
    </row>
    <row r="16" spans="2:26" x14ac:dyDescent="0.25">
      <c r="B16" s="97">
        <v>27</v>
      </c>
      <c r="C16" s="98"/>
      <c r="D16" s="98"/>
      <c r="E16" s="74"/>
      <c r="F16" s="97">
        <v>27</v>
      </c>
      <c r="G16" s="98">
        <v>2410</v>
      </c>
      <c r="H16" s="98">
        <v>2600</v>
      </c>
      <c r="J16" s="97">
        <v>27</v>
      </c>
      <c r="K16" s="98">
        <v>2300</v>
      </c>
      <c r="L16" s="98">
        <v>2500</v>
      </c>
      <c r="N16" s="97">
        <v>27</v>
      </c>
      <c r="O16" s="98">
        <v>2200</v>
      </c>
      <c r="P16" s="98">
        <v>2400</v>
      </c>
      <c r="R16" s="97">
        <v>27</v>
      </c>
      <c r="S16" s="98">
        <v>2100</v>
      </c>
      <c r="T16" s="98">
        <v>2300</v>
      </c>
      <c r="V16" s="15">
        <v>27</v>
      </c>
      <c r="Z16" s="15">
        <v>27</v>
      </c>
    </row>
    <row r="17" spans="2:26" s="107" customFormat="1" x14ac:dyDescent="0.25">
      <c r="B17" s="105">
        <v>28</v>
      </c>
      <c r="C17" s="98"/>
      <c r="D17" s="98"/>
      <c r="E17" s="106"/>
      <c r="F17" s="105">
        <v>28</v>
      </c>
      <c r="G17" s="98">
        <v>2450</v>
      </c>
      <c r="H17" s="98">
        <v>2650</v>
      </c>
      <c r="J17" s="105">
        <v>28</v>
      </c>
      <c r="K17" s="98">
        <v>2340</v>
      </c>
      <c r="L17" s="98">
        <v>2540</v>
      </c>
      <c r="N17" s="105">
        <v>28</v>
      </c>
      <c r="O17" s="98">
        <v>2240</v>
      </c>
      <c r="P17" s="98">
        <v>2440</v>
      </c>
      <c r="R17" s="105">
        <v>28</v>
      </c>
      <c r="S17" s="98">
        <v>2140</v>
      </c>
      <c r="T17" s="98">
        <v>2340</v>
      </c>
      <c r="V17" s="107">
        <v>28</v>
      </c>
      <c r="Z17" s="107">
        <v>28</v>
      </c>
    </row>
    <row r="18" spans="2:26" x14ac:dyDescent="0.25">
      <c r="B18" s="97">
        <v>29</v>
      </c>
      <c r="C18" s="98"/>
      <c r="D18" s="98"/>
      <c r="E18" s="74"/>
      <c r="F18" s="97">
        <v>29</v>
      </c>
      <c r="G18" s="98">
        <v>2490</v>
      </c>
      <c r="H18" s="98">
        <v>2700</v>
      </c>
      <c r="J18" s="97">
        <v>29</v>
      </c>
      <c r="K18" s="98">
        <v>2390</v>
      </c>
      <c r="L18" s="98">
        <v>2590</v>
      </c>
      <c r="N18" s="97">
        <v>29</v>
      </c>
      <c r="O18" s="98">
        <v>2280</v>
      </c>
      <c r="P18" s="98">
        <v>2490</v>
      </c>
      <c r="R18" s="97">
        <v>29</v>
      </c>
      <c r="S18" s="98">
        <v>2180</v>
      </c>
      <c r="T18" s="98">
        <v>2380</v>
      </c>
      <c r="V18" s="15">
        <v>29</v>
      </c>
      <c r="Z18" s="15">
        <v>29</v>
      </c>
    </row>
    <row r="19" spans="2:26" x14ac:dyDescent="0.25">
      <c r="B19" s="97">
        <v>30</v>
      </c>
      <c r="C19" s="98"/>
      <c r="D19" s="98"/>
      <c r="E19" s="74"/>
      <c r="F19" s="97">
        <v>30</v>
      </c>
      <c r="G19" s="98">
        <v>2540</v>
      </c>
      <c r="H19" s="98">
        <v>2750</v>
      </c>
      <c r="J19" s="97">
        <v>30</v>
      </c>
      <c r="K19" s="98">
        <v>2430</v>
      </c>
      <c r="L19" s="98">
        <v>2640</v>
      </c>
      <c r="N19" s="97">
        <v>30</v>
      </c>
      <c r="O19" s="98">
        <v>2320</v>
      </c>
      <c r="P19" s="98">
        <v>2530</v>
      </c>
      <c r="R19" s="97">
        <v>30</v>
      </c>
      <c r="S19" s="98">
        <v>2220</v>
      </c>
      <c r="T19" s="98">
        <v>2430</v>
      </c>
      <c r="V19" s="15">
        <v>30</v>
      </c>
      <c r="Z19" s="15">
        <v>30</v>
      </c>
    </row>
    <row r="20" spans="2:26" x14ac:dyDescent="0.25">
      <c r="B20" s="97">
        <v>31</v>
      </c>
      <c r="C20" s="98"/>
      <c r="D20" s="98"/>
      <c r="E20" s="74"/>
      <c r="F20" s="97">
        <v>31</v>
      </c>
      <c r="G20" s="98">
        <v>2580</v>
      </c>
      <c r="H20" s="98">
        <v>2790</v>
      </c>
      <c r="J20" s="97">
        <v>31</v>
      </c>
      <c r="K20" s="98">
        <v>2470</v>
      </c>
      <c r="L20" s="98">
        <v>2680</v>
      </c>
      <c r="N20" s="97">
        <v>31</v>
      </c>
      <c r="O20" s="98">
        <v>2360</v>
      </c>
      <c r="P20" s="98">
        <v>2570</v>
      </c>
      <c r="R20" s="97">
        <v>31</v>
      </c>
      <c r="S20" s="98">
        <v>2260</v>
      </c>
      <c r="T20" s="98">
        <v>2470</v>
      </c>
      <c r="V20" s="15">
        <v>31</v>
      </c>
      <c r="Z20" s="15">
        <v>31</v>
      </c>
    </row>
    <row r="21" spans="2:26" x14ac:dyDescent="0.25">
      <c r="B21" s="97">
        <v>32</v>
      </c>
      <c r="C21" s="98"/>
      <c r="D21" s="98"/>
      <c r="E21" s="74"/>
      <c r="F21" s="97">
        <v>32</v>
      </c>
      <c r="G21" s="98">
        <v>2630</v>
      </c>
      <c r="H21" s="98">
        <v>2840</v>
      </c>
      <c r="J21" s="97">
        <v>32</v>
      </c>
      <c r="K21" s="98">
        <v>2520</v>
      </c>
      <c r="L21" s="98">
        <v>2730</v>
      </c>
      <c r="N21" s="97">
        <v>32</v>
      </c>
      <c r="O21" s="98">
        <v>2400</v>
      </c>
      <c r="P21" s="98">
        <v>2620</v>
      </c>
      <c r="R21" s="97">
        <v>32</v>
      </c>
      <c r="S21" s="98">
        <v>2300</v>
      </c>
      <c r="T21" s="98">
        <v>2510</v>
      </c>
      <c r="V21" s="15">
        <v>32</v>
      </c>
      <c r="Z21" s="15">
        <v>32</v>
      </c>
    </row>
    <row r="22" spans="2:26" x14ac:dyDescent="0.25">
      <c r="B22" s="97">
        <v>33</v>
      </c>
      <c r="C22" s="98"/>
      <c r="D22" s="98"/>
      <c r="E22" s="74"/>
      <c r="F22" s="97">
        <v>33</v>
      </c>
      <c r="G22" s="98">
        <v>2680</v>
      </c>
      <c r="H22" s="98">
        <v>2900</v>
      </c>
      <c r="J22" s="97">
        <v>33</v>
      </c>
      <c r="K22" s="98">
        <v>2560</v>
      </c>
      <c r="L22" s="98">
        <v>2780</v>
      </c>
      <c r="N22" s="97">
        <v>33</v>
      </c>
      <c r="O22" s="98">
        <v>2450</v>
      </c>
      <c r="P22" s="98">
        <v>2670</v>
      </c>
      <c r="R22" s="97">
        <v>33</v>
      </c>
      <c r="S22" s="98">
        <v>2340</v>
      </c>
      <c r="T22" s="98">
        <v>2560</v>
      </c>
      <c r="V22" s="15">
        <v>33</v>
      </c>
      <c r="Z22" s="15">
        <v>33</v>
      </c>
    </row>
    <row r="23" spans="2:26" x14ac:dyDescent="0.25">
      <c r="B23" s="97">
        <v>34</v>
      </c>
      <c r="C23" s="98"/>
      <c r="D23" s="98"/>
      <c r="E23" s="74"/>
      <c r="F23" s="97">
        <v>34</v>
      </c>
      <c r="G23" s="98">
        <v>2730</v>
      </c>
      <c r="H23" s="98">
        <v>2950</v>
      </c>
      <c r="J23" s="97">
        <v>34</v>
      </c>
      <c r="K23" s="98">
        <v>2610</v>
      </c>
      <c r="L23" s="98">
        <v>2830</v>
      </c>
      <c r="N23" s="97">
        <v>34</v>
      </c>
      <c r="O23" s="98">
        <v>2490</v>
      </c>
      <c r="P23" s="98">
        <v>2710</v>
      </c>
      <c r="R23" s="97">
        <v>34</v>
      </c>
      <c r="S23" s="98">
        <v>2380</v>
      </c>
      <c r="T23" s="98">
        <v>2600</v>
      </c>
      <c r="V23" s="15">
        <v>34</v>
      </c>
      <c r="Z23" s="15">
        <v>34</v>
      </c>
    </row>
    <row r="24" spans="2:26" x14ac:dyDescent="0.25">
      <c r="B24" s="97">
        <v>35</v>
      </c>
      <c r="C24" s="98"/>
      <c r="D24" s="98"/>
      <c r="E24" s="74"/>
      <c r="F24" s="97">
        <v>35</v>
      </c>
      <c r="G24" s="98">
        <v>2770</v>
      </c>
      <c r="H24" s="98">
        <v>3000</v>
      </c>
      <c r="J24" s="97">
        <v>35</v>
      </c>
      <c r="K24" s="98">
        <v>2650</v>
      </c>
      <c r="L24" s="98">
        <v>2880</v>
      </c>
      <c r="N24" s="97">
        <v>35</v>
      </c>
      <c r="O24" s="98">
        <v>2530</v>
      </c>
      <c r="P24" s="98">
        <v>2760</v>
      </c>
      <c r="R24" s="97">
        <v>35</v>
      </c>
      <c r="S24" s="98">
        <v>2420</v>
      </c>
      <c r="T24" s="98">
        <v>2650</v>
      </c>
      <c r="V24" s="15">
        <v>35</v>
      </c>
      <c r="Z24" s="15">
        <v>35</v>
      </c>
    </row>
    <row r="25" spans="2:26" x14ac:dyDescent="0.25">
      <c r="B25" s="97">
        <v>36</v>
      </c>
      <c r="C25" s="98"/>
      <c r="D25" s="98"/>
      <c r="E25" s="74"/>
      <c r="F25" s="97">
        <v>36</v>
      </c>
      <c r="G25" s="98">
        <v>2820</v>
      </c>
      <c r="H25" s="98">
        <v>3050</v>
      </c>
      <c r="J25" s="97">
        <v>36</v>
      </c>
      <c r="K25" s="98">
        <v>2700</v>
      </c>
      <c r="L25" s="98">
        <v>2930</v>
      </c>
      <c r="N25" s="97">
        <v>36</v>
      </c>
      <c r="O25" s="98">
        <v>2580</v>
      </c>
      <c r="P25" s="98">
        <v>2810</v>
      </c>
      <c r="R25" s="97">
        <v>36</v>
      </c>
      <c r="S25" s="98">
        <v>2460</v>
      </c>
      <c r="T25" s="98">
        <v>2690</v>
      </c>
      <c r="V25" s="15">
        <v>36</v>
      </c>
      <c r="Z25" s="15">
        <v>36</v>
      </c>
    </row>
    <row r="26" spans="2:26" x14ac:dyDescent="0.25">
      <c r="B26" s="97">
        <v>37</v>
      </c>
      <c r="C26" s="98"/>
      <c r="D26" s="98"/>
      <c r="E26" s="74"/>
      <c r="F26" s="97">
        <v>37</v>
      </c>
      <c r="G26" s="98">
        <v>2870</v>
      </c>
      <c r="H26" s="98">
        <v>3110</v>
      </c>
      <c r="J26" s="97">
        <v>37</v>
      </c>
      <c r="K26" s="98">
        <v>2750</v>
      </c>
      <c r="L26" s="98">
        <v>2980</v>
      </c>
      <c r="N26" s="97">
        <v>37</v>
      </c>
      <c r="O26" s="98">
        <v>2630</v>
      </c>
      <c r="P26" s="98">
        <v>2860</v>
      </c>
      <c r="R26" s="97">
        <v>37</v>
      </c>
      <c r="S26" s="98">
        <v>2510</v>
      </c>
      <c r="T26" s="98">
        <v>2740</v>
      </c>
      <c r="V26" s="15">
        <v>37</v>
      </c>
      <c r="Z26" s="15">
        <v>37</v>
      </c>
    </row>
    <row r="27" spans="2:26" x14ac:dyDescent="0.25">
      <c r="B27" s="97">
        <v>38</v>
      </c>
      <c r="C27" s="98"/>
      <c r="D27" s="98"/>
      <c r="E27" s="74"/>
      <c r="F27" s="97">
        <v>38</v>
      </c>
      <c r="G27" s="98">
        <v>2920</v>
      </c>
      <c r="H27" s="98">
        <v>3160</v>
      </c>
      <c r="J27" s="97">
        <v>38</v>
      </c>
      <c r="K27" s="98">
        <v>2800</v>
      </c>
      <c r="L27" s="98">
        <v>3030</v>
      </c>
      <c r="N27" s="97">
        <v>38</v>
      </c>
      <c r="O27" s="98">
        <v>2670</v>
      </c>
      <c r="P27" s="98">
        <v>2910</v>
      </c>
      <c r="R27" s="97">
        <v>38</v>
      </c>
      <c r="S27" s="98">
        <v>2550</v>
      </c>
      <c r="T27" s="98">
        <v>2790</v>
      </c>
      <c r="V27" s="15">
        <v>38</v>
      </c>
      <c r="Z27" s="15">
        <v>38</v>
      </c>
    </row>
    <row r="28" spans="2:26" x14ac:dyDescent="0.25">
      <c r="B28" s="97">
        <v>39</v>
      </c>
      <c r="C28" s="98"/>
      <c r="D28" s="98"/>
      <c r="E28" s="74"/>
      <c r="F28" s="97">
        <v>39</v>
      </c>
      <c r="G28" s="98">
        <v>2980</v>
      </c>
      <c r="H28" s="98">
        <v>3220</v>
      </c>
      <c r="J28" s="97">
        <v>39</v>
      </c>
      <c r="K28" s="98">
        <v>2850</v>
      </c>
      <c r="L28" s="98">
        <v>3090</v>
      </c>
      <c r="N28" s="97">
        <v>39</v>
      </c>
      <c r="O28" s="98">
        <v>2720</v>
      </c>
      <c r="P28" s="98">
        <v>2960</v>
      </c>
      <c r="R28" s="97">
        <v>39</v>
      </c>
      <c r="S28" s="98">
        <v>2600</v>
      </c>
      <c r="T28" s="98">
        <v>2840</v>
      </c>
      <c r="V28" s="15">
        <v>39</v>
      </c>
      <c r="Z28" s="15">
        <v>39</v>
      </c>
    </row>
    <row r="29" spans="2:26" x14ac:dyDescent="0.25">
      <c r="B29" s="97">
        <v>40</v>
      </c>
      <c r="C29" s="98"/>
      <c r="D29" s="98"/>
      <c r="E29" s="74"/>
      <c r="F29" s="97">
        <v>40</v>
      </c>
      <c r="G29" s="98">
        <v>3030</v>
      </c>
      <c r="H29" s="98">
        <v>3270</v>
      </c>
      <c r="J29" s="97">
        <v>40</v>
      </c>
      <c r="K29" s="98">
        <v>2900</v>
      </c>
      <c r="L29" s="98">
        <v>3140</v>
      </c>
      <c r="N29" s="97">
        <v>40</v>
      </c>
      <c r="O29" s="98">
        <v>2770</v>
      </c>
      <c r="P29" s="98">
        <v>3010</v>
      </c>
      <c r="R29" s="97">
        <v>40</v>
      </c>
      <c r="S29" s="98">
        <v>2640</v>
      </c>
      <c r="T29" s="98">
        <v>2890</v>
      </c>
      <c r="V29" s="15">
        <v>40</v>
      </c>
      <c r="Z29" s="15">
        <v>40</v>
      </c>
    </row>
    <row r="30" spans="2:26" x14ac:dyDescent="0.25">
      <c r="B30" s="97">
        <v>41</v>
      </c>
      <c r="C30" s="98"/>
      <c r="D30" s="98"/>
      <c r="E30" s="74"/>
      <c r="F30" s="97">
        <v>41</v>
      </c>
      <c r="G30" s="98">
        <v>3080</v>
      </c>
      <c r="H30" s="98">
        <v>3330</v>
      </c>
      <c r="J30" s="97">
        <v>41</v>
      </c>
      <c r="K30" s="98">
        <v>2950</v>
      </c>
      <c r="L30" s="98">
        <v>3200</v>
      </c>
      <c r="N30" s="97">
        <v>41</v>
      </c>
      <c r="O30" s="98">
        <v>2820</v>
      </c>
      <c r="P30" s="98">
        <v>3060</v>
      </c>
      <c r="R30" s="97">
        <v>41</v>
      </c>
      <c r="S30" s="98">
        <v>2690</v>
      </c>
      <c r="T30" s="98">
        <v>2940</v>
      </c>
      <c r="V30" s="15">
        <v>41</v>
      </c>
      <c r="Z30" s="15">
        <v>41</v>
      </c>
    </row>
    <row r="31" spans="2:26" x14ac:dyDescent="0.25">
      <c r="B31" s="97">
        <v>42</v>
      </c>
      <c r="C31" s="98"/>
      <c r="D31" s="98"/>
      <c r="E31" s="74"/>
      <c r="F31" s="97">
        <v>42</v>
      </c>
      <c r="G31" s="98">
        <v>3140</v>
      </c>
      <c r="H31" s="98">
        <v>3390</v>
      </c>
      <c r="J31" s="97">
        <v>42</v>
      </c>
      <c r="K31" s="98">
        <v>3000</v>
      </c>
      <c r="L31" s="98">
        <v>3250</v>
      </c>
      <c r="N31" s="97">
        <v>42</v>
      </c>
      <c r="O31" s="98">
        <v>2860</v>
      </c>
      <c r="P31" s="98">
        <v>3120</v>
      </c>
      <c r="R31" s="97">
        <v>42</v>
      </c>
      <c r="S31" s="98">
        <v>2730</v>
      </c>
      <c r="T31" s="98">
        <v>2990</v>
      </c>
      <c r="V31" s="15">
        <v>42</v>
      </c>
      <c r="Z31" s="15">
        <v>42</v>
      </c>
    </row>
    <row r="32" spans="2:26" x14ac:dyDescent="0.25">
      <c r="B32" s="97">
        <v>43</v>
      </c>
      <c r="C32" s="98"/>
      <c r="D32" s="98"/>
      <c r="E32" s="74"/>
      <c r="F32" s="97">
        <v>43</v>
      </c>
      <c r="G32" s="98">
        <v>3190</v>
      </c>
      <c r="H32" s="98">
        <v>3450</v>
      </c>
      <c r="J32" s="97">
        <v>43</v>
      </c>
      <c r="K32" s="98">
        <v>3050</v>
      </c>
      <c r="L32" s="98">
        <v>3310</v>
      </c>
      <c r="N32" s="97">
        <v>43</v>
      </c>
      <c r="O32" s="98">
        <v>2910</v>
      </c>
      <c r="P32" s="98">
        <v>3170</v>
      </c>
      <c r="R32" s="97">
        <v>43</v>
      </c>
      <c r="S32" s="98">
        <v>2780</v>
      </c>
      <c r="T32" s="98">
        <v>3040</v>
      </c>
      <c r="V32" s="15">
        <v>43</v>
      </c>
      <c r="Z32" s="15">
        <v>43</v>
      </c>
    </row>
    <row r="33" spans="2:26" x14ac:dyDescent="0.25">
      <c r="B33" s="97">
        <v>44</v>
      </c>
      <c r="C33" s="98"/>
      <c r="D33" s="98"/>
      <c r="E33" s="74"/>
      <c r="F33" s="97">
        <v>44</v>
      </c>
      <c r="G33" s="98">
        <v>3250</v>
      </c>
      <c r="H33" s="98">
        <v>3510</v>
      </c>
      <c r="J33" s="97">
        <v>44</v>
      </c>
      <c r="K33" s="98">
        <v>3110</v>
      </c>
      <c r="L33" s="98">
        <v>3360</v>
      </c>
      <c r="N33" s="97">
        <v>44</v>
      </c>
      <c r="O33" s="98">
        <v>2970</v>
      </c>
      <c r="P33" s="98">
        <v>3220</v>
      </c>
      <c r="R33" s="97">
        <v>44</v>
      </c>
      <c r="S33" s="98">
        <v>2830</v>
      </c>
      <c r="T33" s="98">
        <v>3090</v>
      </c>
      <c r="V33" s="15">
        <v>44</v>
      </c>
      <c r="Z33" s="15">
        <v>44</v>
      </c>
    </row>
    <row r="34" spans="2:26" x14ac:dyDescent="0.25">
      <c r="B34" s="97">
        <v>45</v>
      </c>
      <c r="C34" s="98"/>
      <c r="D34" s="98"/>
      <c r="E34" s="74"/>
      <c r="F34" s="97">
        <v>45</v>
      </c>
      <c r="G34" s="98">
        <v>3310</v>
      </c>
      <c r="H34" s="98">
        <v>3570</v>
      </c>
      <c r="J34" s="97">
        <v>45</v>
      </c>
      <c r="K34" s="98">
        <v>3160</v>
      </c>
      <c r="L34" s="98">
        <v>3420</v>
      </c>
      <c r="N34" s="97">
        <v>45</v>
      </c>
      <c r="O34" s="98">
        <v>3020</v>
      </c>
      <c r="P34" s="98">
        <v>3280</v>
      </c>
      <c r="R34" s="97">
        <v>45</v>
      </c>
      <c r="S34" s="98">
        <v>2880</v>
      </c>
      <c r="T34" s="98">
        <v>3140</v>
      </c>
      <c r="V34" s="15">
        <v>45</v>
      </c>
      <c r="Z34" s="15">
        <v>45</v>
      </c>
    </row>
    <row r="35" spans="2:26" x14ac:dyDescent="0.25">
      <c r="B35" s="97">
        <v>46</v>
      </c>
      <c r="C35" s="98"/>
      <c r="D35" s="98"/>
      <c r="E35" s="74"/>
      <c r="F35" s="97">
        <v>46</v>
      </c>
      <c r="G35" s="98">
        <v>3370</v>
      </c>
      <c r="H35" s="98">
        <v>3630</v>
      </c>
      <c r="J35" s="97">
        <v>46</v>
      </c>
      <c r="K35" s="98">
        <v>3220</v>
      </c>
      <c r="L35" s="98">
        <v>3480</v>
      </c>
      <c r="N35" s="97">
        <v>46</v>
      </c>
      <c r="O35" s="98">
        <v>3070</v>
      </c>
      <c r="P35" s="98">
        <v>3330</v>
      </c>
      <c r="R35" s="97">
        <v>46</v>
      </c>
      <c r="S35" s="98">
        <v>2930</v>
      </c>
      <c r="T35" s="98">
        <v>3190</v>
      </c>
      <c r="V35" s="15">
        <v>46</v>
      </c>
      <c r="Z35" s="15">
        <v>46</v>
      </c>
    </row>
    <row r="36" spans="2:26" x14ac:dyDescent="0.25">
      <c r="B36" s="97">
        <v>47</v>
      </c>
      <c r="C36" s="98"/>
      <c r="D36" s="98"/>
      <c r="E36" s="74"/>
      <c r="F36" s="97">
        <v>47</v>
      </c>
      <c r="G36" s="98">
        <v>3420</v>
      </c>
      <c r="H36" s="98">
        <v>3690</v>
      </c>
      <c r="J36" s="97">
        <v>47</v>
      </c>
      <c r="K36" s="98">
        <v>3270</v>
      </c>
      <c r="L36" s="98">
        <v>3540</v>
      </c>
      <c r="N36" s="97">
        <v>47</v>
      </c>
      <c r="O36" s="98">
        <v>3120</v>
      </c>
      <c r="P36" s="98">
        <v>3390</v>
      </c>
      <c r="R36" s="97">
        <v>47</v>
      </c>
      <c r="S36" s="98">
        <v>2980</v>
      </c>
      <c r="T36" s="98">
        <v>3250</v>
      </c>
      <c r="V36" s="15">
        <v>47</v>
      </c>
      <c r="Z36" s="15">
        <v>47</v>
      </c>
    </row>
    <row r="37" spans="2:26" x14ac:dyDescent="0.25">
      <c r="B37" s="97">
        <v>48</v>
      </c>
      <c r="C37" s="98"/>
      <c r="D37" s="98"/>
      <c r="E37" s="74"/>
      <c r="F37" s="97">
        <v>48</v>
      </c>
      <c r="G37" s="98">
        <v>3480</v>
      </c>
      <c r="H37" s="98">
        <v>3760</v>
      </c>
      <c r="J37" s="97">
        <v>48</v>
      </c>
      <c r="K37" s="98">
        <v>3330</v>
      </c>
      <c r="L37" s="98">
        <v>3600</v>
      </c>
      <c r="N37" s="97">
        <v>48</v>
      </c>
      <c r="O37" s="98">
        <v>3180</v>
      </c>
      <c r="P37" s="98">
        <v>3450</v>
      </c>
      <c r="R37" s="97">
        <v>48</v>
      </c>
      <c r="S37" s="98">
        <v>3030</v>
      </c>
      <c r="T37" s="98">
        <v>3300</v>
      </c>
      <c r="V37" s="15">
        <v>48</v>
      </c>
      <c r="Z37" s="15">
        <v>48</v>
      </c>
    </row>
    <row r="38" spans="2:26" x14ac:dyDescent="0.25">
      <c r="B38" s="97">
        <v>49</v>
      </c>
      <c r="C38" s="98"/>
      <c r="D38" s="98"/>
      <c r="E38" s="74"/>
      <c r="F38" s="97">
        <v>49</v>
      </c>
      <c r="G38" s="98">
        <v>3540</v>
      </c>
      <c r="H38" s="98">
        <v>3820</v>
      </c>
      <c r="J38" s="97">
        <v>49</v>
      </c>
      <c r="K38" s="98">
        <v>3380</v>
      </c>
      <c r="L38" s="98">
        <v>3660</v>
      </c>
      <c r="N38" s="97">
        <v>49</v>
      </c>
      <c r="O38" s="98">
        <v>3230</v>
      </c>
      <c r="P38" s="98">
        <v>3500</v>
      </c>
      <c r="R38" s="97">
        <v>49</v>
      </c>
      <c r="S38" s="98">
        <v>3080</v>
      </c>
      <c r="T38" s="98">
        <v>3350</v>
      </c>
      <c r="V38" s="15">
        <v>49</v>
      </c>
      <c r="Z38" s="15">
        <v>49</v>
      </c>
    </row>
    <row r="39" spans="2:26" x14ac:dyDescent="0.25">
      <c r="B39" s="97">
        <v>50</v>
      </c>
      <c r="C39" s="98"/>
      <c r="D39" s="98"/>
      <c r="E39" s="74"/>
      <c r="F39" s="97">
        <v>50</v>
      </c>
      <c r="G39" s="98">
        <v>3610</v>
      </c>
      <c r="H39" s="98">
        <v>3890</v>
      </c>
      <c r="J39" s="97">
        <v>50</v>
      </c>
      <c r="K39" s="98">
        <v>3440</v>
      </c>
      <c r="L39" s="98">
        <v>3720</v>
      </c>
      <c r="N39" s="97">
        <v>50</v>
      </c>
      <c r="O39" s="98">
        <v>3280</v>
      </c>
      <c r="P39" s="98">
        <v>3560</v>
      </c>
      <c r="R39" s="97">
        <v>50</v>
      </c>
      <c r="S39" s="98">
        <v>3130</v>
      </c>
      <c r="T39" s="98">
        <v>3410</v>
      </c>
      <c r="V39" s="15">
        <v>50</v>
      </c>
      <c r="Z39" s="15">
        <v>50</v>
      </c>
    </row>
    <row r="40" spans="2:26" x14ac:dyDescent="0.25">
      <c r="B40" s="97">
        <v>51</v>
      </c>
      <c r="C40" s="98"/>
      <c r="D40" s="98"/>
      <c r="E40" s="74"/>
      <c r="F40" s="97">
        <v>51</v>
      </c>
      <c r="G40" s="98">
        <v>3670</v>
      </c>
      <c r="H40" s="98">
        <v>3950</v>
      </c>
      <c r="J40" s="97">
        <v>51</v>
      </c>
      <c r="K40" s="98">
        <v>3500</v>
      </c>
      <c r="L40" s="98">
        <v>3780</v>
      </c>
      <c r="N40" s="97">
        <v>51</v>
      </c>
      <c r="O40" s="98">
        <v>3340</v>
      </c>
      <c r="P40" s="98">
        <v>3620</v>
      </c>
      <c r="R40" s="97">
        <v>51</v>
      </c>
      <c r="S40" s="98">
        <v>3180</v>
      </c>
      <c r="T40" s="98">
        <v>3460</v>
      </c>
      <c r="V40" s="15">
        <v>51</v>
      </c>
      <c r="Z40" s="15">
        <v>51</v>
      </c>
    </row>
    <row r="41" spans="2:26" x14ac:dyDescent="0.25">
      <c r="B41" s="97">
        <v>52</v>
      </c>
      <c r="C41" s="98"/>
      <c r="D41" s="98"/>
      <c r="E41" s="74"/>
      <c r="F41" s="97">
        <v>52</v>
      </c>
      <c r="G41" s="98">
        <v>3730</v>
      </c>
      <c r="H41" s="98">
        <v>4020</v>
      </c>
      <c r="J41" s="97">
        <v>52</v>
      </c>
      <c r="K41" s="98">
        <v>3560</v>
      </c>
      <c r="L41" s="98">
        <v>3840</v>
      </c>
      <c r="N41" s="97">
        <v>52</v>
      </c>
      <c r="O41" s="98">
        <v>3390</v>
      </c>
      <c r="P41" s="98">
        <v>3680</v>
      </c>
      <c r="R41" s="97">
        <v>52</v>
      </c>
      <c r="S41" s="98">
        <v>3230</v>
      </c>
      <c r="T41" s="98">
        <v>3520</v>
      </c>
      <c r="V41" s="15">
        <v>52</v>
      </c>
      <c r="Z41" s="15">
        <v>52</v>
      </c>
    </row>
    <row r="42" spans="2:26" x14ac:dyDescent="0.25">
      <c r="B42" s="97">
        <v>53</v>
      </c>
      <c r="C42" s="98"/>
      <c r="D42" s="98"/>
      <c r="E42" s="74"/>
      <c r="F42" s="97">
        <v>53</v>
      </c>
      <c r="G42" s="98">
        <v>3790</v>
      </c>
      <c r="H42" s="98">
        <v>4080</v>
      </c>
      <c r="J42" s="97">
        <v>53</v>
      </c>
      <c r="K42" s="98">
        <v>3620</v>
      </c>
      <c r="L42" s="98">
        <v>3910</v>
      </c>
      <c r="N42" s="97">
        <v>53</v>
      </c>
      <c r="O42" s="98">
        <v>3450</v>
      </c>
      <c r="P42" s="98">
        <v>3740</v>
      </c>
      <c r="R42" s="97">
        <v>53</v>
      </c>
      <c r="S42" s="98">
        <v>3290</v>
      </c>
      <c r="T42" s="98">
        <v>3570</v>
      </c>
      <c r="V42" s="15">
        <v>53</v>
      </c>
      <c r="Z42" s="15">
        <v>53</v>
      </c>
    </row>
    <row r="43" spans="2:26" x14ac:dyDescent="0.25">
      <c r="B43" s="97">
        <v>54</v>
      </c>
      <c r="C43" s="98"/>
      <c r="D43" s="98"/>
      <c r="E43" s="74"/>
      <c r="F43" s="97">
        <v>54</v>
      </c>
      <c r="G43" s="98">
        <v>3860</v>
      </c>
      <c r="H43" s="98">
        <v>4150</v>
      </c>
      <c r="J43" s="97">
        <v>54</v>
      </c>
      <c r="K43" s="98">
        <v>3680</v>
      </c>
      <c r="L43" s="98">
        <v>3970</v>
      </c>
      <c r="N43" s="97">
        <v>54</v>
      </c>
      <c r="O43" s="98">
        <v>3510</v>
      </c>
      <c r="P43" s="98">
        <v>3800</v>
      </c>
      <c r="R43" s="97">
        <v>54</v>
      </c>
      <c r="S43" s="98">
        <v>3340</v>
      </c>
      <c r="T43" s="98">
        <v>3630</v>
      </c>
      <c r="V43" s="15">
        <v>54</v>
      </c>
      <c r="Z43" s="15">
        <v>54</v>
      </c>
    </row>
    <row r="44" spans="2:26" x14ac:dyDescent="0.25">
      <c r="B44" s="97">
        <v>55</v>
      </c>
      <c r="C44" s="98"/>
      <c r="D44" s="98"/>
      <c r="E44" s="74"/>
      <c r="F44" s="97">
        <v>55</v>
      </c>
      <c r="G44" s="98">
        <v>3930</v>
      </c>
      <c r="H44" s="98">
        <v>4220</v>
      </c>
      <c r="J44" s="97">
        <v>55</v>
      </c>
      <c r="K44" s="98">
        <v>3740</v>
      </c>
      <c r="L44" s="98">
        <v>4040</v>
      </c>
      <c r="N44" s="97">
        <v>55</v>
      </c>
      <c r="O44" s="98">
        <v>3560</v>
      </c>
      <c r="P44" s="98">
        <v>3860</v>
      </c>
      <c r="R44" s="97">
        <v>55</v>
      </c>
      <c r="S44" s="98">
        <v>3390</v>
      </c>
      <c r="T44" s="98">
        <v>3690</v>
      </c>
      <c r="V44" s="15">
        <v>55</v>
      </c>
      <c r="Z44" s="15">
        <v>55</v>
      </c>
    </row>
    <row r="45" spans="2:26" x14ac:dyDescent="0.25">
      <c r="B45" s="97">
        <v>56</v>
      </c>
      <c r="C45" s="98"/>
      <c r="D45" s="98"/>
      <c r="E45" s="74"/>
      <c r="F45" s="97">
        <v>56</v>
      </c>
      <c r="G45" s="98">
        <v>3990</v>
      </c>
      <c r="H45" s="98">
        <v>4290</v>
      </c>
      <c r="J45" s="97">
        <v>56</v>
      </c>
      <c r="K45" s="98">
        <v>3810</v>
      </c>
      <c r="L45" s="98">
        <v>4100</v>
      </c>
      <c r="N45" s="97">
        <v>56</v>
      </c>
      <c r="O45" s="98">
        <v>3620</v>
      </c>
      <c r="P45" s="98">
        <v>3920</v>
      </c>
      <c r="R45" s="97">
        <v>56</v>
      </c>
      <c r="S45" s="98">
        <v>3450</v>
      </c>
      <c r="T45" s="98">
        <v>3740</v>
      </c>
      <c r="V45" s="15">
        <v>56</v>
      </c>
      <c r="Z45" s="15">
        <v>56</v>
      </c>
    </row>
    <row r="46" spans="2:26" x14ac:dyDescent="0.25">
      <c r="B46" s="97">
        <v>57</v>
      </c>
      <c r="C46" s="98"/>
      <c r="D46" s="98"/>
      <c r="E46" s="74"/>
      <c r="F46" s="97">
        <v>57</v>
      </c>
      <c r="G46" s="98">
        <v>4070</v>
      </c>
      <c r="H46" s="98">
        <v>4360</v>
      </c>
      <c r="J46" s="97">
        <v>57</v>
      </c>
      <c r="K46" s="98">
        <v>3870</v>
      </c>
      <c r="L46" s="98">
        <v>4170</v>
      </c>
      <c r="N46" s="97">
        <v>57</v>
      </c>
      <c r="O46" s="98">
        <v>3690</v>
      </c>
      <c r="P46" s="98">
        <v>3980</v>
      </c>
      <c r="R46" s="97">
        <v>57</v>
      </c>
      <c r="S46" s="98">
        <v>3510</v>
      </c>
      <c r="T46" s="98">
        <v>3800</v>
      </c>
      <c r="V46" s="15">
        <v>57</v>
      </c>
      <c r="Z46" s="15">
        <v>57</v>
      </c>
    </row>
    <row r="47" spans="2:26" x14ac:dyDescent="0.25">
      <c r="B47" s="97">
        <v>58</v>
      </c>
      <c r="C47" s="98"/>
      <c r="D47" s="98"/>
      <c r="E47" s="74"/>
      <c r="F47" s="97">
        <v>58</v>
      </c>
      <c r="G47" s="98">
        <v>4140</v>
      </c>
      <c r="H47" s="98">
        <v>4440</v>
      </c>
      <c r="J47" s="97">
        <v>58</v>
      </c>
      <c r="K47" s="98">
        <v>3940</v>
      </c>
      <c r="L47" s="98">
        <v>4240</v>
      </c>
      <c r="N47" s="97">
        <v>58</v>
      </c>
      <c r="O47" s="98">
        <v>3750</v>
      </c>
      <c r="P47" s="98">
        <v>4050</v>
      </c>
      <c r="R47" s="97">
        <v>58</v>
      </c>
      <c r="S47" s="98">
        <v>3560</v>
      </c>
      <c r="T47" s="98">
        <v>3860</v>
      </c>
      <c r="V47" s="15">
        <v>58</v>
      </c>
      <c r="Z47" s="15">
        <v>58</v>
      </c>
    </row>
    <row r="48" spans="2:26" x14ac:dyDescent="0.25">
      <c r="B48" s="99">
        <v>59</v>
      </c>
      <c r="C48" s="100"/>
      <c r="D48" s="100"/>
      <c r="E48" s="74"/>
      <c r="F48" s="97">
        <v>59</v>
      </c>
      <c r="G48" s="98">
        <v>4210</v>
      </c>
      <c r="H48" s="98">
        <v>4520</v>
      </c>
      <c r="J48" s="97">
        <v>59</v>
      </c>
      <c r="K48" s="98">
        <v>4010</v>
      </c>
      <c r="L48" s="98">
        <v>4310</v>
      </c>
      <c r="N48" s="97">
        <v>59</v>
      </c>
      <c r="O48" s="98">
        <v>3810</v>
      </c>
      <c r="P48" s="98">
        <v>4120</v>
      </c>
      <c r="R48" s="97">
        <v>59</v>
      </c>
      <c r="S48" s="98">
        <v>3620</v>
      </c>
      <c r="T48" s="98">
        <v>3920</v>
      </c>
      <c r="V48" s="15">
        <v>59</v>
      </c>
      <c r="Z48" s="15">
        <v>59</v>
      </c>
    </row>
    <row r="49" spans="2:26" x14ac:dyDescent="0.25">
      <c r="B49" s="77"/>
      <c r="C49" s="80"/>
      <c r="D49" s="80"/>
      <c r="E49" s="74"/>
      <c r="F49" s="97">
        <v>60</v>
      </c>
      <c r="G49" s="98">
        <v>4290</v>
      </c>
      <c r="H49" s="98">
        <v>4590</v>
      </c>
      <c r="J49" s="97">
        <v>60</v>
      </c>
      <c r="K49" s="98">
        <v>4080</v>
      </c>
      <c r="L49" s="98">
        <v>4390</v>
      </c>
      <c r="N49" s="97">
        <v>60</v>
      </c>
      <c r="O49" s="98">
        <v>3880</v>
      </c>
      <c r="P49" s="98">
        <v>4180</v>
      </c>
      <c r="R49" s="97">
        <v>60</v>
      </c>
      <c r="S49" s="98">
        <v>3690</v>
      </c>
      <c r="T49" s="98">
        <v>3990</v>
      </c>
      <c r="Z49" s="15">
        <v>60</v>
      </c>
    </row>
    <row r="50" spans="2:26" x14ac:dyDescent="0.25">
      <c r="B50" s="77"/>
      <c r="C50" s="80"/>
      <c r="D50" s="80"/>
      <c r="E50" s="74"/>
      <c r="F50" s="97">
        <v>61</v>
      </c>
      <c r="G50" s="98">
        <v>4370</v>
      </c>
      <c r="H50" s="98">
        <v>4680</v>
      </c>
      <c r="J50" s="97">
        <v>61</v>
      </c>
      <c r="K50" s="98">
        <v>4160</v>
      </c>
      <c r="L50" s="98">
        <v>4460</v>
      </c>
      <c r="N50" s="97">
        <v>61</v>
      </c>
      <c r="O50" s="98">
        <v>3950</v>
      </c>
      <c r="P50" s="98">
        <v>4260</v>
      </c>
      <c r="R50" s="97">
        <v>61</v>
      </c>
      <c r="S50" s="98">
        <v>3750</v>
      </c>
      <c r="T50" s="98">
        <v>4050</v>
      </c>
      <c r="Z50" s="15">
        <v>61</v>
      </c>
    </row>
    <row r="51" spans="2:26" x14ac:dyDescent="0.25">
      <c r="B51" s="77"/>
      <c r="C51" s="80"/>
      <c r="D51" s="80"/>
      <c r="E51" s="74"/>
      <c r="F51" s="97">
        <v>62</v>
      </c>
      <c r="G51" s="98">
        <v>4460</v>
      </c>
      <c r="H51" s="98">
        <v>4760</v>
      </c>
      <c r="J51" s="97">
        <v>62</v>
      </c>
      <c r="K51" s="98">
        <v>4230</v>
      </c>
      <c r="L51" s="98">
        <v>4540</v>
      </c>
      <c r="N51" s="97">
        <v>62</v>
      </c>
      <c r="O51" s="98">
        <v>4020</v>
      </c>
      <c r="P51" s="98">
        <v>4330</v>
      </c>
      <c r="R51" s="97">
        <v>62</v>
      </c>
      <c r="S51" s="98">
        <v>3820</v>
      </c>
      <c r="T51" s="98">
        <v>4120</v>
      </c>
      <c r="Z51" s="15">
        <v>62</v>
      </c>
    </row>
    <row r="52" spans="2:26" x14ac:dyDescent="0.25">
      <c r="B52" s="77"/>
      <c r="C52" s="80"/>
      <c r="D52" s="80"/>
      <c r="E52" s="74"/>
      <c r="F52" s="97">
        <v>63</v>
      </c>
      <c r="G52" s="98">
        <v>4540</v>
      </c>
      <c r="H52" s="98">
        <v>4850</v>
      </c>
      <c r="J52" s="97">
        <v>63</v>
      </c>
      <c r="K52" s="98">
        <v>4320</v>
      </c>
      <c r="L52" s="98">
        <v>4630</v>
      </c>
      <c r="N52" s="97">
        <v>63</v>
      </c>
      <c r="O52" s="98">
        <v>4100</v>
      </c>
      <c r="P52" s="98">
        <v>4410</v>
      </c>
      <c r="R52" s="97">
        <v>63</v>
      </c>
      <c r="S52" s="98">
        <v>3890</v>
      </c>
      <c r="T52" s="98">
        <v>4190</v>
      </c>
      <c r="Z52" s="15">
        <v>63</v>
      </c>
    </row>
    <row r="53" spans="2:26" x14ac:dyDescent="0.25">
      <c r="B53" s="75"/>
      <c r="C53" s="73"/>
      <c r="D53" s="73"/>
      <c r="E53" s="74"/>
      <c r="F53" s="99">
        <v>64</v>
      </c>
      <c r="G53" s="100">
        <v>4630</v>
      </c>
      <c r="H53" s="100">
        <v>4950</v>
      </c>
      <c r="J53" s="97">
        <v>64</v>
      </c>
      <c r="K53" s="98">
        <v>4400</v>
      </c>
      <c r="L53" s="98">
        <v>4710</v>
      </c>
      <c r="N53" s="97">
        <v>64</v>
      </c>
      <c r="O53" s="98">
        <v>4180</v>
      </c>
      <c r="P53" s="98">
        <v>4490</v>
      </c>
      <c r="R53" s="97">
        <v>64</v>
      </c>
      <c r="S53" s="98">
        <v>3960</v>
      </c>
      <c r="T53" s="98">
        <v>4270</v>
      </c>
      <c r="Z53" s="15">
        <v>64</v>
      </c>
    </row>
    <row r="54" spans="2:26" x14ac:dyDescent="0.25">
      <c r="B54" s="75"/>
      <c r="C54" s="73"/>
      <c r="D54" s="73"/>
      <c r="E54" s="74"/>
      <c r="F54" s="75"/>
      <c r="G54" s="73"/>
      <c r="H54" s="73"/>
      <c r="J54" s="99">
        <v>65</v>
      </c>
      <c r="K54" s="100">
        <v>4490</v>
      </c>
      <c r="L54" s="100">
        <v>4800</v>
      </c>
      <c r="N54" s="99">
        <v>65</v>
      </c>
      <c r="O54" s="100">
        <v>4260</v>
      </c>
      <c r="P54" s="100">
        <v>4570</v>
      </c>
      <c r="R54" s="99">
        <v>65</v>
      </c>
      <c r="S54" s="100">
        <v>4030</v>
      </c>
      <c r="T54" s="100">
        <v>4340</v>
      </c>
      <c r="Z54" s="15" t="s">
        <v>141</v>
      </c>
    </row>
    <row r="55" spans="2:26" x14ac:dyDescent="0.25">
      <c r="B55" s="75"/>
      <c r="C55" s="73"/>
      <c r="D55" s="73"/>
      <c r="E55" s="74"/>
      <c r="F55" s="75"/>
      <c r="G55" s="73"/>
      <c r="H55" s="73"/>
      <c r="J55" s="75"/>
      <c r="K55" s="73"/>
      <c r="L55" s="73"/>
      <c r="N55" s="75">
        <v>66</v>
      </c>
      <c r="O55" s="73">
        <v>4340</v>
      </c>
      <c r="P55" s="73">
        <v>4660</v>
      </c>
      <c r="R55" s="75">
        <v>66</v>
      </c>
      <c r="S55" s="73">
        <v>4110</v>
      </c>
      <c r="T55" s="73">
        <v>4430</v>
      </c>
    </row>
    <row r="56" spans="2:26" x14ac:dyDescent="0.25">
      <c r="B56" s="75"/>
      <c r="C56" s="73"/>
      <c r="D56" s="73"/>
      <c r="E56" s="74"/>
      <c r="F56" s="75"/>
      <c r="G56" s="73"/>
      <c r="H56" s="73"/>
      <c r="J56" s="75"/>
      <c r="K56" s="73"/>
      <c r="L56" s="73"/>
      <c r="N56" s="75"/>
      <c r="O56" s="73"/>
      <c r="P56" s="73"/>
      <c r="R56" s="75">
        <v>67</v>
      </c>
      <c r="S56" s="73">
        <v>4200</v>
      </c>
      <c r="T56" s="73">
        <v>4510</v>
      </c>
    </row>
    <row r="57" spans="2:26" x14ac:dyDescent="0.25">
      <c r="B57" s="75"/>
      <c r="C57" s="73"/>
      <c r="D57" s="73"/>
      <c r="E57" s="74"/>
      <c r="F57" s="75"/>
      <c r="G57" s="73"/>
      <c r="H57" s="73"/>
      <c r="J57" s="75"/>
      <c r="K57" s="73"/>
      <c r="L57" s="73"/>
      <c r="N57" s="75"/>
      <c r="O57" s="73"/>
      <c r="P57" s="73"/>
      <c r="R57" s="75"/>
      <c r="S57" s="73"/>
      <c r="T57" s="73"/>
    </row>
    <row r="58" spans="2:26" x14ac:dyDescent="0.25">
      <c r="B58" s="75"/>
      <c r="C58" s="74"/>
      <c r="D58" s="74"/>
      <c r="E58" s="74"/>
      <c r="F58" s="75"/>
      <c r="G58" s="74"/>
      <c r="H58" s="74"/>
      <c r="J58" s="75"/>
      <c r="K58" s="74"/>
      <c r="L58" s="74"/>
      <c r="N58" s="75"/>
      <c r="O58" s="74"/>
      <c r="P58" s="74"/>
      <c r="R58" s="75"/>
      <c r="S58" s="74"/>
      <c r="T58" s="74"/>
    </row>
    <row r="60" spans="2:26" x14ac:dyDescent="0.25">
      <c r="B60" s="72"/>
      <c r="F60" s="72"/>
      <c r="J60" s="72"/>
      <c r="N60" s="72"/>
      <c r="R60" s="72"/>
    </row>
    <row r="61" spans="2:26" x14ac:dyDescent="0.25">
      <c r="B61" s="76"/>
      <c r="F61" s="76"/>
      <c r="J61" s="76"/>
      <c r="N61" s="76"/>
      <c r="R61" s="76"/>
    </row>
  </sheetData>
  <mergeCells count="10">
    <mergeCell ref="N5:P5"/>
    <mergeCell ref="O8:P8"/>
    <mergeCell ref="R5:T5"/>
    <mergeCell ref="S8:T8"/>
    <mergeCell ref="K8:L8"/>
    <mergeCell ref="C8:D8"/>
    <mergeCell ref="G8:H8"/>
    <mergeCell ref="B5:D5"/>
    <mergeCell ref="F5:H5"/>
    <mergeCell ref="J5:L5"/>
  </mergeCells>
  <conditionalFormatting sqref="J1:J2">
    <cfRule type="expression" dxfId="22" priority="1" stopIfTrue="1">
      <formula>MOD(ROW(),2)=0</formula>
    </cfRule>
    <cfRule type="expression" dxfId="21" priority="2" stopIfTrue="1">
      <formula>MOD(ROW(),2)&lt;&gt;0</formula>
    </cfRule>
  </conditionalFormatting>
  <conditionalFormatting sqref="K1">
    <cfRule type="expression" dxfId="20" priority="3" stopIfTrue="1">
      <formula>MOD(ROW(),2)=0</formula>
    </cfRule>
    <cfRule type="expression" dxfId="19" priority="4" stopIfTrue="1">
      <formula>MOD(ROW(),2)&lt;&gt;0</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AQ55"/>
  <sheetViews>
    <sheetView workbookViewId="0">
      <selection activeCell="U1" sqref="U1:V2"/>
    </sheetView>
  </sheetViews>
  <sheetFormatPr defaultColWidth="9.140625" defaultRowHeight="15" x14ac:dyDescent="0.25"/>
  <cols>
    <col min="1" max="1" width="14.28515625" style="15" customWidth="1"/>
    <col min="2" max="21" width="9.140625" style="15"/>
    <col min="22" max="22" width="14.140625" style="15" bestFit="1" customWidth="1"/>
    <col min="23" max="23" width="14.28515625" style="15" customWidth="1"/>
    <col min="24" max="16384" width="9.140625" style="15"/>
  </cols>
  <sheetData>
    <row r="1" spans="1:43" ht="51.75" x14ac:dyDescent="0.25">
      <c r="U1" s="112" t="s">
        <v>140</v>
      </c>
      <c r="V1" s="113">
        <v>46204</v>
      </c>
    </row>
    <row r="2" spans="1:43" ht="39" x14ac:dyDescent="0.25">
      <c r="A2" s="16" t="s">
        <v>74</v>
      </c>
      <c r="U2" s="112" t="s">
        <v>142</v>
      </c>
      <c r="V2" t="s">
        <v>143</v>
      </c>
      <c r="W2" s="16" t="s">
        <v>74</v>
      </c>
    </row>
    <row r="3" spans="1:43" ht="21" x14ac:dyDescent="0.35">
      <c r="A3" s="16" t="s">
        <v>75</v>
      </c>
      <c r="L3" s="111" t="s">
        <v>125</v>
      </c>
      <c r="W3" s="16" t="s">
        <v>76</v>
      </c>
      <c r="AD3" s="111" t="s">
        <v>124</v>
      </c>
    </row>
    <row r="4" spans="1:43" ht="15.75" thickBot="1" x14ac:dyDescent="0.3"/>
    <row r="5" spans="1:43" ht="51" customHeight="1" thickBot="1" x14ac:dyDescent="0.3">
      <c r="A5" s="18" t="s">
        <v>63</v>
      </c>
      <c r="B5" s="222" t="s">
        <v>41</v>
      </c>
      <c r="C5" s="222"/>
      <c r="D5" s="222"/>
      <c r="E5" s="222"/>
      <c r="F5" s="222"/>
      <c r="G5" s="222"/>
      <c r="H5" s="222"/>
      <c r="I5" s="222"/>
      <c r="J5" s="222"/>
      <c r="K5" s="222"/>
      <c r="L5" s="222"/>
      <c r="M5" s="222"/>
      <c r="N5" s="222"/>
      <c r="O5" s="222"/>
      <c r="P5" s="222"/>
      <c r="Q5" s="222"/>
      <c r="R5" s="222"/>
      <c r="S5" s="222"/>
      <c r="T5" s="222"/>
      <c r="U5" s="222"/>
      <c r="W5" s="18" t="s">
        <v>63</v>
      </c>
      <c r="X5" s="222" t="s">
        <v>41</v>
      </c>
      <c r="Y5" s="222"/>
      <c r="Z5" s="222"/>
      <c r="AA5" s="222"/>
      <c r="AB5" s="222"/>
      <c r="AC5" s="222"/>
      <c r="AD5" s="222"/>
      <c r="AE5" s="222"/>
      <c r="AF5" s="222"/>
      <c r="AG5" s="222"/>
      <c r="AH5" s="222"/>
      <c r="AI5" s="222"/>
      <c r="AJ5" s="222"/>
      <c r="AK5" s="222"/>
      <c r="AL5" s="222"/>
      <c r="AM5" s="222"/>
      <c r="AN5" s="222"/>
      <c r="AO5" s="222"/>
      <c r="AP5" s="222"/>
      <c r="AQ5" s="222"/>
    </row>
    <row r="6" spans="1:43" ht="39" customHeight="1" thickBot="1" x14ac:dyDescent="0.3">
      <c r="A6" s="70" t="s">
        <v>64</v>
      </c>
      <c r="B6" s="19">
        <v>1</v>
      </c>
      <c r="C6" s="19">
        <v>2</v>
      </c>
      <c r="D6" s="19">
        <v>3</v>
      </c>
      <c r="E6" s="19">
        <v>4</v>
      </c>
      <c r="F6" s="19">
        <v>5</v>
      </c>
      <c r="G6" s="19">
        <v>6</v>
      </c>
      <c r="H6" s="19">
        <v>7</v>
      </c>
      <c r="I6" s="19">
        <v>8</v>
      </c>
      <c r="J6" s="19">
        <v>9</v>
      </c>
      <c r="K6" s="19">
        <v>10</v>
      </c>
      <c r="L6" s="19">
        <v>11</v>
      </c>
      <c r="M6" s="19">
        <v>12</v>
      </c>
      <c r="N6" s="19">
        <v>13</v>
      </c>
      <c r="O6" s="19">
        <v>14</v>
      </c>
      <c r="P6" s="19">
        <v>15</v>
      </c>
      <c r="Q6" s="19">
        <v>16</v>
      </c>
      <c r="R6" s="19">
        <v>17</v>
      </c>
      <c r="S6" s="19">
        <v>18</v>
      </c>
      <c r="T6" s="19">
        <v>19</v>
      </c>
      <c r="U6" s="19">
        <v>20</v>
      </c>
      <c r="W6" s="70" t="s">
        <v>64</v>
      </c>
      <c r="X6" s="19">
        <v>1</v>
      </c>
      <c r="Y6" s="19">
        <v>2</v>
      </c>
      <c r="Z6" s="19">
        <v>3</v>
      </c>
      <c r="AA6" s="19">
        <v>4</v>
      </c>
      <c r="AB6" s="19">
        <v>5</v>
      </c>
      <c r="AC6" s="19">
        <v>6</v>
      </c>
      <c r="AD6" s="19">
        <v>7</v>
      </c>
      <c r="AE6" s="19">
        <v>8</v>
      </c>
      <c r="AF6" s="19">
        <v>9</v>
      </c>
      <c r="AG6" s="19">
        <v>10</v>
      </c>
      <c r="AH6" s="19">
        <v>11</v>
      </c>
      <c r="AI6" s="19">
        <v>12</v>
      </c>
      <c r="AJ6" s="19">
        <v>13</v>
      </c>
      <c r="AK6" s="19">
        <v>14</v>
      </c>
      <c r="AL6" s="19">
        <v>15</v>
      </c>
      <c r="AM6" s="19">
        <v>16</v>
      </c>
      <c r="AN6" s="19">
        <v>17</v>
      </c>
      <c r="AO6" s="19">
        <v>18</v>
      </c>
      <c r="AP6" s="19">
        <v>19</v>
      </c>
      <c r="AQ6" s="19">
        <v>20</v>
      </c>
    </row>
    <row r="7" spans="1:43" x14ac:dyDescent="0.25">
      <c r="A7" s="17">
        <v>16</v>
      </c>
      <c r="B7" s="20"/>
      <c r="C7" s="20"/>
      <c r="D7" s="20"/>
      <c r="E7" s="20"/>
      <c r="F7" s="20"/>
      <c r="G7" s="20"/>
      <c r="H7" s="20"/>
      <c r="I7" s="20"/>
      <c r="J7" s="20"/>
      <c r="K7" s="20"/>
      <c r="L7" s="20"/>
      <c r="M7" s="20"/>
      <c r="N7" s="20"/>
      <c r="O7" s="20"/>
      <c r="P7" s="20"/>
      <c r="Q7" s="20"/>
      <c r="R7" s="20"/>
      <c r="S7" s="20"/>
      <c r="T7" s="20"/>
      <c r="U7" s="20"/>
      <c r="W7" s="17">
        <v>16</v>
      </c>
      <c r="X7" s="20"/>
      <c r="Y7" s="20"/>
      <c r="Z7" s="20"/>
      <c r="AA7" s="20"/>
      <c r="AB7" s="20"/>
      <c r="AC7" s="20"/>
      <c r="AD7" s="20"/>
      <c r="AE7" s="20"/>
      <c r="AF7" s="20"/>
      <c r="AG7" s="20"/>
      <c r="AH7" s="20"/>
      <c r="AI7" s="20"/>
      <c r="AJ7" s="20"/>
      <c r="AK7" s="20"/>
      <c r="AL7" s="20"/>
      <c r="AM7" s="20"/>
      <c r="AN7" s="20"/>
      <c r="AO7" s="20"/>
      <c r="AP7" s="20"/>
      <c r="AQ7" s="20"/>
    </row>
    <row r="8" spans="1:43" x14ac:dyDescent="0.25">
      <c r="A8" s="17">
        <v>17</v>
      </c>
      <c r="B8" s="20"/>
      <c r="C8" s="20"/>
      <c r="D8" s="20"/>
      <c r="E8" s="20"/>
      <c r="F8" s="20"/>
      <c r="G8" s="20"/>
      <c r="H8" s="20"/>
      <c r="I8" s="20"/>
      <c r="J8" s="20"/>
      <c r="K8" s="20"/>
      <c r="L8" s="20"/>
      <c r="M8" s="20"/>
      <c r="N8" s="20"/>
      <c r="O8" s="20"/>
      <c r="P8" s="20"/>
      <c r="Q8" s="20"/>
      <c r="R8" s="20"/>
      <c r="S8" s="20"/>
      <c r="T8" s="20"/>
      <c r="U8" s="20"/>
      <c r="W8" s="17">
        <v>17</v>
      </c>
      <c r="X8" s="20"/>
      <c r="Y8" s="20"/>
      <c r="Z8" s="20"/>
      <c r="AA8" s="20"/>
      <c r="AB8" s="20"/>
      <c r="AC8" s="20"/>
      <c r="AD8" s="20"/>
      <c r="AE8" s="20"/>
      <c r="AF8" s="20"/>
      <c r="AG8" s="20"/>
      <c r="AH8" s="20"/>
      <c r="AI8" s="20"/>
      <c r="AJ8" s="20"/>
      <c r="AK8" s="20"/>
      <c r="AL8" s="20"/>
      <c r="AM8" s="20"/>
      <c r="AN8" s="20"/>
      <c r="AO8" s="20"/>
      <c r="AP8" s="20"/>
      <c r="AQ8" s="20"/>
    </row>
    <row r="9" spans="1:43" x14ac:dyDescent="0.25">
      <c r="A9" s="17">
        <v>18</v>
      </c>
      <c r="B9" s="20"/>
      <c r="C9" s="20"/>
      <c r="D9" s="20"/>
      <c r="E9" s="20"/>
      <c r="F9" s="20"/>
      <c r="G9" s="20"/>
      <c r="H9" s="20"/>
      <c r="I9" s="20"/>
      <c r="J9" s="20"/>
      <c r="K9" s="20"/>
      <c r="L9" s="20"/>
      <c r="M9" s="20"/>
      <c r="N9" s="20"/>
      <c r="O9" s="20"/>
      <c r="P9" s="20"/>
      <c r="Q9" s="20"/>
      <c r="R9" s="20"/>
      <c r="S9" s="20"/>
      <c r="T9" s="20"/>
      <c r="U9" s="20"/>
      <c r="W9" s="17">
        <v>18</v>
      </c>
      <c r="X9" s="20"/>
      <c r="Y9" s="20"/>
      <c r="Z9" s="20"/>
      <c r="AA9" s="20"/>
      <c r="AB9" s="20"/>
      <c r="AC9" s="20"/>
      <c r="AD9" s="20"/>
      <c r="AE9" s="20"/>
      <c r="AF9" s="20"/>
      <c r="AG9" s="20"/>
      <c r="AH9" s="20"/>
      <c r="AI9" s="20"/>
      <c r="AJ9" s="20"/>
      <c r="AK9" s="20"/>
      <c r="AL9" s="20"/>
      <c r="AM9" s="20"/>
      <c r="AN9" s="20"/>
      <c r="AO9" s="20"/>
      <c r="AP9" s="20"/>
      <c r="AQ9" s="20"/>
    </row>
    <row r="10" spans="1:43" x14ac:dyDescent="0.25">
      <c r="A10" s="17">
        <v>19</v>
      </c>
      <c r="B10" s="20"/>
      <c r="C10" s="20"/>
      <c r="D10" s="20"/>
      <c r="E10" s="20"/>
      <c r="F10" s="20"/>
      <c r="G10" s="20"/>
      <c r="H10" s="20"/>
      <c r="I10" s="20"/>
      <c r="J10" s="20"/>
      <c r="K10" s="20"/>
      <c r="L10" s="20"/>
      <c r="M10" s="20"/>
      <c r="N10" s="20"/>
      <c r="O10" s="20"/>
      <c r="P10" s="20"/>
      <c r="Q10" s="20"/>
      <c r="R10" s="20"/>
      <c r="S10" s="20"/>
      <c r="T10" s="20"/>
      <c r="U10" s="20"/>
      <c r="W10" s="17">
        <v>19</v>
      </c>
      <c r="X10" s="20"/>
      <c r="Y10" s="20"/>
      <c r="Z10" s="20"/>
      <c r="AA10" s="20"/>
      <c r="AB10" s="20"/>
      <c r="AC10" s="20"/>
      <c r="AD10" s="20"/>
      <c r="AE10" s="20"/>
      <c r="AF10" s="20"/>
      <c r="AG10" s="20"/>
      <c r="AH10" s="20"/>
      <c r="AI10" s="20"/>
      <c r="AJ10" s="20"/>
      <c r="AK10" s="20"/>
      <c r="AL10" s="20"/>
      <c r="AM10" s="20"/>
      <c r="AN10" s="20"/>
      <c r="AO10" s="20"/>
      <c r="AP10" s="20"/>
      <c r="AQ10" s="20"/>
    </row>
    <row r="11" spans="1:43" x14ac:dyDescent="0.25">
      <c r="A11" s="17">
        <v>20</v>
      </c>
      <c r="B11" s="103">
        <v>216.5</v>
      </c>
      <c r="C11" s="103">
        <v>110.4</v>
      </c>
      <c r="D11" s="103">
        <v>75</v>
      </c>
      <c r="E11" s="103">
        <v>57.4</v>
      </c>
      <c r="F11" s="103">
        <v>46.8</v>
      </c>
      <c r="G11" s="103">
        <v>39.799999999999997</v>
      </c>
      <c r="H11" s="103">
        <v>34.700000000000003</v>
      </c>
      <c r="I11" s="103">
        <v>31</v>
      </c>
      <c r="J11" s="103">
        <v>28.1</v>
      </c>
      <c r="K11" s="103">
        <v>25.7</v>
      </c>
      <c r="L11" s="103">
        <v>23.8</v>
      </c>
      <c r="M11" s="103">
        <v>22.2</v>
      </c>
      <c r="N11" s="103">
        <v>20.9</v>
      </c>
      <c r="O11" s="103">
        <v>19.8</v>
      </c>
      <c r="P11" s="103">
        <v>18.8</v>
      </c>
      <c r="Q11" s="103">
        <v>17.899999999999999</v>
      </c>
      <c r="R11" s="103">
        <v>17.2</v>
      </c>
      <c r="S11" s="103">
        <v>16.5</v>
      </c>
      <c r="T11" s="103">
        <v>15.9</v>
      </c>
      <c r="U11" s="103">
        <v>15.4</v>
      </c>
      <c r="W11" s="17">
        <v>20</v>
      </c>
      <c r="X11" s="103">
        <v>230.6</v>
      </c>
      <c r="Y11" s="103">
        <v>117.6</v>
      </c>
      <c r="Z11" s="103">
        <v>79.900000000000006</v>
      </c>
      <c r="AA11" s="103">
        <v>61.1</v>
      </c>
      <c r="AB11" s="103">
        <v>49.9</v>
      </c>
      <c r="AC11" s="103">
        <v>42.3</v>
      </c>
      <c r="AD11" s="103">
        <v>37</v>
      </c>
      <c r="AE11" s="103">
        <v>33</v>
      </c>
      <c r="AF11" s="103">
        <v>29.9</v>
      </c>
      <c r="AG11" s="103">
        <v>27.4</v>
      </c>
      <c r="AH11" s="103">
        <v>25.4</v>
      </c>
      <c r="AI11" s="103">
        <v>23.7</v>
      </c>
      <c r="AJ11" s="103">
        <v>22.3</v>
      </c>
      <c r="AK11" s="103">
        <v>21.1</v>
      </c>
      <c r="AL11" s="103">
        <v>20</v>
      </c>
      <c r="AM11" s="103">
        <v>19.100000000000001</v>
      </c>
      <c r="AN11" s="103">
        <v>18.3</v>
      </c>
      <c r="AO11" s="103">
        <v>17.600000000000001</v>
      </c>
      <c r="AP11" s="103">
        <v>17</v>
      </c>
      <c r="AQ11" s="103">
        <v>16.399999999999999</v>
      </c>
    </row>
    <row r="12" spans="1:43" x14ac:dyDescent="0.25">
      <c r="A12" s="17">
        <v>21</v>
      </c>
      <c r="B12" s="103">
        <v>220.4</v>
      </c>
      <c r="C12" s="103">
        <v>112.4</v>
      </c>
      <c r="D12" s="103">
        <v>76.400000000000006</v>
      </c>
      <c r="E12" s="103">
        <v>58.4</v>
      </c>
      <c r="F12" s="103">
        <v>47.7</v>
      </c>
      <c r="G12" s="103">
        <v>40.5</v>
      </c>
      <c r="H12" s="103">
        <v>35.4</v>
      </c>
      <c r="I12" s="103">
        <v>31.5</v>
      </c>
      <c r="J12" s="103">
        <v>28.6</v>
      </c>
      <c r="K12" s="103">
        <v>26.2</v>
      </c>
      <c r="L12" s="103">
        <v>24.3</v>
      </c>
      <c r="M12" s="103">
        <v>22.6</v>
      </c>
      <c r="N12" s="103">
        <v>21.3</v>
      </c>
      <c r="O12" s="103">
        <v>20.100000000000001</v>
      </c>
      <c r="P12" s="103">
        <v>19.100000000000001</v>
      </c>
      <c r="Q12" s="103">
        <v>18.3</v>
      </c>
      <c r="R12" s="103">
        <v>17.5</v>
      </c>
      <c r="S12" s="103">
        <v>16.8</v>
      </c>
      <c r="T12" s="103">
        <v>16.2</v>
      </c>
      <c r="U12" s="103">
        <v>15.7</v>
      </c>
      <c r="W12" s="17">
        <v>21</v>
      </c>
      <c r="X12" s="103">
        <v>234.8</v>
      </c>
      <c r="Y12" s="103">
        <v>119.7</v>
      </c>
      <c r="Z12" s="103">
        <v>81.400000000000006</v>
      </c>
      <c r="AA12" s="103">
        <v>62.2</v>
      </c>
      <c r="AB12" s="103">
        <v>50.8</v>
      </c>
      <c r="AC12" s="103">
        <v>43.1</v>
      </c>
      <c r="AD12" s="103">
        <v>37.700000000000003</v>
      </c>
      <c r="AE12" s="103">
        <v>33.6</v>
      </c>
      <c r="AF12" s="103">
        <v>30.4</v>
      </c>
      <c r="AG12" s="103">
        <v>27.9</v>
      </c>
      <c r="AH12" s="103">
        <v>25.8</v>
      </c>
      <c r="AI12" s="103">
        <v>24.1</v>
      </c>
      <c r="AJ12" s="103">
        <v>22.7</v>
      </c>
      <c r="AK12" s="103">
        <v>21.4</v>
      </c>
      <c r="AL12" s="103">
        <v>20.399999999999999</v>
      </c>
      <c r="AM12" s="103">
        <v>19.399999999999999</v>
      </c>
      <c r="AN12" s="103">
        <v>18.600000000000001</v>
      </c>
      <c r="AO12" s="103">
        <v>17.899999999999999</v>
      </c>
      <c r="AP12" s="103">
        <v>17.3</v>
      </c>
      <c r="AQ12" s="103">
        <v>16.7</v>
      </c>
    </row>
    <row r="13" spans="1:43" x14ac:dyDescent="0.25">
      <c r="A13" s="17">
        <v>22</v>
      </c>
      <c r="B13" s="103">
        <v>224.5</v>
      </c>
      <c r="C13" s="103">
        <v>114.5</v>
      </c>
      <c r="D13" s="103">
        <v>77.8</v>
      </c>
      <c r="E13" s="103">
        <v>59.5</v>
      </c>
      <c r="F13" s="103">
        <v>48.5</v>
      </c>
      <c r="G13" s="103">
        <v>41.2</v>
      </c>
      <c r="H13" s="103">
        <v>36</v>
      </c>
      <c r="I13" s="103">
        <v>32.1</v>
      </c>
      <c r="J13" s="103">
        <v>29.1</v>
      </c>
      <c r="K13" s="103">
        <v>26.7</v>
      </c>
      <c r="L13" s="103">
        <v>24.7</v>
      </c>
      <c r="M13" s="103">
        <v>23.1</v>
      </c>
      <c r="N13" s="103">
        <v>21.7</v>
      </c>
      <c r="O13" s="103">
        <v>20.5</v>
      </c>
      <c r="P13" s="103">
        <v>19.5</v>
      </c>
      <c r="Q13" s="103">
        <v>18.600000000000001</v>
      </c>
      <c r="R13" s="103">
        <v>17.8</v>
      </c>
      <c r="S13" s="103">
        <v>17.100000000000001</v>
      </c>
      <c r="T13" s="103">
        <v>16.5</v>
      </c>
      <c r="U13" s="103">
        <v>16</v>
      </c>
      <c r="W13" s="17">
        <v>22</v>
      </c>
      <c r="X13" s="103">
        <v>239.1</v>
      </c>
      <c r="Y13" s="103">
        <v>121.9</v>
      </c>
      <c r="Z13" s="103">
        <v>82.9</v>
      </c>
      <c r="AA13" s="103">
        <v>63.4</v>
      </c>
      <c r="AB13" s="103">
        <v>51.7</v>
      </c>
      <c r="AC13" s="103">
        <v>43.9</v>
      </c>
      <c r="AD13" s="103">
        <v>38.4</v>
      </c>
      <c r="AE13" s="103">
        <v>34.200000000000003</v>
      </c>
      <c r="AF13" s="103">
        <v>31</v>
      </c>
      <c r="AG13" s="103">
        <v>28.4</v>
      </c>
      <c r="AH13" s="103">
        <v>26.3</v>
      </c>
      <c r="AI13" s="103">
        <v>24.6</v>
      </c>
      <c r="AJ13" s="103">
        <v>23.1</v>
      </c>
      <c r="AK13" s="103">
        <v>21.8</v>
      </c>
      <c r="AL13" s="103">
        <v>20.8</v>
      </c>
      <c r="AM13" s="103">
        <v>19.8</v>
      </c>
      <c r="AN13" s="103">
        <v>19</v>
      </c>
      <c r="AO13" s="103">
        <v>18.2</v>
      </c>
      <c r="AP13" s="103">
        <v>17.600000000000001</v>
      </c>
      <c r="AQ13" s="103">
        <v>17</v>
      </c>
    </row>
    <row r="14" spans="1:43" x14ac:dyDescent="0.25">
      <c r="A14" s="17">
        <v>23</v>
      </c>
      <c r="B14" s="103">
        <v>228.5</v>
      </c>
      <c r="C14" s="103">
        <v>116.5</v>
      </c>
      <c r="D14" s="103">
        <v>79.2</v>
      </c>
      <c r="E14" s="103">
        <v>60.6</v>
      </c>
      <c r="F14" s="103">
        <v>49.4</v>
      </c>
      <c r="G14" s="103">
        <v>42</v>
      </c>
      <c r="H14" s="103">
        <v>36.700000000000003</v>
      </c>
      <c r="I14" s="103">
        <v>32.700000000000003</v>
      </c>
      <c r="J14" s="103">
        <v>29.6</v>
      </c>
      <c r="K14" s="103">
        <v>27.2</v>
      </c>
      <c r="L14" s="103">
        <v>25.1</v>
      </c>
      <c r="M14" s="103">
        <v>23.5</v>
      </c>
      <c r="N14" s="103">
        <v>22.1</v>
      </c>
      <c r="O14" s="103">
        <v>20.9</v>
      </c>
      <c r="P14" s="103">
        <v>19.8</v>
      </c>
      <c r="Q14" s="103">
        <v>18.899999999999999</v>
      </c>
      <c r="R14" s="103">
        <v>18.100000000000001</v>
      </c>
      <c r="S14" s="103">
        <v>17.399999999999999</v>
      </c>
      <c r="T14" s="103">
        <v>16.8</v>
      </c>
      <c r="U14" s="103">
        <v>16.3</v>
      </c>
      <c r="W14" s="17">
        <v>23</v>
      </c>
      <c r="X14" s="103">
        <v>243.4</v>
      </c>
      <c r="Y14" s="103">
        <v>124.1</v>
      </c>
      <c r="Z14" s="103">
        <v>84.4</v>
      </c>
      <c r="AA14" s="103">
        <v>64.5</v>
      </c>
      <c r="AB14" s="103">
        <v>52.6</v>
      </c>
      <c r="AC14" s="103">
        <v>44.7</v>
      </c>
      <c r="AD14" s="103">
        <v>39.1</v>
      </c>
      <c r="AE14" s="103">
        <v>34.799999999999997</v>
      </c>
      <c r="AF14" s="103">
        <v>31.5</v>
      </c>
      <c r="AG14" s="103">
        <v>28.9</v>
      </c>
      <c r="AH14" s="103">
        <v>26.8</v>
      </c>
      <c r="AI14" s="103">
        <v>25</v>
      </c>
      <c r="AJ14" s="103">
        <v>23.5</v>
      </c>
      <c r="AK14" s="103">
        <v>22.2</v>
      </c>
      <c r="AL14" s="103">
        <v>21.1</v>
      </c>
      <c r="AM14" s="103">
        <v>20.2</v>
      </c>
      <c r="AN14" s="103">
        <v>19.3</v>
      </c>
      <c r="AO14" s="103">
        <v>18.600000000000001</v>
      </c>
      <c r="AP14" s="103">
        <v>17.899999999999999</v>
      </c>
      <c r="AQ14" s="103">
        <v>17.3</v>
      </c>
    </row>
    <row r="15" spans="1:43" x14ac:dyDescent="0.25">
      <c r="A15" s="17">
        <v>24</v>
      </c>
      <c r="B15" s="103">
        <v>232.7</v>
      </c>
      <c r="C15" s="103">
        <v>118.7</v>
      </c>
      <c r="D15" s="103">
        <v>80.7</v>
      </c>
      <c r="E15" s="103">
        <v>61.7</v>
      </c>
      <c r="F15" s="103">
        <v>50.3</v>
      </c>
      <c r="G15" s="103">
        <v>42.7</v>
      </c>
      <c r="H15" s="103">
        <v>37.299999999999997</v>
      </c>
      <c r="I15" s="103">
        <v>33.299999999999997</v>
      </c>
      <c r="J15" s="103">
        <v>30.2</v>
      </c>
      <c r="K15" s="103">
        <v>27.7</v>
      </c>
      <c r="L15" s="103">
        <v>25.6</v>
      </c>
      <c r="M15" s="103">
        <v>23.9</v>
      </c>
      <c r="N15" s="103">
        <v>22.5</v>
      </c>
      <c r="O15" s="103">
        <v>21.3</v>
      </c>
      <c r="P15" s="103">
        <v>20.2</v>
      </c>
      <c r="Q15" s="103">
        <v>19.3</v>
      </c>
      <c r="R15" s="103">
        <v>18.5</v>
      </c>
      <c r="S15" s="103">
        <v>17.8</v>
      </c>
      <c r="T15" s="103">
        <v>17.100000000000001</v>
      </c>
      <c r="U15" s="103">
        <v>16.600000000000001</v>
      </c>
      <c r="W15" s="17">
        <v>24</v>
      </c>
      <c r="X15" s="103">
        <v>247.9</v>
      </c>
      <c r="Y15" s="103">
        <v>126.4</v>
      </c>
      <c r="Z15" s="103">
        <v>85.9</v>
      </c>
      <c r="AA15" s="103">
        <v>65.7</v>
      </c>
      <c r="AB15" s="103">
        <v>53.6</v>
      </c>
      <c r="AC15" s="103">
        <v>45.5</v>
      </c>
      <c r="AD15" s="103">
        <v>39.799999999999997</v>
      </c>
      <c r="AE15" s="103">
        <v>35.5</v>
      </c>
      <c r="AF15" s="103">
        <v>32.1</v>
      </c>
      <c r="AG15" s="103">
        <v>29.5</v>
      </c>
      <c r="AH15" s="103">
        <v>27.3</v>
      </c>
      <c r="AI15" s="103">
        <v>25.5</v>
      </c>
      <c r="AJ15" s="103">
        <v>23.9</v>
      </c>
      <c r="AK15" s="103">
        <v>22.6</v>
      </c>
      <c r="AL15" s="103">
        <v>21.5</v>
      </c>
      <c r="AM15" s="103">
        <v>20.5</v>
      </c>
      <c r="AN15" s="103">
        <v>19.7</v>
      </c>
      <c r="AO15" s="103">
        <v>18.899999999999999</v>
      </c>
      <c r="AP15" s="103">
        <v>18.2</v>
      </c>
      <c r="AQ15" s="103">
        <v>17.600000000000001</v>
      </c>
    </row>
    <row r="16" spans="1:43" x14ac:dyDescent="0.25">
      <c r="A16" s="17">
        <v>25</v>
      </c>
      <c r="B16" s="103">
        <v>236.9</v>
      </c>
      <c r="C16" s="103">
        <v>120.8</v>
      </c>
      <c r="D16" s="103">
        <v>82.1</v>
      </c>
      <c r="E16" s="103">
        <v>62.8</v>
      </c>
      <c r="F16" s="103">
        <v>51.2</v>
      </c>
      <c r="G16" s="103">
        <v>43.5</v>
      </c>
      <c r="H16" s="103">
        <v>38</v>
      </c>
      <c r="I16" s="103">
        <v>33.9</v>
      </c>
      <c r="J16" s="103">
        <v>30.7</v>
      </c>
      <c r="K16" s="103">
        <v>28.2</v>
      </c>
      <c r="L16" s="103">
        <v>26.1</v>
      </c>
      <c r="M16" s="103">
        <v>24.3</v>
      </c>
      <c r="N16" s="103">
        <v>22.9</v>
      </c>
      <c r="O16" s="103">
        <v>21.6</v>
      </c>
      <c r="P16" s="103">
        <v>20.6</v>
      </c>
      <c r="Q16" s="103">
        <v>19.600000000000001</v>
      </c>
      <c r="R16" s="103">
        <v>18.8</v>
      </c>
      <c r="S16" s="103">
        <v>18.100000000000001</v>
      </c>
      <c r="T16" s="103">
        <v>17.399999999999999</v>
      </c>
      <c r="U16" s="103">
        <v>16.899999999999999</v>
      </c>
      <c r="W16" s="17">
        <v>25</v>
      </c>
      <c r="X16" s="103">
        <v>252.4</v>
      </c>
      <c r="Y16" s="103">
        <v>128.69999999999999</v>
      </c>
      <c r="Z16" s="103">
        <v>87.5</v>
      </c>
      <c r="AA16" s="103">
        <v>66.900000000000006</v>
      </c>
      <c r="AB16" s="103">
        <v>54.6</v>
      </c>
      <c r="AC16" s="103">
        <v>46.4</v>
      </c>
      <c r="AD16" s="103">
        <v>40.5</v>
      </c>
      <c r="AE16" s="103">
        <v>36.1</v>
      </c>
      <c r="AF16" s="103">
        <v>32.700000000000003</v>
      </c>
      <c r="AG16" s="103">
        <v>30</v>
      </c>
      <c r="AH16" s="103">
        <v>27.8</v>
      </c>
      <c r="AI16" s="103">
        <v>25.9</v>
      </c>
      <c r="AJ16" s="103">
        <v>24.4</v>
      </c>
      <c r="AK16" s="103">
        <v>23.1</v>
      </c>
      <c r="AL16" s="103">
        <v>21.9</v>
      </c>
      <c r="AM16" s="103">
        <v>20.9</v>
      </c>
      <c r="AN16" s="103">
        <v>20</v>
      </c>
      <c r="AO16" s="103">
        <v>19.3</v>
      </c>
      <c r="AP16" s="103">
        <v>18.600000000000001</v>
      </c>
      <c r="AQ16" s="103">
        <v>18</v>
      </c>
    </row>
    <row r="17" spans="1:43" x14ac:dyDescent="0.25">
      <c r="A17" s="17">
        <v>26</v>
      </c>
      <c r="B17" s="103">
        <v>241.2</v>
      </c>
      <c r="C17" s="103">
        <v>123</v>
      </c>
      <c r="D17" s="103">
        <v>83.6</v>
      </c>
      <c r="E17" s="103">
        <v>63.9</v>
      </c>
      <c r="F17" s="103">
        <v>52.2</v>
      </c>
      <c r="G17" s="103">
        <v>44.3</v>
      </c>
      <c r="H17" s="103">
        <v>38.700000000000003</v>
      </c>
      <c r="I17" s="103">
        <v>34.5</v>
      </c>
      <c r="J17" s="103">
        <v>31.3</v>
      </c>
      <c r="K17" s="103">
        <v>28.7</v>
      </c>
      <c r="L17" s="103">
        <v>26.5</v>
      </c>
      <c r="M17" s="103">
        <v>24.8</v>
      </c>
      <c r="N17" s="103">
        <v>23.3</v>
      </c>
      <c r="O17" s="103">
        <v>22</v>
      </c>
      <c r="P17" s="103">
        <v>20.9</v>
      </c>
      <c r="Q17" s="103">
        <v>20</v>
      </c>
      <c r="R17" s="103">
        <v>19.2</v>
      </c>
      <c r="S17" s="103">
        <v>18.399999999999999</v>
      </c>
      <c r="T17" s="103">
        <v>17.8</v>
      </c>
      <c r="U17" s="103">
        <v>17.2</v>
      </c>
      <c r="W17" s="17">
        <v>26</v>
      </c>
      <c r="X17" s="103">
        <v>256.89999999999998</v>
      </c>
      <c r="Y17" s="103">
        <v>131</v>
      </c>
      <c r="Z17" s="103">
        <v>89.1</v>
      </c>
      <c r="AA17" s="103">
        <v>68.099999999999994</v>
      </c>
      <c r="AB17" s="103">
        <v>55.6</v>
      </c>
      <c r="AC17" s="103">
        <v>47.2</v>
      </c>
      <c r="AD17" s="103">
        <v>41.2</v>
      </c>
      <c r="AE17" s="103">
        <v>36.799999999999997</v>
      </c>
      <c r="AF17" s="103">
        <v>33.299999999999997</v>
      </c>
      <c r="AG17" s="103">
        <v>30.5</v>
      </c>
      <c r="AH17" s="103">
        <v>28.3</v>
      </c>
      <c r="AI17" s="103">
        <v>26.4</v>
      </c>
      <c r="AJ17" s="103">
        <v>24.8</v>
      </c>
      <c r="AK17" s="103">
        <v>23.5</v>
      </c>
      <c r="AL17" s="103">
        <v>22.3</v>
      </c>
      <c r="AM17" s="103">
        <v>21.3</v>
      </c>
      <c r="AN17" s="103">
        <v>20.399999999999999</v>
      </c>
      <c r="AO17" s="103">
        <v>19.600000000000001</v>
      </c>
      <c r="AP17" s="103">
        <v>18.899999999999999</v>
      </c>
      <c r="AQ17" s="103">
        <v>18.3</v>
      </c>
    </row>
    <row r="18" spans="1:43" x14ac:dyDescent="0.25">
      <c r="A18" s="17">
        <v>27</v>
      </c>
      <c r="B18" s="103">
        <v>245.6</v>
      </c>
      <c r="C18" s="103">
        <v>125.2</v>
      </c>
      <c r="D18" s="103">
        <v>85.1</v>
      </c>
      <c r="E18" s="103">
        <v>65.099999999999994</v>
      </c>
      <c r="F18" s="103">
        <v>53.1</v>
      </c>
      <c r="G18" s="103">
        <v>45.1</v>
      </c>
      <c r="H18" s="103">
        <v>39.4</v>
      </c>
      <c r="I18" s="103">
        <v>35.1</v>
      </c>
      <c r="J18" s="103">
        <v>31.8</v>
      </c>
      <c r="K18" s="103">
        <v>29.2</v>
      </c>
      <c r="L18" s="103">
        <v>27</v>
      </c>
      <c r="M18" s="103">
        <v>25.2</v>
      </c>
      <c r="N18" s="103">
        <v>23.7</v>
      </c>
      <c r="O18" s="103">
        <v>22.4</v>
      </c>
      <c r="P18" s="103">
        <v>21.3</v>
      </c>
      <c r="Q18" s="103">
        <v>20.399999999999999</v>
      </c>
      <c r="R18" s="103">
        <v>19.5</v>
      </c>
      <c r="S18" s="103">
        <v>18.8</v>
      </c>
      <c r="T18" s="103">
        <v>18.100000000000001</v>
      </c>
      <c r="U18" s="103">
        <v>17.5</v>
      </c>
      <c r="W18" s="17">
        <v>27</v>
      </c>
      <c r="X18" s="103">
        <v>261.60000000000002</v>
      </c>
      <c r="Y18" s="103">
        <v>133.4</v>
      </c>
      <c r="Z18" s="103">
        <v>90.7</v>
      </c>
      <c r="AA18" s="103">
        <v>69.400000000000006</v>
      </c>
      <c r="AB18" s="103">
        <v>56.6</v>
      </c>
      <c r="AC18" s="103">
        <v>48.1</v>
      </c>
      <c r="AD18" s="103">
        <v>42</v>
      </c>
      <c r="AE18" s="103">
        <v>37.4</v>
      </c>
      <c r="AF18" s="103">
        <v>33.9</v>
      </c>
      <c r="AG18" s="103">
        <v>31.1</v>
      </c>
      <c r="AH18" s="103">
        <v>28.8</v>
      </c>
      <c r="AI18" s="103">
        <v>26.9</v>
      </c>
      <c r="AJ18" s="103">
        <v>25.3</v>
      </c>
      <c r="AK18" s="103">
        <v>23.9</v>
      </c>
      <c r="AL18" s="103">
        <v>22.7</v>
      </c>
      <c r="AM18" s="103">
        <v>21.7</v>
      </c>
      <c r="AN18" s="103">
        <v>20.8</v>
      </c>
      <c r="AO18" s="103">
        <v>20</v>
      </c>
      <c r="AP18" s="103">
        <v>19.3</v>
      </c>
      <c r="AQ18" s="103">
        <v>18.600000000000001</v>
      </c>
    </row>
    <row r="19" spans="1:43" x14ac:dyDescent="0.25">
      <c r="A19" s="17">
        <v>28</v>
      </c>
      <c r="B19" s="103">
        <v>250</v>
      </c>
      <c r="C19" s="103">
        <v>127.5</v>
      </c>
      <c r="D19" s="103">
        <v>86.7</v>
      </c>
      <c r="E19" s="103">
        <v>66.3</v>
      </c>
      <c r="F19" s="103">
        <v>54.1</v>
      </c>
      <c r="G19" s="103">
        <v>45.9</v>
      </c>
      <c r="H19" s="103">
        <v>40.1</v>
      </c>
      <c r="I19" s="103">
        <v>35.799999999999997</v>
      </c>
      <c r="J19" s="103">
        <v>32.4</v>
      </c>
      <c r="K19" s="103">
        <v>29.7</v>
      </c>
      <c r="L19" s="103">
        <v>27.5</v>
      </c>
      <c r="M19" s="103">
        <v>25.7</v>
      </c>
      <c r="N19" s="103">
        <v>24.2</v>
      </c>
      <c r="O19" s="103">
        <v>22.9</v>
      </c>
      <c r="P19" s="103">
        <v>21.7</v>
      </c>
      <c r="Q19" s="103">
        <v>20.7</v>
      </c>
      <c r="R19" s="103">
        <v>19.899999999999999</v>
      </c>
      <c r="S19" s="103">
        <v>19.100000000000001</v>
      </c>
      <c r="T19" s="103">
        <v>18.399999999999999</v>
      </c>
      <c r="U19" s="103">
        <v>17.8</v>
      </c>
      <c r="W19" s="17">
        <v>28</v>
      </c>
      <c r="X19" s="103">
        <v>266.3</v>
      </c>
      <c r="Y19" s="103">
        <v>135.80000000000001</v>
      </c>
      <c r="Z19" s="103">
        <v>92.3</v>
      </c>
      <c r="AA19" s="103">
        <v>70.599999999999994</v>
      </c>
      <c r="AB19" s="103">
        <v>57.6</v>
      </c>
      <c r="AC19" s="103">
        <v>48.9</v>
      </c>
      <c r="AD19" s="103">
        <v>42.7</v>
      </c>
      <c r="AE19" s="103">
        <v>38.1</v>
      </c>
      <c r="AF19" s="103">
        <v>34.5</v>
      </c>
      <c r="AG19" s="103">
        <v>31.7</v>
      </c>
      <c r="AH19" s="103">
        <v>29.3</v>
      </c>
      <c r="AI19" s="103">
        <v>27.4</v>
      </c>
      <c r="AJ19" s="103">
        <v>25.7</v>
      </c>
      <c r="AK19" s="103">
        <v>24.3</v>
      </c>
      <c r="AL19" s="103">
        <v>23.1</v>
      </c>
      <c r="AM19" s="103">
        <v>22.1</v>
      </c>
      <c r="AN19" s="103">
        <v>21.2</v>
      </c>
      <c r="AO19" s="103">
        <v>20.3</v>
      </c>
      <c r="AP19" s="103">
        <v>19.600000000000001</v>
      </c>
      <c r="AQ19" s="103">
        <v>19</v>
      </c>
    </row>
    <row r="20" spans="1:43" x14ac:dyDescent="0.25">
      <c r="A20" s="17">
        <v>29</v>
      </c>
      <c r="B20" s="103">
        <v>254.5</v>
      </c>
      <c r="C20" s="103">
        <v>129.80000000000001</v>
      </c>
      <c r="D20" s="103">
        <v>88.2</v>
      </c>
      <c r="E20" s="103">
        <v>67.5</v>
      </c>
      <c r="F20" s="103">
        <v>55</v>
      </c>
      <c r="G20" s="103">
        <v>46.8</v>
      </c>
      <c r="H20" s="103">
        <v>40.9</v>
      </c>
      <c r="I20" s="103">
        <v>36.4</v>
      </c>
      <c r="J20" s="103">
        <v>33</v>
      </c>
      <c r="K20" s="103">
        <v>30.3</v>
      </c>
      <c r="L20" s="103">
        <v>28</v>
      </c>
      <c r="M20" s="103">
        <v>26.2</v>
      </c>
      <c r="N20" s="103">
        <v>24.6</v>
      </c>
      <c r="O20" s="103">
        <v>23.3</v>
      </c>
      <c r="P20" s="103">
        <v>22.1</v>
      </c>
      <c r="Q20" s="103">
        <v>21.1</v>
      </c>
      <c r="R20" s="103">
        <v>20.2</v>
      </c>
      <c r="S20" s="103">
        <v>19.5</v>
      </c>
      <c r="T20" s="103">
        <v>18.8</v>
      </c>
      <c r="U20" s="103">
        <v>18.100000000000001</v>
      </c>
      <c r="W20" s="17">
        <v>29</v>
      </c>
      <c r="X20" s="103">
        <v>271.10000000000002</v>
      </c>
      <c r="Y20" s="103">
        <v>138.30000000000001</v>
      </c>
      <c r="Z20" s="103">
        <v>94</v>
      </c>
      <c r="AA20" s="103">
        <v>71.900000000000006</v>
      </c>
      <c r="AB20" s="103">
        <v>58.6</v>
      </c>
      <c r="AC20" s="103">
        <v>49.8</v>
      </c>
      <c r="AD20" s="103">
        <v>43.5</v>
      </c>
      <c r="AE20" s="103">
        <v>38.799999999999997</v>
      </c>
      <c r="AF20" s="103">
        <v>35.200000000000003</v>
      </c>
      <c r="AG20" s="103">
        <v>32.200000000000003</v>
      </c>
      <c r="AH20" s="103">
        <v>29.9</v>
      </c>
      <c r="AI20" s="103">
        <v>27.9</v>
      </c>
      <c r="AJ20" s="103">
        <v>26.2</v>
      </c>
      <c r="AK20" s="103">
        <v>24.8</v>
      </c>
      <c r="AL20" s="103">
        <v>23.6</v>
      </c>
      <c r="AM20" s="103">
        <v>22.5</v>
      </c>
      <c r="AN20" s="103">
        <v>21.6</v>
      </c>
      <c r="AO20" s="103">
        <v>20.7</v>
      </c>
      <c r="AP20" s="103">
        <v>20</v>
      </c>
      <c r="AQ20" s="103">
        <v>19.3</v>
      </c>
    </row>
    <row r="21" spans="1:43" x14ac:dyDescent="0.25">
      <c r="A21" s="17">
        <v>30</v>
      </c>
      <c r="B21" s="103">
        <v>259.10000000000002</v>
      </c>
      <c r="C21" s="103">
        <v>132.1</v>
      </c>
      <c r="D21" s="103">
        <v>89.8</v>
      </c>
      <c r="E21" s="103">
        <v>68.7</v>
      </c>
      <c r="F21" s="103">
        <v>56</v>
      </c>
      <c r="G21" s="103">
        <v>47.6</v>
      </c>
      <c r="H21" s="103">
        <v>41.6</v>
      </c>
      <c r="I21" s="103">
        <v>37.1</v>
      </c>
      <c r="J21" s="103">
        <v>33.6</v>
      </c>
      <c r="K21" s="103">
        <v>30.8</v>
      </c>
      <c r="L21" s="103">
        <v>28.5</v>
      </c>
      <c r="M21" s="103">
        <v>26.7</v>
      </c>
      <c r="N21" s="103">
        <v>25.1</v>
      </c>
      <c r="O21" s="103">
        <v>23.7</v>
      </c>
      <c r="P21" s="103">
        <v>22.5</v>
      </c>
      <c r="Q21" s="103">
        <v>21.5</v>
      </c>
      <c r="R21" s="103">
        <v>20.6</v>
      </c>
      <c r="S21" s="103">
        <v>19.8</v>
      </c>
      <c r="T21" s="103">
        <v>19.100000000000001</v>
      </c>
      <c r="U21" s="103">
        <v>18.5</v>
      </c>
      <c r="W21" s="17">
        <v>30</v>
      </c>
      <c r="X21" s="103">
        <v>276</v>
      </c>
      <c r="Y21" s="103">
        <v>140.80000000000001</v>
      </c>
      <c r="Z21" s="103">
        <v>95.7</v>
      </c>
      <c r="AA21" s="103">
        <v>73.2</v>
      </c>
      <c r="AB21" s="103">
        <v>59.7</v>
      </c>
      <c r="AC21" s="103">
        <v>50.7</v>
      </c>
      <c r="AD21" s="103">
        <v>44.3</v>
      </c>
      <c r="AE21" s="103">
        <v>39.5</v>
      </c>
      <c r="AF21" s="103">
        <v>35.799999999999997</v>
      </c>
      <c r="AG21" s="103">
        <v>32.799999999999997</v>
      </c>
      <c r="AH21" s="103">
        <v>30.4</v>
      </c>
      <c r="AI21" s="103">
        <v>28.4</v>
      </c>
      <c r="AJ21" s="103">
        <v>26.7</v>
      </c>
      <c r="AK21" s="103">
        <v>25.2</v>
      </c>
      <c r="AL21" s="103">
        <v>24</v>
      </c>
      <c r="AM21" s="103">
        <v>22.9</v>
      </c>
      <c r="AN21" s="103">
        <v>22</v>
      </c>
      <c r="AO21" s="103">
        <v>21.1</v>
      </c>
      <c r="AP21" s="103">
        <v>20.399999999999999</v>
      </c>
      <c r="AQ21" s="103">
        <v>19.7</v>
      </c>
    </row>
    <row r="22" spans="1:43" x14ac:dyDescent="0.25">
      <c r="A22" s="17">
        <v>31</v>
      </c>
      <c r="B22" s="103">
        <v>263.8</v>
      </c>
      <c r="C22" s="103">
        <v>134.5</v>
      </c>
      <c r="D22" s="103">
        <v>91.5</v>
      </c>
      <c r="E22" s="103">
        <v>70</v>
      </c>
      <c r="F22" s="103">
        <v>57.1</v>
      </c>
      <c r="G22" s="103">
        <v>48.5</v>
      </c>
      <c r="H22" s="103">
        <v>42.4</v>
      </c>
      <c r="I22" s="103">
        <v>37.799999999999997</v>
      </c>
      <c r="J22" s="103">
        <v>34.200000000000003</v>
      </c>
      <c r="K22" s="103">
        <v>31.4</v>
      </c>
      <c r="L22" s="103">
        <v>29.1</v>
      </c>
      <c r="M22" s="103">
        <v>27.1</v>
      </c>
      <c r="N22" s="103">
        <v>25.5</v>
      </c>
      <c r="O22" s="103">
        <v>24.1</v>
      </c>
      <c r="P22" s="103">
        <v>22.9</v>
      </c>
      <c r="Q22" s="103">
        <v>21.9</v>
      </c>
      <c r="R22" s="103">
        <v>21</v>
      </c>
      <c r="S22" s="103">
        <v>20.2</v>
      </c>
      <c r="T22" s="103">
        <v>19.5</v>
      </c>
      <c r="U22" s="103">
        <v>18.8</v>
      </c>
      <c r="W22" s="17">
        <v>31</v>
      </c>
      <c r="X22" s="103">
        <v>281</v>
      </c>
      <c r="Y22" s="103">
        <v>143.30000000000001</v>
      </c>
      <c r="Z22" s="103">
        <v>97.4</v>
      </c>
      <c r="AA22" s="103">
        <v>74.5</v>
      </c>
      <c r="AB22" s="103">
        <v>60.8</v>
      </c>
      <c r="AC22" s="103">
        <v>51.6</v>
      </c>
      <c r="AD22" s="103">
        <v>45.1</v>
      </c>
      <c r="AE22" s="103">
        <v>40.200000000000003</v>
      </c>
      <c r="AF22" s="103">
        <v>36.4</v>
      </c>
      <c r="AG22" s="103">
        <v>33.4</v>
      </c>
      <c r="AH22" s="103">
        <v>31</v>
      </c>
      <c r="AI22" s="103">
        <v>28.9</v>
      </c>
      <c r="AJ22" s="103">
        <v>27.2</v>
      </c>
      <c r="AK22" s="103">
        <v>25.7</v>
      </c>
      <c r="AL22" s="103">
        <v>24.4</v>
      </c>
      <c r="AM22" s="103">
        <v>23.3</v>
      </c>
      <c r="AN22" s="103">
        <v>22.4</v>
      </c>
      <c r="AO22" s="103">
        <v>21.5</v>
      </c>
      <c r="AP22" s="103">
        <v>20.7</v>
      </c>
      <c r="AQ22" s="103">
        <v>20.100000000000001</v>
      </c>
    </row>
    <row r="23" spans="1:43" x14ac:dyDescent="0.25">
      <c r="A23" s="17">
        <v>32</v>
      </c>
      <c r="B23" s="103">
        <v>268.60000000000002</v>
      </c>
      <c r="C23" s="103">
        <v>137</v>
      </c>
      <c r="D23" s="103">
        <v>93.1</v>
      </c>
      <c r="E23" s="103">
        <v>71.2</v>
      </c>
      <c r="F23" s="103">
        <v>58.1</v>
      </c>
      <c r="G23" s="103">
        <v>49.4</v>
      </c>
      <c r="H23" s="103">
        <v>43.1</v>
      </c>
      <c r="I23" s="103">
        <v>38.5</v>
      </c>
      <c r="J23" s="103">
        <v>34.799999999999997</v>
      </c>
      <c r="K23" s="103">
        <v>31.9</v>
      </c>
      <c r="L23" s="103">
        <v>29.6</v>
      </c>
      <c r="M23" s="103">
        <v>27.6</v>
      </c>
      <c r="N23" s="103">
        <v>26</v>
      </c>
      <c r="O23" s="103">
        <v>24.6</v>
      </c>
      <c r="P23" s="103">
        <v>23.4</v>
      </c>
      <c r="Q23" s="103">
        <v>22.3</v>
      </c>
      <c r="R23" s="103">
        <v>21.4</v>
      </c>
      <c r="S23" s="103">
        <v>20.6</v>
      </c>
      <c r="T23" s="103">
        <v>19.8</v>
      </c>
      <c r="U23" s="103">
        <v>19.2</v>
      </c>
      <c r="W23" s="17">
        <v>32</v>
      </c>
      <c r="X23" s="103">
        <v>286.10000000000002</v>
      </c>
      <c r="Y23" s="103">
        <v>145.9</v>
      </c>
      <c r="Z23" s="103">
        <v>99.2</v>
      </c>
      <c r="AA23" s="103">
        <v>75.900000000000006</v>
      </c>
      <c r="AB23" s="103">
        <v>61.9</v>
      </c>
      <c r="AC23" s="103">
        <v>52.6</v>
      </c>
      <c r="AD23" s="103">
        <v>45.9</v>
      </c>
      <c r="AE23" s="103">
        <v>41</v>
      </c>
      <c r="AF23" s="103">
        <v>37.1</v>
      </c>
      <c r="AG23" s="103">
        <v>34</v>
      </c>
      <c r="AH23" s="103">
        <v>31.5</v>
      </c>
      <c r="AI23" s="103">
        <v>29.4</v>
      </c>
      <c r="AJ23" s="103">
        <v>27.7</v>
      </c>
      <c r="AK23" s="103">
        <v>26.2</v>
      </c>
      <c r="AL23" s="103">
        <v>24.9</v>
      </c>
      <c r="AM23" s="103">
        <v>23.8</v>
      </c>
      <c r="AN23" s="103">
        <v>22.8</v>
      </c>
      <c r="AO23" s="103">
        <v>21.9</v>
      </c>
      <c r="AP23" s="103">
        <v>21.1</v>
      </c>
      <c r="AQ23" s="103">
        <v>20.399999999999999</v>
      </c>
    </row>
    <row r="24" spans="1:43" x14ac:dyDescent="0.25">
      <c r="A24" s="17">
        <v>33</v>
      </c>
      <c r="B24" s="103">
        <v>273.39999999999998</v>
      </c>
      <c r="C24" s="103">
        <v>139.4</v>
      </c>
      <c r="D24" s="103">
        <v>94.8</v>
      </c>
      <c r="E24" s="103">
        <v>72.5</v>
      </c>
      <c r="F24" s="103">
        <v>59.1</v>
      </c>
      <c r="G24" s="103">
        <v>50.3</v>
      </c>
      <c r="H24" s="103">
        <v>43.9</v>
      </c>
      <c r="I24" s="103">
        <v>39.200000000000003</v>
      </c>
      <c r="J24" s="103">
        <v>35.5</v>
      </c>
      <c r="K24" s="103">
        <v>32.5</v>
      </c>
      <c r="L24" s="103">
        <v>30.1</v>
      </c>
      <c r="M24" s="103">
        <v>28.1</v>
      </c>
      <c r="N24" s="103">
        <v>26.5</v>
      </c>
      <c r="O24" s="103">
        <v>25</v>
      </c>
      <c r="P24" s="103">
        <v>23.8</v>
      </c>
      <c r="Q24" s="103">
        <v>22.7</v>
      </c>
      <c r="R24" s="103">
        <v>21.8</v>
      </c>
      <c r="S24" s="103">
        <v>20.9</v>
      </c>
      <c r="T24" s="103">
        <v>20.2</v>
      </c>
      <c r="U24" s="103">
        <v>19.5</v>
      </c>
      <c r="W24" s="17">
        <v>33</v>
      </c>
      <c r="X24" s="103">
        <v>291.2</v>
      </c>
      <c r="Y24" s="103">
        <v>148.5</v>
      </c>
      <c r="Z24" s="103">
        <v>101</v>
      </c>
      <c r="AA24" s="103">
        <v>77.2</v>
      </c>
      <c r="AB24" s="103">
        <v>63</v>
      </c>
      <c r="AC24" s="103">
        <v>53.5</v>
      </c>
      <c r="AD24" s="103">
        <v>46.8</v>
      </c>
      <c r="AE24" s="103">
        <v>41.7</v>
      </c>
      <c r="AF24" s="103">
        <v>37.799999999999997</v>
      </c>
      <c r="AG24" s="103">
        <v>34.700000000000003</v>
      </c>
      <c r="AH24" s="103">
        <v>32.1</v>
      </c>
      <c r="AI24" s="103">
        <v>30</v>
      </c>
      <c r="AJ24" s="103">
        <v>28.2</v>
      </c>
      <c r="AK24" s="103">
        <v>26.7</v>
      </c>
      <c r="AL24" s="103">
        <v>25.3</v>
      </c>
      <c r="AM24" s="103">
        <v>24.2</v>
      </c>
      <c r="AN24" s="103">
        <v>23.2</v>
      </c>
      <c r="AO24" s="103">
        <v>22.3</v>
      </c>
      <c r="AP24" s="103">
        <v>21.5</v>
      </c>
      <c r="AQ24" s="103">
        <v>20.8</v>
      </c>
    </row>
    <row r="25" spans="1:43" x14ac:dyDescent="0.25">
      <c r="A25" s="17">
        <v>34</v>
      </c>
      <c r="B25" s="103">
        <v>278.39999999999998</v>
      </c>
      <c r="C25" s="103">
        <v>142</v>
      </c>
      <c r="D25" s="103">
        <v>96.5</v>
      </c>
      <c r="E25" s="103">
        <v>73.8</v>
      </c>
      <c r="F25" s="103">
        <v>60.2</v>
      </c>
      <c r="G25" s="103">
        <v>51.2</v>
      </c>
      <c r="H25" s="103">
        <v>44.7</v>
      </c>
      <c r="I25" s="103">
        <v>39.9</v>
      </c>
      <c r="J25" s="103">
        <v>36.1</v>
      </c>
      <c r="K25" s="103">
        <v>33.1</v>
      </c>
      <c r="L25" s="103">
        <v>30.7</v>
      </c>
      <c r="M25" s="103">
        <v>28.7</v>
      </c>
      <c r="N25" s="103">
        <v>27</v>
      </c>
      <c r="O25" s="103">
        <v>25.5</v>
      </c>
      <c r="P25" s="103">
        <v>24.2</v>
      </c>
      <c r="Q25" s="103">
        <v>23.1</v>
      </c>
      <c r="R25" s="103">
        <v>22.2</v>
      </c>
      <c r="S25" s="103">
        <v>21.3</v>
      </c>
      <c r="T25" s="103">
        <v>20.6</v>
      </c>
      <c r="U25" s="103">
        <v>19.899999999999999</v>
      </c>
      <c r="W25" s="17">
        <v>34</v>
      </c>
      <c r="X25" s="103">
        <v>296.5</v>
      </c>
      <c r="Y25" s="103">
        <v>151.19999999999999</v>
      </c>
      <c r="Z25" s="103">
        <v>102.8</v>
      </c>
      <c r="AA25" s="103">
        <v>78.599999999999994</v>
      </c>
      <c r="AB25" s="103">
        <v>64.099999999999994</v>
      </c>
      <c r="AC25" s="103">
        <v>54.5</v>
      </c>
      <c r="AD25" s="103">
        <v>47.6</v>
      </c>
      <c r="AE25" s="103">
        <v>42.5</v>
      </c>
      <c r="AF25" s="103">
        <v>38.5</v>
      </c>
      <c r="AG25" s="103">
        <v>35.299999999999997</v>
      </c>
      <c r="AH25" s="103">
        <v>32.700000000000003</v>
      </c>
      <c r="AI25" s="103">
        <v>30.5</v>
      </c>
      <c r="AJ25" s="103">
        <v>28.7</v>
      </c>
      <c r="AK25" s="103">
        <v>27.2</v>
      </c>
      <c r="AL25" s="103">
        <v>25.8</v>
      </c>
      <c r="AM25" s="103">
        <v>24.7</v>
      </c>
      <c r="AN25" s="103">
        <v>23.6</v>
      </c>
      <c r="AO25" s="103">
        <v>22.7</v>
      </c>
      <c r="AP25" s="103">
        <v>21.9</v>
      </c>
      <c r="AQ25" s="103">
        <v>21.2</v>
      </c>
    </row>
    <row r="26" spans="1:43" x14ac:dyDescent="0.25">
      <c r="A26" s="17">
        <v>35</v>
      </c>
      <c r="B26" s="103">
        <v>283.39999999999998</v>
      </c>
      <c r="C26" s="103">
        <v>144.6</v>
      </c>
      <c r="D26" s="103">
        <v>98.3</v>
      </c>
      <c r="E26" s="103">
        <v>75.2</v>
      </c>
      <c r="F26" s="103">
        <v>61.3</v>
      </c>
      <c r="G26" s="103">
        <v>52.1</v>
      </c>
      <c r="H26" s="103">
        <v>45.5</v>
      </c>
      <c r="I26" s="103">
        <v>40.6</v>
      </c>
      <c r="J26" s="103">
        <v>36.799999999999997</v>
      </c>
      <c r="K26" s="103">
        <v>33.700000000000003</v>
      </c>
      <c r="L26" s="103">
        <v>31.3</v>
      </c>
      <c r="M26" s="103">
        <v>29.2</v>
      </c>
      <c r="N26" s="103">
        <v>27.5</v>
      </c>
      <c r="O26" s="103">
        <v>26</v>
      </c>
      <c r="P26" s="103">
        <v>24.7</v>
      </c>
      <c r="Q26" s="103">
        <v>23.6</v>
      </c>
      <c r="R26" s="103">
        <v>22.6</v>
      </c>
      <c r="S26" s="103">
        <v>21.7</v>
      </c>
      <c r="T26" s="103">
        <v>21</v>
      </c>
      <c r="U26" s="103">
        <v>20.3</v>
      </c>
      <c r="W26" s="17">
        <v>35</v>
      </c>
      <c r="X26" s="103">
        <v>301.89999999999998</v>
      </c>
      <c r="Y26" s="103">
        <v>154</v>
      </c>
      <c r="Z26" s="103">
        <v>104.7</v>
      </c>
      <c r="AA26" s="103">
        <v>80.099999999999994</v>
      </c>
      <c r="AB26" s="103">
        <v>65.3</v>
      </c>
      <c r="AC26" s="103">
        <v>55.5</v>
      </c>
      <c r="AD26" s="103">
        <v>48.5</v>
      </c>
      <c r="AE26" s="103">
        <v>43.2</v>
      </c>
      <c r="AF26" s="103">
        <v>39.200000000000003</v>
      </c>
      <c r="AG26" s="103">
        <v>35.9</v>
      </c>
      <c r="AH26" s="103">
        <v>33.299999999999997</v>
      </c>
      <c r="AI26" s="103">
        <v>31.1</v>
      </c>
      <c r="AJ26" s="103">
        <v>29.2</v>
      </c>
      <c r="AK26" s="103">
        <v>27.7</v>
      </c>
      <c r="AL26" s="103">
        <v>26.3</v>
      </c>
      <c r="AM26" s="103">
        <v>25.1</v>
      </c>
      <c r="AN26" s="103">
        <v>24.1</v>
      </c>
      <c r="AO26" s="103">
        <v>23.2</v>
      </c>
      <c r="AP26" s="103">
        <v>22.3</v>
      </c>
      <c r="AQ26" s="103">
        <v>21.6</v>
      </c>
    </row>
    <row r="27" spans="1:43" x14ac:dyDescent="0.25">
      <c r="A27" s="17">
        <v>36</v>
      </c>
      <c r="B27" s="103">
        <v>288.60000000000002</v>
      </c>
      <c r="C27" s="103">
        <v>147.19999999999999</v>
      </c>
      <c r="D27" s="103">
        <v>100.1</v>
      </c>
      <c r="E27" s="103">
        <v>76.599999999999994</v>
      </c>
      <c r="F27" s="103">
        <v>62.5</v>
      </c>
      <c r="G27" s="103">
        <v>53.1</v>
      </c>
      <c r="H27" s="103">
        <v>46.4</v>
      </c>
      <c r="I27" s="103">
        <v>41.4</v>
      </c>
      <c r="J27" s="103">
        <v>37.5</v>
      </c>
      <c r="K27" s="103">
        <v>34.4</v>
      </c>
      <c r="L27" s="103">
        <v>31.8</v>
      </c>
      <c r="M27" s="103">
        <v>29.7</v>
      </c>
      <c r="N27" s="103">
        <v>28</v>
      </c>
      <c r="O27" s="103">
        <v>26.5</v>
      </c>
      <c r="P27" s="103">
        <v>25.2</v>
      </c>
      <c r="Q27" s="103">
        <v>24</v>
      </c>
      <c r="R27" s="103">
        <v>23</v>
      </c>
      <c r="S27" s="103">
        <v>22.2</v>
      </c>
      <c r="T27" s="103">
        <v>21.4</v>
      </c>
      <c r="U27" s="103">
        <v>20.7</v>
      </c>
      <c r="W27" s="17">
        <v>36</v>
      </c>
      <c r="X27" s="103">
        <v>307.39999999999998</v>
      </c>
      <c r="Y27" s="103">
        <v>156.80000000000001</v>
      </c>
      <c r="Z27" s="103">
        <v>106.6</v>
      </c>
      <c r="AA27" s="103">
        <v>81.5</v>
      </c>
      <c r="AB27" s="103">
        <v>66.5</v>
      </c>
      <c r="AC27" s="103">
        <v>56.5</v>
      </c>
      <c r="AD27" s="103">
        <v>49.4</v>
      </c>
      <c r="AE27" s="103">
        <v>44</v>
      </c>
      <c r="AF27" s="103">
        <v>39.9</v>
      </c>
      <c r="AG27" s="103">
        <v>36.6</v>
      </c>
      <c r="AH27" s="103">
        <v>33.9</v>
      </c>
      <c r="AI27" s="103">
        <v>31.7</v>
      </c>
      <c r="AJ27" s="103">
        <v>29.8</v>
      </c>
      <c r="AK27" s="103">
        <v>28.2</v>
      </c>
      <c r="AL27" s="103">
        <v>26.8</v>
      </c>
      <c r="AM27" s="103">
        <v>25.6</v>
      </c>
      <c r="AN27" s="103">
        <v>24.5</v>
      </c>
      <c r="AO27" s="103">
        <v>23.6</v>
      </c>
      <c r="AP27" s="103">
        <v>22.8</v>
      </c>
      <c r="AQ27" s="103">
        <v>22</v>
      </c>
    </row>
    <row r="28" spans="1:43" x14ac:dyDescent="0.25">
      <c r="A28" s="17">
        <v>37</v>
      </c>
      <c r="B28" s="103">
        <v>293.89999999999998</v>
      </c>
      <c r="C28" s="103">
        <v>149.9</v>
      </c>
      <c r="D28" s="103">
        <v>101.9</v>
      </c>
      <c r="E28" s="103">
        <v>78</v>
      </c>
      <c r="F28" s="103">
        <v>63.6</v>
      </c>
      <c r="G28" s="103">
        <v>54</v>
      </c>
      <c r="H28" s="103">
        <v>47.2</v>
      </c>
      <c r="I28" s="103">
        <v>42.1</v>
      </c>
      <c r="J28" s="103">
        <v>38.200000000000003</v>
      </c>
      <c r="K28" s="103">
        <v>35</v>
      </c>
      <c r="L28" s="103">
        <v>32.4</v>
      </c>
      <c r="M28" s="103">
        <v>30.3</v>
      </c>
      <c r="N28" s="103">
        <v>28.5</v>
      </c>
      <c r="O28" s="103">
        <v>27</v>
      </c>
      <c r="P28" s="103">
        <v>25.6</v>
      </c>
      <c r="Q28" s="103">
        <v>24.5</v>
      </c>
      <c r="R28" s="103">
        <v>23.5</v>
      </c>
      <c r="S28" s="103">
        <v>22.6</v>
      </c>
      <c r="T28" s="103">
        <v>21.8</v>
      </c>
      <c r="U28" s="103">
        <v>21.1</v>
      </c>
      <c r="W28" s="17">
        <v>37</v>
      </c>
      <c r="X28" s="103">
        <v>312.89999999999998</v>
      </c>
      <c r="Y28" s="103">
        <v>159.6</v>
      </c>
      <c r="Z28" s="103">
        <v>108.5</v>
      </c>
      <c r="AA28" s="103">
        <v>83</v>
      </c>
      <c r="AB28" s="103">
        <v>67.7</v>
      </c>
      <c r="AC28" s="103">
        <v>57.5</v>
      </c>
      <c r="AD28" s="103">
        <v>50.3</v>
      </c>
      <c r="AE28" s="103">
        <v>44.9</v>
      </c>
      <c r="AF28" s="103">
        <v>40.6</v>
      </c>
      <c r="AG28" s="103">
        <v>37.299999999999997</v>
      </c>
      <c r="AH28" s="103">
        <v>34.5</v>
      </c>
      <c r="AI28" s="103">
        <v>32.299999999999997</v>
      </c>
      <c r="AJ28" s="103">
        <v>30.3</v>
      </c>
      <c r="AK28" s="103">
        <v>28.7</v>
      </c>
      <c r="AL28" s="103">
        <v>27.3</v>
      </c>
      <c r="AM28" s="103">
        <v>26.1</v>
      </c>
      <c r="AN28" s="103">
        <v>25</v>
      </c>
      <c r="AO28" s="103">
        <v>24.1</v>
      </c>
      <c r="AP28" s="103">
        <v>23.2</v>
      </c>
      <c r="AQ28" s="103">
        <v>22.5</v>
      </c>
    </row>
    <row r="29" spans="1:43" x14ac:dyDescent="0.25">
      <c r="A29" s="17">
        <v>38</v>
      </c>
      <c r="B29" s="103">
        <v>299.2</v>
      </c>
      <c r="C29" s="103">
        <v>152.6</v>
      </c>
      <c r="D29" s="103">
        <v>103.8</v>
      </c>
      <c r="E29" s="103">
        <v>79.400000000000006</v>
      </c>
      <c r="F29" s="103">
        <v>64.8</v>
      </c>
      <c r="G29" s="103">
        <v>55</v>
      </c>
      <c r="H29" s="103">
        <v>48.1</v>
      </c>
      <c r="I29" s="103">
        <v>42.9</v>
      </c>
      <c r="J29" s="103">
        <v>38.9</v>
      </c>
      <c r="K29" s="103">
        <v>35.700000000000003</v>
      </c>
      <c r="L29" s="103">
        <v>33</v>
      </c>
      <c r="M29" s="103">
        <v>30.9</v>
      </c>
      <c r="N29" s="103">
        <v>29</v>
      </c>
      <c r="O29" s="103">
        <v>27.5</v>
      </c>
      <c r="P29" s="103">
        <v>26.1</v>
      </c>
      <c r="Q29" s="103">
        <v>25</v>
      </c>
      <c r="R29" s="103">
        <v>23.9</v>
      </c>
      <c r="S29" s="103">
        <v>23</v>
      </c>
      <c r="T29" s="103">
        <v>22.2</v>
      </c>
      <c r="U29" s="103">
        <v>21.5</v>
      </c>
      <c r="W29" s="17">
        <v>38</v>
      </c>
      <c r="X29" s="103">
        <v>318.60000000000002</v>
      </c>
      <c r="Y29" s="103">
        <v>162.5</v>
      </c>
      <c r="Z29" s="103">
        <v>110.5</v>
      </c>
      <c r="AA29" s="103">
        <v>84.5</v>
      </c>
      <c r="AB29" s="103">
        <v>69</v>
      </c>
      <c r="AC29" s="103">
        <v>58.6</v>
      </c>
      <c r="AD29" s="103">
        <v>51.2</v>
      </c>
      <c r="AE29" s="103">
        <v>45.7</v>
      </c>
      <c r="AF29" s="103">
        <v>41.4</v>
      </c>
      <c r="AG29" s="103">
        <v>38</v>
      </c>
      <c r="AH29" s="103">
        <v>35.200000000000003</v>
      </c>
      <c r="AI29" s="103">
        <v>32.9</v>
      </c>
      <c r="AJ29" s="103">
        <v>30.9</v>
      </c>
      <c r="AK29" s="103">
        <v>29.3</v>
      </c>
      <c r="AL29" s="103">
        <v>27.8</v>
      </c>
      <c r="AM29" s="103">
        <v>26.6</v>
      </c>
      <c r="AN29" s="103">
        <v>25.5</v>
      </c>
      <c r="AO29" s="103">
        <v>24.5</v>
      </c>
      <c r="AP29" s="103">
        <v>23.7</v>
      </c>
      <c r="AQ29" s="103">
        <v>22.9</v>
      </c>
    </row>
    <row r="30" spans="1:43" x14ac:dyDescent="0.25">
      <c r="A30" s="17">
        <v>39</v>
      </c>
      <c r="B30" s="103">
        <v>304.60000000000002</v>
      </c>
      <c r="C30" s="103">
        <v>155.4</v>
      </c>
      <c r="D30" s="103">
        <v>105.7</v>
      </c>
      <c r="E30" s="103">
        <v>80.8</v>
      </c>
      <c r="F30" s="103">
        <v>65.900000000000006</v>
      </c>
      <c r="G30" s="103">
        <v>56</v>
      </c>
      <c r="H30" s="103">
        <v>49</v>
      </c>
      <c r="I30" s="103">
        <v>43.7</v>
      </c>
      <c r="J30" s="103">
        <v>39.6</v>
      </c>
      <c r="K30" s="103">
        <v>36.299999999999997</v>
      </c>
      <c r="L30" s="103">
        <v>33.700000000000003</v>
      </c>
      <c r="M30" s="103">
        <v>31.5</v>
      </c>
      <c r="N30" s="103">
        <v>29.6</v>
      </c>
      <c r="O30" s="103">
        <v>28</v>
      </c>
      <c r="P30" s="103">
        <v>26.6</v>
      </c>
      <c r="Q30" s="103">
        <v>25.4</v>
      </c>
      <c r="R30" s="103">
        <v>24.4</v>
      </c>
      <c r="S30" s="103">
        <v>23.5</v>
      </c>
      <c r="T30" s="103">
        <v>22.7</v>
      </c>
      <c r="U30" s="103">
        <v>21.9</v>
      </c>
      <c r="W30" s="17">
        <v>39</v>
      </c>
      <c r="X30" s="103">
        <v>324.3</v>
      </c>
      <c r="Y30" s="103">
        <v>165.4</v>
      </c>
      <c r="Z30" s="103">
        <v>112.5</v>
      </c>
      <c r="AA30" s="103">
        <v>86</v>
      </c>
      <c r="AB30" s="103">
        <v>70.2</v>
      </c>
      <c r="AC30" s="103">
        <v>59.7</v>
      </c>
      <c r="AD30" s="103">
        <v>52.1</v>
      </c>
      <c r="AE30" s="103">
        <v>46.5</v>
      </c>
      <c r="AF30" s="103">
        <v>42.1</v>
      </c>
      <c r="AG30" s="103">
        <v>38.700000000000003</v>
      </c>
      <c r="AH30" s="103">
        <v>35.799999999999997</v>
      </c>
      <c r="AI30" s="103">
        <v>33.5</v>
      </c>
      <c r="AJ30" s="103">
        <v>31.5</v>
      </c>
      <c r="AK30" s="103">
        <v>29.8</v>
      </c>
      <c r="AL30" s="103">
        <v>28.4</v>
      </c>
      <c r="AM30" s="103">
        <v>27.1</v>
      </c>
      <c r="AN30" s="103">
        <v>26</v>
      </c>
      <c r="AO30" s="103">
        <v>25</v>
      </c>
      <c r="AP30" s="103">
        <v>24.1</v>
      </c>
      <c r="AQ30" s="103">
        <v>23.4</v>
      </c>
    </row>
    <row r="31" spans="1:43" x14ac:dyDescent="0.25">
      <c r="A31" s="17">
        <v>40</v>
      </c>
      <c r="B31" s="103">
        <v>310.10000000000002</v>
      </c>
      <c r="C31" s="103">
        <v>158.19999999999999</v>
      </c>
      <c r="D31" s="103">
        <v>107.6</v>
      </c>
      <c r="E31" s="103">
        <v>82.3</v>
      </c>
      <c r="F31" s="103">
        <v>67.099999999999994</v>
      </c>
      <c r="G31" s="103">
        <v>57.1</v>
      </c>
      <c r="H31" s="103">
        <v>49.9</v>
      </c>
      <c r="I31" s="103">
        <v>44.5</v>
      </c>
      <c r="J31" s="103">
        <v>40.299999999999997</v>
      </c>
      <c r="K31" s="103">
        <v>37</v>
      </c>
      <c r="L31" s="103">
        <v>34.299999999999997</v>
      </c>
      <c r="M31" s="103">
        <v>32</v>
      </c>
      <c r="N31" s="103">
        <v>30.2</v>
      </c>
      <c r="O31" s="103">
        <v>28.5</v>
      </c>
      <c r="P31" s="103">
        <v>27.1</v>
      </c>
      <c r="Q31" s="103">
        <v>25.9</v>
      </c>
      <c r="R31" s="103">
        <v>24.9</v>
      </c>
      <c r="S31" s="103">
        <v>24</v>
      </c>
      <c r="T31" s="103">
        <v>23.1</v>
      </c>
      <c r="U31" s="103"/>
      <c r="W31" s="17">
        <v>40</v>
      </c>
      <c r="X31" s="103">
        <v>330.1</v>
      </c>
      <c r="Y31" s="103">
        <v>168.4</v>
      </c>
      <c r="Z31" s="103">
        <v>114.5</v>
      </c>
      <c r="AA31" s="103">
        <v>87.6</v>
      </c>
      <c r="AB31" s="103">
        <v>71.5</v>
      </c>
      <c r="AC31" s="103">
        <v>60.7</v>
      </c>
      <c r="AD31" s="103">
        <v>53.1</v>
      </c>
      <c r="AE31" s="103">
        <v>47.4</v>
      </c>
      <c r="AF31" s="103">
        <v>42.9</v>
      </c>
      <c r="AG31" s="103">
        <v>39.4</v>
      </c>
      <c r="AH31" s="103">
        <v>36.5</v>
      </c>
      <c r="AI31" s="103">
        <v>34.1</v>
      </c>
      <c r="AJ31" s="103">
        <v>32.1</v>
      </c>
      <c r="AK31" s="103">
        <v>30.4</v>
      </c>
      <c r="AL31" s="103">
        <v>28.9</v>
      </c>
      <c r="AM31" s="103">
        <v>27.6</v>
      </c>
      <c r="AN31" s="103">
        <v>26.5</v>
      </c>
      <c r="AO31" s="103">
        <v>25.5</v>
      </c>
      <c r="AP31" s="103">
        <v>24.6</v>
      </c>
      <c r="AQ31" s="103"/>
    </row>
    <row r="32" spans="1:43" x14ac:dyDescent="0.25">
      <c r="A32" s="17">
        <v>41</v>
      </c>
      <c r="B32" s="103">
        <v>315.7</v>
      </c>
      <c r="C32" s="103">
        <v>161.1</v>
      </c>
      <c r="D32" s="103">
        <v>109.5</v>
      </c>
      <c r="E32" s="103">
        <v>83.8</v>
      </c>
      <c r="F32" s="103">
        <v>68.400000000000006</v>
      </c>
      <c r="G32" s="103">
        <v>58.1</v>
      </c>
      <c r="H32" s="103">
        <v>50.8</v>
      </c>
      <c r="I32" s="103">
        <v>45.3</v>
      </c>
      <c r="J32" s="103">
        <v>41.1</v>
      </c>
      <c r="K32" s="103">
        <v>37.700000000000003</v>
      </c>
      <c r="L32" s="103">
        <v>34.9</v>
      </c>
      <c r="M32" s="103">
        <v>32.700000000000003</v>
      </c>
      <c r="N32" s="103">
        <v>30.7</v>
      </c>
      <c r="O32" s="103">
        <v>29.1</v>
      </c>
      <c r="P32" s="103">
        <v>27.7</v>
      </c>
      <c r="Q32" s="103">
        <v>26.5</v>
      </c>
      <c r="R32" s="103">
        <v>25.4</v>
      </c>
      <c r="S32" s="103">
        <v>24.4</v>
      </c>
      <c r="T32" s="103"/>
      <c r="U32" s="103"/>
      <c r="W32" s="17">
        <v>41</v>
      </c>
      <c r="X32" s="103">
        <v>336</v>
      </c>
      <c r="Y32" s="103">
        <v>171.4</v>
      </c>
      <c r="Z32" s="103">
        <v>116.6</v>
      </c>
      <c r="AA32" s="103">
        <v>89.2</v>
      </c>
      <c r="AB32" s="103">
        <v>72.8</v>
      </c>
      <c r="AC32" s="103">
        <v>61.8</v>
      </c>
      <c r="AD32" s="103">
        <v>54.1</v>
      </c>
      <c r="AE32" s="103">
        <v>48.2</v>
      </c>
      <c r="AF32" s="103">
        <v>43.7</v>
      </c>
      <c r="AG32" s="103">
        <v>40.1</v>
      </c>
      <c r="AH32" s="103">
        <v>37.200000000000003</v>
      </c>
      <c r="AI32" s="103">
        <v>34.799999999999997</v>
      </c>
      <c r="AJ32" s="103">
        <v>32.700000000000003</v>
      </c>
      <c r="AK32" s="103">
        <v>31</v>
      </c>
      <c r="AL32" s="103">
        <v>29.5</v>
      </c>
      <c r="AM32" s="103">
        <v>28.2</v>
      </c>
      <c r="AN32" s="103">
        <v>27</v>
      </c>
      <c r="AO32" s="103">
        <v>26</v>
      </c>
      <c r="AP32" s="103"/>
      <c r="AQ32" s="103"/>
    </row>
    <row r="33" spans="1:43" x14ac:dyDescent="0.25">
      <c r="A33" s="17">
        <v>42</v>
      </c>
      <c r="B33" s="103">
        <v>321.5</v>
      </c>
      <c r="C33" s="103">
        <v>164</v>
      </c>
      <c r="D33" s="103">
        <v>111.5</v>
      </c>
      <c r="E33" s="103">
        <v>85.3</v>
      </c>
      <c r="F33" s="103">
        <v>69.599999999999994</v>
      </c>
      <c r="G33" s="103">
        <v>59.2</v>
      </c>
      <c r="H33" s="103">
        <v>51.7</v>
      </c>
      <c r="I33" s="103">
        <v>46.2</v>
      </c>
      <c r="J33" s="103">
        <v>41.9</v>
      </c>
      <c r="K33" s="103">
        <v>38.4</v>
      </c>
      <c r="L33" s="103">
        <v>35.6</v>
      </c>
      <c r="M33" s="103">
        <v>33.299999999999997</v>
      </c>
      <c r="N33" s="103">
        <v>31.3</v>
      </c>
      <c r="O33" s="103">
        <v>29.7</v>
      </c>
      <c r="P33" s="103">
        <v>28.2</v>
      </c>
      <c r="Q33" s="103">
        <v>27</v>
      </c>
      <c r="R33" s="103">
        <v>25.9</v>
      </c>
      <c r="S33" s="103"/>
      <c r="T33" s="103"/>
      <c r="U33" s="103"/>
      <c r="W33" s="17">
        <v>42</v>
      </c>
      <c r="X33" s="103">
        <v>342.1</v>
      </c>
      <c r="Y33" s="103">
        <v>174.5</v>
      </c>
      <c r="Z33" s="103">
        <v>118.7</v>
      </c>
      <c r="AA33" s="103">
        <v>90.8</v>
      </c>
      <c r="AB33" s="103">
        <v>74.099999999999994</v>
      </c>
      <c r="AC33" s="103">
        <v>63</v>
      </c>
      <c r="AD33" s="103">
        <v>55.1</v>
      </c>
      <c r="AE33" s="103">
        <v>49.1</v>
      </c>
      <c r="AF33" s="103">
        <v>44.5</v>
      </c>
      <c r="AG33" s="103">
        <v>40.9</v>
      </c>
      <c r="AH33" s="103">
        <v>37.9</v>
      </c>
      <c r="AI33" s="103">
        <v>35.4</v>
      </c>
      <c r="AJ33" s="103">
        <v>33.299999999999997</v>
      </c>
      <c r="AK33" s="103">
        <v>31.6</v>
      </c>
      <c r="AL33" s="103">
        <v>30</v>
      </c>
      <c r="AM33" s="103">
        <v>28.7</v>
      </c>
      <c r="AN33" s="103">
        <v>27.5</v>
      </c>
      <c r="AO33" s="103"/>
      <c r="AP33" s="103"/>
      <c r="AQ33" s="103"/>
    </row>
    <row r="34" spans="1:43" x14ac:dyDescent="0.25">
      <c r="A34" s="17">
        <v>43</v>
      </c>
      <c r="B34" s="103">
        <v>327.39999999999998</v>
      </c>
      <c r="C34" s="103">
        <v>167</v>
      </c>
      <c r="D34" s="103">
        <v>113.6</v>
      </c>
      <c r="E34" s="103">
        <v>86.9</v>
      </c>
      <c r="F34" s="103">
        <v>70.900000000000006</v>
      </c>
      <c r="G34" s="103">
        <v>60.3</v>
      </c>
      <c r="H34" s="103">
        <v>52.7</v>
      </c>
      <c r="I34" s="103">
        <v>47.1</v>
      </c>
      <c r="J34" s="103">
        <v>42.7</v>
      </c>
      <c r="K34" s="103">
        <v>39.200000000000003</v>
      </c>
      <c r="L34" s="103">
        <v>36.299999999999997</v>
      </c>
      <c r="M34" s="103">
        <v>33.9</v>
      </c>
      <c r="N34" s="103">
        <v>32</v>
      </c>
      <c r="O34" s="103">
        <v>30.3</v>
      </c>
      <c r="P34" s="103">
        <v>28.8</v>
      </c>
      <c r="Q34" s="103">
        <v>27.5</v>
      </c>
      <c r="R34" s="103"/>
      <c r="S34" s="103"/>
      <c r="T34" s="103"/>
      <c r="U34" s="103"/>
      <c r="W34" s="17">
        <v>43</v>
      </c>
      <c r="X34" s="103">
        <v>348.3</v>
      </c>
      <c r="Y34" s="103">
        <v>177.7</v>
      </c>
      <c r="Z34" s="103">
        <v>120.9</v>
      </c>
      <c r="AA34" s="103">
        <v>92.5</v>
      </c>
      <c r="AB34" s="103">
        <v>75.5</v>
      </c>
      <c r="AC34" s="103">
        <v>64.2</v>
      </c>
      <c r="AD34" s="103">
        <v>56.1</v>
      </c>
      <c r="AE34" s="103">
        <v>50.1</v>
      </c>
      <c r="AF34" s="103">
        <v>45.4</v>
      </c>
      <c r="AG34" s="103">
        <v>41.7</v>
      </c>
      <c r="AH34" s="103">
        <v>38.6</v>
      </c>
      <c r="AI34" s="103">
        <v>36.1</v>
      </c>
      <c r="AJ34" s="103">
        <v>34</v>
      </c>
      <c r="AK34" s="103">
        <v>32.200000000000003</v>
      </c>
      <c r="AL34" s="103">
        <v>30.6</v>
      </c>
      <c r="AM34" s="103">
        <v>29.3</v>
      </c>
      <c r="AN34" s="103"/>
      <c r="AO34" s="103"/>
      <c r="AP34" s="103"/>
      <c r="AQ34" s="103"/>
    </row>
    <row r="35" spans="1:43" x14ac:dyDescent="0.25">
      <c r="A35" s="17">
        <v>44</v>
      </c>
      <c r="B35" s="103">
        <v>333.4</v>
      </c>
      <c r="C35" s="103">
        <v>170.1</v>
      </c>
      <c r="D35" s="103">
        <v>115.7</v>
      </c>
      <c r="E35" s="103">
        <v>88.6</v>
      </c>
      <c r="F35" s="103">
        <v>72.3</v>
      </c>
      <c r="G35" s="103">
        <v>61.5</v>
      </c>
      <c r="H35" s="103">
        <v>53.7</v>
      </c>
      <c r="I35" s="103">
        <v>48</v>
      </c>
      <c r="J35" s="103">
        <v>43.5</v>
      </c>
      <c r="K35" s="103">
        <v>39.9</v>
      </c>
      <c r="L35" s="103">
        <v>37</v>
      </c>
      <c r="M35" s="103">
        <v>34.6</v>
      </c>
      <c r="N35" s="103">
        <v>32.6</v>
      </c>
      <c r="O35" s="103">
        <v>30.9</v>
      </c>
      <c r="P35" s="103">
        <v>29.4</v>
      </c>
      <c r="Q35" s="103"/>
      <c r="R35" s="103"/>
      <c r="S35" s="103"/>
      <c r="T35" s="103"/>
      <c r="U35" s="103"/>
      <c r="W35" s="17">
        <v>44</v>
      </c>
      <c r="X35" s="103">
        <v>354.6</v>
      </c>
      <c r="Y35" s="103">
        <v>180.9</v>
      </c>
      <c r="Z35" s="103">
        <v>123.1</v>
      </c>
      <c r="AA35" s="103">
        <v>94.2</v>
      </c>
      <c r="AB35" s="103">
        <v>76.900000000000006</v>
      </c>
      <c r="AC35" s="103">
        <v>65.400000000000006</v>
      </c>
      <c r="AD35" s="103">
        <v>57.2</v>
      </c>
      <c r="AE35" s="103">
        <v>51</v>
      </c>
      <c r="AF35" s="103">
        <v>46.3</v>
      </c>
      <c r="AG35" s="103">
        <v>42.5</v>
      </c>
      <c r="AH35" s="103">
        <v>39.4</v>
      </c>
      <c r="AI35" s="103">
        <v>36.799999999999997</v>
      </c>
      <c r="AJ35" s="103">
        <v>34.700000000000003</v>
      </c>
      <c r="AK35" s="103">
        <v>32.799999999999997</v>
      </c>
      <c r="AL35" s="103">
        <v>31.3</v>
      </c>
      <c r="AM35" s="103"/>
      <c r="AN35" s="103"/>
      <c r="AO35" s="103"/>
      <c r="AP35" s="103"/>
      <c r="AQ35" s="103"/>
    </row>
    <row r="36" spans="1:43" x14ac:dyDescent="0.25">
      <c r="A36" s="17">
        <v>45</v>
      </c>
      <c r="B36" s="103">
        <v>339.5</v>
      </c>
      <c r="C36" s="103">
        <v>173.3</v>
      </c>
      <c r="D36" s="103">
        <v>117.9</v>
      </c>
      <c r="E36" s="103">
        <v>90.2</v>
      </c>
      <c r="F36" s="103">
        <v>73.7</v>
      </c>
      <c r="G36" s="103">
        <v>62.6</v>
      </c>
      <c r="H36" s="103">
        <v>54.8</v>
      </c>
      <c r="I36" s="103">
        <v>48.9</v>
      </c>
      <c r="J36" s="103">
        <v>44.4</v>
      </c>
      <c r="K36" s="103">
        <v>40.700000000000003</v>
      </c>
      <c r="L36" s="103">
        <v>37.799999999999997</v>
      </c>
      <c r="M36" s="103">
        <v>35.299999999999997</v>
      </c>
      <c r="N36" s="103">
        <v>33.299999999999997</v>
      </c>
      <c r="O36" s="103">
        <v>31.5</v>
      </c>
      <c r="P36" s="103"/>
      <c r="Q36" s="103"/>
      <c r="R36" s="103"/>
      <c r="S36" s="103"/>
      <c r="T36" s="103"/>
      <c r="U36" s="103"/>
      <c r="W36" s="17">
        <v>45</v>
      </c>
      <c r="X36" s="103">
        <v>361.1</v>
      </c>
      <c r="Y36" s="103">
        <v>184.3</v>
      </c>
      <c r="Z36" s="103">
        <v>125.4</v>
      </c>
      <c r="AA36" s="103">
        <v>95.9</v>
      </c>
      <c r="AB36" s="103">
        <v>78.3</v>
      </c>
      <c r="AC36" s="103">
        <v>66.599999999999994</v>
      </c>
      <c r="AD36" s="103">
        <v>58.2</v>
      </c>
      <c r="AE36" s="103">
        <v>52</v>
      </c>
      <c r="AF36" s="103">
        <v>47.2</v>
      </c>
      <c r="AG36" s="103">
        <v>43.3</v>
      </c>
      <c r="AH36" s="103">
        <v>40.200000000000003</v>
      </c>
      <c r="AI36" s="103">
        <v>37.6</v>
      </c>
      <c r="AJ36" s="103">
        <v>35.4</v>
      </c>
      <c r="AK36" s="103">
        <v>33.5</v>
      </c>
      <c r="AL36" s="103"/>
      <c r="AM36" s="103"/>
      <c r="AN36" s="103"/>
      <c r="AO36" s="103"/>
      <c r="AP36" s="103"/>
      <c r="AQ36" s="103"/>
    </row>
    <row r="37" spans="1:43" x14ac:dyDescent="0.25">
      <c r="A37" s="17">
        <v>46</v>
      </c>
      <c r="B37" s="103">
        <v>345.8</v>
      </c>
      <c r="C37" s="103">
        <v>176.5</v>
      </c>
      <c r="D37" s="103">
        <v>120.1</v>
      </c>
      <c r="E37" s="103">
        <v>91.9</v>
      </c>
      <c r="F37" s="103">
        <v>75.099999999999994</v>
      </c>
      <c r="G37" s="103">
        <v>63.8</v>
      </c>
      <c r="H37" s="103">
        <v>55.8</v>
      </c>
      <c r="I37" s="103">
        <v>49.9</v>
      </c>
      <c r="J37" s="103">
        <v>45.2</v>
      </c>
      <c r="K37" s="103">
        <v>41.5</v>
      </c>
      <c r="L37" s="103">
        <v>38.5</v>
      </c>
      <c r="M37" s="103">
        <v>36</v>
      </c>
      <c r="N37" s="103">
        <v>33.9</v>
      </c>
      <c r="O37" s="103"/>
      <c r="P37" s="103"/>
      <c r="Q37" s="103"/>
      <c r="R37" s="103"/>
      <c r="S37" s="103"/>
      <c r="T37" s="103"/>
      <c r="U37" s="103"/>
      <c r="W37" s="17">
        <v>46</v>
      </c>
      <c r="X37" s="103">
        <v>367.7</v>
      </c>
      <c r="Y37" s="103">
        <v>187.6</v>
      </c>
      <c r="Z37" s="103">
        <v>127.7</v>
      </c>
      <c r="AA37" s="103">
        <v>97.7</v>
      </c>
      <c r="AB37" s="103">
        <v>79.8</v>
      </c>
      <c r="AC37" s="103">
        <v>67.900000000000006</v>
      </c>
      <c r="AD37" s="103">
        <v>59.4</v>
      </c>
      <c r="AE37" s="103">
        <v>53</v>
      </c>
      <c r="AF37" s="103">
        <v>48.1</v>
      </c>
      <c r="AG37" s="103">
        <v>44.2</v>
      </c>
      <c r="AH37" s="103">
        <v>41</v>
      </c>
      <c r="AI37" s="103">
        <v>38.299999999999997</v>
      </c>
      <c r="AJ37" s="103">
        <v>36.1</v>
      </c>
      <c r="AK37" s="103"/>
      <c r="AL37" s="103"/>
      <c r="AM37" s="103"/>
      <c r="AN37" s="103"/>
      <c r="AO37" s="103"/>
      <c r="AP37" s="103"/>
      <c r="AQ37" s="103"/>
    </row>
    <row r="38" spans="1:43" x14ac:dyDescent="0.25">
      <c r="A38" s="17">
        <v>47</v>
      </c>
      <c r="B38" s="103">
        <v>352.2</v>
      </c>
      <c r="C38" s="103">
        <v>179.8</v>
      </c>
      <c r="D38" s="103">
        <v>122.4</v>
      </c>
      <c r="E38" s="103">
        <v>93.7</v>
      </c>
      <c r="F38" s="103">
        <v>76.5</v>
      </c>
      <c r="G38" s="103">
        <v>65.099999999999994</v>
      </c>
      <c r="H38" s="103">
        <v>56.9</v>
      </c>
      <c r="I38" s="103">
        <v>50.8</v>
      </c>
      <c r="J38" s="103">
        <v>46.1</v>
      </c>
      <c r="K38" s="103">
        <v>42.4</v>
      </c>
      <c r="L38" s="103">
        <v>39.299999999999997</v>
      </c>
      <c r="M38" s="103">
        <v>36.799999999999997</v>
      </c>
      <c r="N38" s="103"/>
      <c r="O38" s="103"/>
      <c r="P38" s="103"/>
      <c r="Q38" s="103"/>
      <c r="R38" s="103"/>
      <c r="S38" s="103"/>
      <c r="T38" s="103"/>
      <c r="U38" s="103"/>
      <c r="W38" s="17">
        <v>47</v>
      </c>
      <c r="X38" s="103">
        <v>374.4</v>
      </c>
      <c r="Y38" s="103">
        <v>191.1</v>
      </c>
      <c r="Z38" s="103">
        <v>130</v>
      </c>
      <c r="AA38" s="103">
        <v>99.6</v>
      </c>
      <c r="AB38" s="103">
        <v>81.3</v>
      </c>
      <c r="AC38" s="103">
        <v>69.2</v>
      </c>
      <c r="AD38" s="103">
        <v>60.5</v>
      </c>
      <c r="AE38" s="103">
        <v>54</v>
      </c>
      <c r="AF38" s="103">
        <v>49</v>
      </c>
      <c r="AG38" s="103">
        <v>45</v>
      </c>
      <c r="AH38" s="103">
        <v>41.8</v>
      </c>
      <c r="AI38" s="103">
        <v>39.1</v>
      </c>
      <c r="AJ38" s="103"/>
      <c r="AK38" s="103"/>
      <c r="AL38" s="103"/>
      <c r="AM38" s="103"/>
      <c r="AN38" s="103"/>
      <c r="AO38" s="103"/>
      <c r="AP38" s="103"/>
      <c r="AQ38" s="103"/>
    </row>
    <row r="39" spans="1:43" x14ac:dyDescent="0.25">
      <c r="A39" s="17">
        <v>48</v>
      </c>
      <c r="B39" s="103">
        <v>358.8</v>
      </c>
      <c r="C39" s="103">
        <v>183.2</v>
      </c>
      <c r="D39" s="103">
        <v>124.7</v>
      </c>
      <c r="E39" s="103">
        <v>95.5</v>
      </c>
      <c r="F39" s="103">
        <v>78</v>
      </c>
      <c r="G39" s="103">
        <v>66.3</v>
      </c>
      <c r="H39" s="103">
        <v>58.1</v>
      </c>
      <c r="I39" s="103">
        <v>51.9</v>
      </c>
      <c r="J39" s="103">
        <v>47.1</v>
      </c>
      <c r="K39" s="103">
        <v>43.2</v>
      </c>
      <c r="L39" s="103">
        <v>40.1</v>
      </c>
      <c r="M39" s="103"/>
      <c r="N39" s="103"/>
      <c r="O39" s="103"/>
      <c r="P39" s="103"/>
      <c r="Q39" s="103"/>
      <c r="R39" s="103"/>
      <c r="S39" s="103"/>
      <c r="T39" s="103"/>
      <c r="U39" s="103"/>
      <c r="W39" s="17">
        <v>48</v>
      </c>
      <c r="X39" s="103">
        <v>381.2</v>
      </c>
      <c r="Y39" s="103">
        <v>194.6</v>
      </c>
      <c r="Z39" s="103">
        <v>132.5</v>
      </c>
      <c r="AA39" s="103">
        <v>101.4</v>
      </c>
      <c r="AB39" s="103">
        <v>82.9</v>
      </c>
      <c r="AC39" s="103">
        <v>70.5</v>
      </c>
      <c r="AD39" s="103">
        <v>61.7</v>
      </c>
      <c r="AE39" s="103">
        <v>55.1</v>
      </c>
      <c r="AF39" s="103">
        <v>50</v>
      </c>
      <c r="AG39" s="103">
        <v>45.9</v>
      </c>
      <c r="AH39" s="103">
        <v>42.6</v>
      </c>
      <c r="AI39" s="103"/>
      <c r="AJ39" s="103"/>
      <c r="AK39" s="103"/>
      <c r="AL39" s="103"/>
      <c r="AM39" s="103"/>
      <c r="AN39" s="103"/>
      <c r="AO39" s="103"/>
      <c r="AP39" s="103"/>
      <c r="AQ39" s="103"/>
    </row>
    <row r="40" spans="1:43" x14ac:dyDescent="0.25">
      <c r="A40" s="17">
        <v>49</v>
      </c>
      <c r="B40" s="103">
        <v>365.5</v>
      </c>
      <c r="C40" s="103">
        <v>186.6</v>
      </c>
      <c r="D40" s="103">
        <v>127.1</v>
      </c>
      <c r="E40" s="103">
        <v>97.3</v>
      </c>
      <c r="F40" s="103">
        <v>79.5</v>
      </c>
      <c r="G40" s="103">
        <v>67.7</v>
      </c>
      <c r="H40" s="103">
        <v>59.2</v>
      </c>
      <c r="I40" s="103">
        <v>52.9</v>
      </c>
      <c r="J40" s="103">
        <v>48</v>
      </c>
      <c r="K40" s="103">
        <v>44.1</v>
      </c>
      <c r="L40" s="103"/>
      <c r="M40" s="103"/>
      <c r="N40" s="103"/>
      <c r="O40" s="103"/>
      <c r="P40" s="103"/>
      <c r="Q40" s="103"/>
      <c r="R40" s="103"/>
      <c r="S40" s="103"/>
      <c r="T40" s="103"/>
      <c r="U40" s="103"/>
      <c r="W40" s="17">
        <v>49</v>
      </c>
      <c r="X40" s="103">
        <v>388.2</v>
      </c>
      <c r="Y40" s="103">
        <v>198.2</v>
      </c>
      <c r="Z40" s="103">
        <v>135</v>
      </c>
      <c r="AA40" s="103">
        <v>103.4</v>
      </c>
      <c r="AB40" s="103">
        <v>84.4</v>
      </c>
      <c r="AC40" s="103">
        <v>71.900000000000006</v>
      </c>
      <c r="AD40" s="103">
        <v>62.9</v>
      </c>
      <c r="AE40" s="103">
        <v>56.2</v>
      </c>
      <c r="AF40" s="103">
        <v>51</v>
      </c>
      <c r="AG40" s="103">
        <v>46.9</v>
      </c>
      <c r="AH40" s="103"/>
      <c r="AI40" s="103"/>
      <c r="AJ40" s="103"/>
      <c r="AK40" s="103"/>
      <c r="AL40" s="103"/>
      <c r="AM40" s="103"/>
      <c r="AN40" s="103"/>
      <c r="AO40" s="103"/>
      <c r="AP40" s="103"/>
      <c r="AQ40" s="103"/>
    </row>
    <row r="41" spans="1:43" x14ac:dyDescent="0.25">
      <c r="A41" s="17">
        <v>50</v>
      </c>
      <c r="B41" s="103">
        <v>372.4</v>
      </c>
      <c r="C41" s="103">
        <v>190.2</v>
      </c>
      <c r="D41" s="103">
        <v>129.5</v>
      </c>
      <c r="E41" s="103">
        <v>99.2</v>
      </c>
      <c r="F41" s="103">
        <v>81.099999999999994</v>
      </c>
      <c r="G41" s="103">
        <v>69</v>
      </c>
      <c r="H41" s="103">
        <v>60.4</v>
      </c>
      <c r="I41" s="103">
        <v>54</v>
      </c>
      <c r="J41" s="103">
        <v>49</v>
      </c>
      <c r="K41" s="103"/>
      <c r="L41" s="103"/>
      <c r="M41" s="103"/>
      <c r="N41" s="103"/>
      <c r="O41" s="103"/>
      <c r="P41" s="103"/>
      <c r="Q41" s="103"/>
      <c r="R41" s="103"/>
      <c r="S41" s="103"/>
      <c r="T41" s="103"/>
      <c r="U41" s="103"/>
      <c r="W41" s="17">
        <v>50</v>
      </c>
      <c r="X41" s="103">
        <v>395.4</v>
      </c>
      <c r="Y41" s="103">
        <v>201.9</v>
      </c>
      <c r="Z41" s="103">
        <v>137.5</v>
      </c>
      <c r="AA41" s="103">
        <v>105.3</v>
      </c>
      <c r="AB41" s="103">
        <v>86.1</v>
      </c>
      <c r="AC41" s="103">
        <v>73.3</v>
      </c>
      <c r="AD41" s="103">
        <v>64.099999999999994</v>
      </c>
      <c r="AE41" s="103">
        <v>57.3</v>
      </c>
      <c r="AF41" s="103">
        <v>52</v>
      </c>
      <c r="AG41" s="103"/>
      <c r="AH41" s="103"/>
      <c r="AI41" s="103"/>
      <c r="AJ41" s="103"/>
      <c r="AK41" s="103"/>
      <c r="AL41" s="103"/>
      <c r="AM41" s="103"/>
      <c r="AN41" s="103"/>
      <c r="AO41" s="103"/>
      <c r="AP41" s="103"/>
      <c r="AQ41" s="103"/>
    </row>
    <row r="42" spans="1:43" x14ac:dyDescent="0.25">
      <c r="A42" s="17">
        <v>51</v>
      </c>
      <c r="B42" s="103">
        <v>379.4</v>
      </c>
      <c r="C42" s="103">
        <v>193.8</v>
      </c>
      <c r="D42" s="103">
        <v>132</v>
      </c>
      <c r="E42" s="103">
        <v>101.1</v>
      </c>
      <c r="F42" s="103">
        <v>82.7</v>
      </c>
      <c r="G42" s="103">
        <v>70.400000000000006</v>
      </c>
      <c r="H42" s="103">
        <v>61.6</v>
      </c>
      <c r="I42" s="103">
        <v>55.1</v>
      </c>
      <c r="J42" s="103"/>
      <c r="K42" s="103"/>
      <c r="L42" s="103"/>
      <c r="M42" s="103"/>
      <c r="N42" s="103"/>
      <c r="O42" s="103"/>
      <c r="P42" s="103"/>
      <c r="Q42" s="103"/>
      <c r="R42" s="103"/>
      <c r="S42" s="103"/>
      <c r="T42" s="103"/>
      <c r="U42" s="103"/>
      <c r="W42" s="17">
        <v>51</v>
      </c>
      <c r="X42" s="103">
        <v>402.7</v>
      </c>
      <c r="Y42" s="103">
        <v>205.7</v>
      </c>
      <c r="Z42" s="103">
        <v>140.1</v>
      </c>
      <c r="AA42" s="103">
        <v>107.4</v>
      </c>
      <c r="AB42" s="103">
        <v>87.7</v>
      </c>
      <c r="AC42" s="103">
        <v>74.7</v>
      </c>
      <c r="AD42" s="103">
        <v>65.400000000000006</v>
      </c>
      <c r="AE42" s="103">
        <v>58.5</v>
      </c>
      <c r="AF42" s="103"/>
      <c r="AG42" s="103"/>
      <c r="AH42" s="103"/>
      <c r="AI42" s="103"/>
      <c r="AJ42" s="103"/>
      <c r="AK42" s="103"/>
      <c r="AL42" s="103"/>
      <c r="AM42" s="103"/>
      <c r="AN42" s="103"/>
      <c r="AO42" s="103"/>
      <c r="AP42" s="103"/>
      <c r="AQ42" s="103"/>
    </row>
    <row r="43" spans="1:43" x14ac:dyDescent="0.25">
      <c r="A43" s="17">
        <v>52</v>
      </c>
      <c r="B43" s="103">
        <v>386.6</v>
      </c>
      <c r="C43" s="103">
        <v>197.5</v>
      </c>
      <c r="D43" s="103">
        <v>134.6</v>
      </c>
      <c r="E43" s="103">
        <v>103.1</v>
      </c>
      <c r="F43" s="103">
        <v>84.3</v>
      </c>
      <c r="G43" s="103">
        <v>71.8</v>
      </c>
      <c r="H43" s="103">
        <v>62.9</v>
      </c>
      <c r="I43" s="103"/>
      <c r="J43" s="103"/>
      <c r="K43" s="103"/>
      <c r="L43" s="103"/>
      <c r="M43" s="103"/>
      <c r="N43" s="103"/>
      <c r="O43" s="103"/>
      <c r="P43" s="103"/>
      <c r="Q43" s="103"/>
      <c r="R43" s="103"/>
      <c r="S43" s="103"/>
      <c r="T43" s="103"/>
      <c r="U43" s="103"/>
      <c r="W43" s="17">
        <v>52</v>
      </c>
      <c r="X43" s="103">
        <v>410.1</v>
      </c>
      <c r="Y43" s="103">
        <v>209.6</v>
      </c>
      <c r="Z43" s="103">
        <v>142.80000000000001</v>
      </c>
      <c r="AA43" s="103">
        <v>109.4</v>
      </c>
      <c r="AB43" s="103">
        <v>89.4</v>
      </c>
      <c r="AC43" s="103">
        <v>76.2</v>
      </c>
      <c r="AD43" s="103">
        <v>66.7</v>
      </c>
      <c r="AE43" s="103"/>
      <c r="AF43" s="103"/>
      <c r="AG43" s="103"/>
      <c r="AH43" s="103"/>
      <c r="AI43" s="103"/>
      <c r="AJ43" s="103"/>
      <c r="AK43" s="103"/>
      <c r="AL43" s="103"/>
      <c r="AM43" s="103"/>
      <c r="AN43" s="103"/>
      <c r="AO43" s="103"/>
      <c r="AP43" s="103"/>
      <c r="AQ43" s="103"/>
    </row>
    <row r="44" spans="1:43" x14ac:dyDescent="0.25">
      <c r="A44" s="17">
        <v>53</v>
      </c>
      <c r="B44" s="103">
        <v>393.8</v>
      </c>
      <c r="C44" s="103">
        <v>201.3</v>
      </c>
      <c r="D44" s="103">
        <v>137.19999999999999</v>
      </c>
      <c r="E44" s="103">
        <v>105.1</v>
      </c>
      <c r="F44" s="103">
        <v>86</v>
      </c>
      <c r="G44" s="103">
        <v>73.2</v>
      </c>
      <c r="H44" s="103"/>
      <c r="I44" s="103"/>
      <c r="J44" s="103"/>
      <c r="K44" s="103"/>
      <c r="L44" s="103"/>
      <c r="M44" s="103"/>
      <c r="N44" s="103"/>
      <c r="O44" s="103"/>
      <c r="P44" s="103"/>
      <c r="Q44" s="103"/>
      <c r="R44" s="103"/>
      <c r="S44" s="103"/>
      <c r="T44" s="103"/>
      <c r="U44" s="103"/>
      <c r="W44" s="17">
        <v>53</v>
      </c>
      <c r="X44" s="103">
        <v>417.7</v>
      </c>
      <c r="Y44" s="103">
        <v>213.5</v>
      </c>
      <c r="Z44" s="103">
        <v>145.5</v>
      </c>
      <c r="AA44" s="103">
        <v>111.5</v>
      </c>
      <c r="AB44" s="103">
        <v>91.2</v>
      </c>
      <c r="AC44" s="103">
        <v>77.7</v>
      </c>
      <c r="AD44" s="103"/>
      <c r="AE44" s="103"/>
      <c r="AF44" s="103"/>
      <c r="AG44" s="103"/>
      <c r="AH44" s="103"/>
      <c r="AI44" s="103"/>
      <c r="AJ44" s="103"/>
      <c r="AK44" s="103"/>
      <c r="AL44" s="103"/>
      <c r="AM44" s="103"/>
      <c r="AN44" s="103"/>
      <c r="AO44" s="103"/>
      <c r="AP44" s="103"/>
      <c r="AQ44" s="103"/>
    </row>
    <row r="45" spans="1:43" x14ac:dyDescent="0.25">
      <c r="A45" s="17">
        <v>54</v>
      </c>
      <c r="B45" s="103">
        <v>401.3</v>
      </c>
      <c r="C45" s="103">
        <v>205.1</v>
      </c>
      <c r="D45" s="103">
        <v>139.80000000000001</v>
      </c>
      <c r="E45" s="103">
        <v>107.2</v>
      </c>
      <c r="F45" s="103">
        <v>87.7</v>
      </c>
      <c r="G45" s="103"/>
      <c r="H45" s="103"/>
      <c r="I45" s="103"/>
      <c r="J45" s="103"/>
      <c r="K45" s="103"/>
      <c r="L45" s="103"/>
      <c r="M45" s="103"/>
      <c r="N45" s="103"/>
      <c r="O45" s="103"/>
      <c r="P45" s="103"/>
      <c r="Q45" s="103"/>
      <c r="R45" s="103"/>
      <c r="S45" s="103"/>
      <c r="T45" s="103"/>
      <c r="U45" s="103"/>
      <c r="W45" s="17">
        <v>54</v>
      </c>
      <c r="X45" s="103">
        <v>425.4</v>
      </c>
      <c r="Y45" s="103">
        <v>217.4</v>
      </c>
      <c r="Z45" s="103">
        <v>148.19999999999999</v>
      </c>
      <c r="AA45" s="103">
        <v>113.6</v>
      </c>
      <c r="AB45" s="103">
        <v>92.9</v>
      </c>
      <c r="AC45" s="103"/>
      <c r="AD45" s="103"/>
      <c r="AE45" s="103"/>
      <c r="AF45" s="103"/>
      <c r="AG45" s="103"/>
      <c r="AH45" s="103"/>
      <c r="AI45" s="103"/>
      <c r="AJ45" s="103"/>
      <c r="AK45" s="103"/>
      <c r="AL45" s="103"/>
      <c r="AM45" s="103"/>
      <c r="AN45" s="103"/>
      <c r="AO45" s="103"/>
      <c r="AP45" s="103"/>
      <c r="AQ45" s="103"/>
    </row>
    <row r="46" spans="1:43" x14ac:dyDescent="0.25">
      <c r="A46" s="17">
        <v>55</v>
      </c>
      <c r="B46" s="103">
        <v>408.8</v>
      </c>
      <c r="C46" s="103">
        <v>209</v>
      </c>
      <c r="D46" s="103">
        <v>142.5</v>
      </c>
      <c r="E46" s="103">
        <v>109.3</v>
      </c>
      <c r="F46" s="103"/>
      <c r="G46" s="103"/>
      <c r="H46" s="103"/>
      <c r="I46" s="103"/>
      <c r="J46" s="103"/>
      <c r="K46" s="103"/>
      <c r="L46" s="103"/>
      <c r="M46" s="103"/>
      <c r="N46" s="103"/>
      <c r="O46" s="103"/>
      <c r="P46" s="103"/>
      <c r="Q46" s="103"/>
      <c r="R46" s="103"/>
      <c r="S46" s="103"/>
      <c r="T46" s="103"/>
      <c r="U46" s="103"/>
      <c r="W46" s="17">
        <v>55</v>
      </c>
      <c r="X46" s="103">
        <v>433.2</v>
      </c>
      <c r="Y46" s="103">
        <v>221.5</v>
      </c>
      <c r="Z46" s="103">
        <v>151</v>
      </c>
      <c r="AA46" s="103">
        <v>115.8</v>
      </c>
      <c r="AB46" s="103"/>
      <c r="AC46" s="103"/>
      <c r="AD46" s="103"/>
      <c r="AE46" s="103"/>
      <c r="AF46" s="103"/>
      <c r="AG46" s="103"/>
      <c r="AH46" s="103"/>
      <c r="AI46" s="103"/>
      <c r="AJ46" s="103"/>
      <c r="AK46" s="103"/>
      <c r="AL46" s="103"/>
      <c r="AM46" s="103"/>
      <c r="AN46" s="103"/>
      <c r="AO46" s="103"/>
      <c r="AP46" s="103"/>
      <c r="AQ46" s="103"/>
    </row>
    <row r="47" spans="1:43" x14ac:dyDescent="0.25">
      <c r="A47" s="17">
        <v>56</v>
      </c>
      <c r="B47" s="103">
        <v>416.5</v>
      </c>
      <c r="C47" s="103">
        <v>213</v>
      </c>
      <c r="D47" s="103">
        <v>145.30000000000001</v>
      </c>
      <c r="E47" s="103"/>
      <c r="F47" s="103"/>
      <c r="G47" s="103"/>
      <c r="H47" s="103"/>
      <c r="I47" s="103"/>
      <c r="J47" s="103"/>
      <c r="K47" s="103"/>
      <c r="L47" s="103"/>
      <c r="M47" s="103"/>
      <c r="N47" s="103"/>
      <c r="O47" s="103"/>
      <c r="P47" s="103"/>
      <c r="Q47" s="103"/>
      <c r="R47" s="103"/>
      <c r="S47" s="103"/>
      <c r="T47" s="103"/>
      <c r="U47" s="103"/>
      <c r="W47" s="17">
        <v>56</v>
      </c>
      <c r="X47" s="103">
        <v>441.1</v>
      </c>
      <c r="Y47" s="103">
        <v>225.6</v>
      </c>
      <c r="Z47" s="103">
        <v>153.80000000000001</v>
      </c>
      <c r="AA47" s="103"/>
      <c r="AB47" s="103"/>
      <c r="AC47" s="103"/>
      <c r="AD47" s="103"/>
      <c r="AE47" s="103"/>
      <c r="AF47" s="103"/>
      <c r="AG47" s="103"/>
      <c r="AH47" s="103"/>
      <c r="AI47" s="103"/>
      <c r="AJ47" s="103"/>
      <c r="AK47" s="103"/>
      <c r="AL47" s="103"/>
      <c r="AM47" s="103"/>
      <c r="AN47" s="103"/>
      <c r="AO47" s="103"/>
      <c r="AP47" s="103"/>
      <c r="AQ47" s="103"/>
    </row>
    <row r="48" spans="1:43" x14ac:dyDescent="0.25">
      <c r="A48" s="17">
        <v>57</v>
      </c>
      <c r="B48" s="103">
        <v>424.4</v>
      </c>
      <c r="C48" s="103">
        <v>217.1</v>
      </c>
      <c r="D48" s="103"/>
      <c r="E48" s="103"/>
      <c r="F48" s="103"/>
      <c r="G48" s="103"/>
      <c r="H48" s="103"/>
      <c r="I48" s="103"/>
      <c r="J48" s="103"/>
      <c r="K48" s="103"/>
      <c r="L48" s="103"/>
      <c r="M48" s="103"/>
      <c r="N48" s="103"/>
      <c r="O48" s="103"/>
      <c r="P48" s="103"/>
      <c r="Q48" s="103"/>
      <c r="R48" s="103"/>
      <c r="S48" s="103"/>
      <c r="T48" s="103"/>
      <c r="U48" s="103"/>
      <c r="W48" s="17">
        <v>57</v>
      </c>
      <c r="X48" s="103">
        <v>449.1</v>
      </c>
      <c r="Y48" s="103">
        <v>229.8</v>
      </c>
      <c r="Z48" s="103"/>
      <c r="AA48" s="103"/>
      <c r="AB48" s="103"/>
      <c r="AC48" s="103"/>
      <c r="AD48" s="103"/>
      <c r="AE48" s="103"/>
      <c r="AF48" s="103"/>
      <c r="AG48" s="103"/>
      <c r="AH48" s="103"/>
      <c r="AI48" s="103"/>
      <c r="AJ48" s="103"/>
      <c r="AK48" s="103"/>
      <c r="AL48" s="103"/>
      <c r="AM48" s="103"/>
      <c r="AN48" s="103"/>
      <c r="AO48" s="103"/>
      <c r="AP48" s="103"/>
      <c r="AQ48" s="103"/>
    </row>
    <row r="49" spans="1:43" x14ac:dyDescent="0.25">
      <c r="A49" s="17">
        <v>58</v>
      </c>
      <c r="B49" s="104">
        <v>432.5</v>
      </c>
      <c r="C49" s="104"/>
      <c r="D49" s="104"/>
      <c r="E49" s="104"/>
      <c r="F49" s="104"/>
      <c r="G49" s="104"/>
      <c r="H49" s="104"/>
      <c r="I49" s="104"/>
      <c r="J49" s="104"/>
      <c r="K49" s="104"/>
      <c r="L49" s="104"/>
      <c r="M49" s="104"/>
      <c r="N49" s="104"/>
      <c r="O49" s="104"/>
      <c r="P49" s="104"/>
      <c r="Q49" s="104"/>
      <c r="R49" s="104"/>
      <c r="S49" s="104"/>
      <c r="T49" s="104"/>
      <c r="U49" s="104"/>
      <c r="W49" s="17">
        <v>58</v>
      </c>
      <c r="X49" s="104">
        <v>457.5</v>
      </c>
      <c r="Y49" s="104"/>
      <c r="Z49" s="104"/>
      <c r="AA49" s="104"/>
      <c r="AB49" s="104"/>
      <c r="AC49" s="104"/>
      <c r="AD49" s="104"/>
      <c r="AE49" s="104"/>
      <c r="AF49" s="104"/>
      <c r="AG49" s="104"/>
      <c r="AH49" s="104"/>
      <c r="AI49" s="104"/>
      <c r="AJ49" s="104"/>
      <c r="AK49" s="104"/>
      <c r="AL49" s="104"/>
      <c r="AM49" s="104"/>
      <c r="AN49" s="104"/>
      <c r="AO49" s="104"/>
      <c r="AP49" s="104"/>
      <c r="AQ49" s="104"/>
    </row>
    <row r="50" spans="1:43" x14ac:dyDescent="0.25">
      <c r="A50" s="17"/>
      <c r="B50" s="20"/>
      <c r="C50" s="20"/>
      <c r="D50" s="20"/>
      <c r="E50" s="20"/>
      <c r="F50" s="20"/>
      <c r="G50" s="20"/>
      <c r="H50" s="20"/>
      <c r="I50" s="20"/>
      <c r="J50" s="20"/>
      <c r="K50" s="20"/>
      <c r="L50" s="20"/>
      <c r="M50" s="20"/>
      <c r="N50" s="20"/>
      <c r="O50" s="20"/>
      <c r="P50" s="20"/>
      <c r="Q50" s="20"/>
      <c r="R50" s="20"/>
      <c r="S50" s="20"/>
      <c r="T50" s="20"/>
      <c r="U50" s="20"/>
      <c r="W50" s="17"/>
      <c r="X50" s="20"/>
      <c r="Y50" s="20"/>
      <c r="Z50" s="20"/>
      <c r="AA50" s="20"/>
      <c r="AB50" s="20"/>
      <c r="AC50" s="20"/>
      <c r="AD50" s="20"/>
      <c r="AE50" s="20"/>
      <c r="AF50" s="20"/>
      <c r="AG50" s="20"/>
      <c r="AH50" s="20"/>
      <c r="AI50" s="20"/>
      <c r="AJ50" s="20"/>
      <c r="AK50" s="20"/>
      <c r="AL50" s="20"/>
      <c r="AM50" s="20"/>
      <c r="AN50" s="20"/>
      <c r="AO50" s="20"/>
      <c r="AP50" s="20"/>
      <c r="AQ50" s="20"/>
    </row>
    <row r="51" spans="1:43" x14ac:dyDescent="0.25">
      <c r="A51" s="17"/>
      <c r="B51" s="20"/>
      <c r="C51" s="20" t="s">
        <v>8</v>
      </c>
      <c r="D51" s="20" t="s">
        <v>8</v>
      </c>
      <c r="E51" s="20" t="s">
        <v>8</v>
      </c>
      <c r="F51" s="20" t="s">
        <v>8</v>
      </c>
      <c r="G51" s="20" t="s">
        <v>8</v>
      </c>
      <c r="H51" s="20" t="s">
        <v>8</v>
      </c>
      <c r="I51" s="20" t="s">
        <v>8</v>
      </c>
      <c r="J51" s="20" t="s">
        <v>8</v>
      </c>
      <c r="K51" s="20" t="s">
        <v>8</v>
      </c>
      <c r="L51" s="20" t="s">
        <v>8</v>
      </c>
      <c r="M51" s="20" t="s">
        <v>8</v>
      </c>
      <c r="N51" s="20" t="s">
        <v>8</v>
      </c>
      <c r="O51" s="20" t="s">
        <v>8</v>
      </c>
      <c r="P51" s="20" t="s">
        <v>8</v>
      </c>
      <c r="Q51" s="20" t="s">
        <v>8</v>
      </c>
      <c r="R51" s="20" t="s">
        <v>8</v>
      </c>
      <c r="S51" s="20" t="s">
        <v>8</v>
      </c>
      <c r="T51" s="20" t="s">
        <v>8</v>
      </c>
      <c r="U51" s="20" t="s">
        <v>8</v>
      </c>
      <c r="W51" s="17"/>
      <c r="X51" s="20"/>
      <c r="Y51" s="20"/>
      <c r="Z51" s="20"/>
      <c r="AA51" s="20"/>
      <c r="AB51" s="20"/>
      <c r="AC51" s="20"/>
      <c r="AD51" s="20"/>
      <c r="AE51" s="20"/>
      <c r="AF51" s="20"/>
      <c r="AG51" s="20"/>
      <c r="AH51" s="20"/>
      <c r="AI51" s="20"/>
      <c r="AJ51" s="20"/>
      <c r="AK51" s="20"/>
      <c r="AL51" s="20"/>
      <c r="AM51" s="20"/>
      <c r="AN51" s="20"/>
      <c r="AO51" s="20"/>
      <c r="AP51" s="20"/>
      <c r="AQ51" s="20"/>
    </row>
    <row r="52" spans="1:43" x14ac:dyDescent="0.25">
      <c r="A52" s="17"/>
      <c r="B52" s="20"/>
      <c r="C52" s="20" t="s">
        <v>8</v>
      </c>
      <c r="D52" s="20" t="s">
        <v>8</v>
      </c>
      <c r="E52" s="20" t="s">
        <v>8</v>
      </c>
      <c r="F52" s="20" t="s">
        <v>8</v>
      </c>
      <c r="G52" s="20" t="s">
        <v>8</v>
      </c>
      <c r="H52" s="20" t="s">
        <v>8</v>
      </c>
      <c r="I52" s="20" t="s">
        <v>8</v>
      </c>
      <c r="J52" s="20" t="s">
        <v>8</v>
      </c>
      <c r="K52" s="20" t="s">
        <v>8</v>
      </c>
      <c r="L52" s="20" t="s">
        <v>8</v>
      </c>
      <c r="M52" s="20" t="s">
        <v>8</v>
      </c>
      <c r="N52" s="20" t="s">
        <v>8</v>
      </c>
      <c r="O52" s="20" t="s">
        <v>8</v>
      </c>
      <c r="P52" s="20" t="s">
        <v>8</v>
      </c>
      <c r="Q52" s="20" t="s">
        <v>8</v>
      </c>
      <c r="R52" s="20" t="s">
        <v>8</v>
      </c>
      <c r="S52" s="20" t="s">
        <v>8</v>
      </c>
      <c r="T52" s="20" t="s">
        <v>8</v>
      </c>
      <c r="U52" s="20" t="s">
        <v>8</v>
      </c>
      <c r="W52" s="17"/>
      <c r="X52" s="20"/>
      <c r="Y52" s="20"/>
      <c r="Z52" s="20"/>
      <c r="AA52" s="20"/>
      <c r="AB52" s="20"/>
      <c r="AC52" s="20"/>
      <c r="AD52" s="20"/>
      <c r="AE52" s="20"/>
      <c r="AF52" s="20"/>
      <c r="AG52" s="20"/>
      <c r="AH52" s="20"/>
      <c r="AI52" s="20"/>
      <c r="AJ52" s="20"/>
      <c r="AK52" s="20"/>
      <c r="AL52" s="20"/>
      <c r="AM52" s="20"/>
      <c r="AN52" s="20"/>
      <c r="AO52" s="20"/>
      <c r="AP52" s="20"/>
      <c r="AQ52" s="20"/>
    </row>
    <row r="53" spans="1:43" x14ac:dyDescent="0.25">
      <c r="A53" s="17"/>
      <c r="B53" s="20"/>
      <c r="C53" s="20" t="s">
        <v>8</v>
      </c>
      <c r="D53" s="20" t="s">
        <v>8</v>
      </c>
      <c r="E53" s="20" t="s">
        <v>8</v>
      </c>
      <c r="F53" s="20" t="s">
        <v>8</v>
      </c>
      <c r="G53" s="20" t="s">
        <v>8</v>
      </c>
      <c r="H53" s="20" t="s">
        <v>8</v>
      </c>
      <c r="I53" s="20" t="s">
        <v>8</v>
      </c>
      <c r="J53" s="20" t="s">
        <v>8</v>
      </c>
      <c r="K53" s="20" t="s">
        <v>8</v>
      </c>
      <c r="L53" s="20" t="s">
        <v>8</v>
      </c>
      <c r="M53" s="20" t="s">
        <v>8</v>
      </c>
      <c r="N53" s="20" t="s">
        <v>8</v>
      </c>
      <c r="O53" s="20" t="s">
        <v>8</v>
      </c>
      <c r="P53" s="20" t="s">
        <v>8</v>
      </c>
      <c r="Q53" s="20" t="s">
        <v>8</v>
      </c>
      <c r="R53" s="20" t="s">
        <v>8</v>
      </c>
      <c r="S53" s="20" t="s">
        <v>8</v>
      </c>
      <c r="T53" s="20" t="s">
        <v>8</v>
      </c>
      <c r="U53" s="20" t="s">
        <v>8</v>
      </c>
      <c r="W53" s="17"/>
      <c r="X53" s="20"/>
      <c r="Y53" s="20"/>
      <c r="Z53" s="20"/>
      <c r="AA53" s="20"/>
      <c r="AB53" s="20"/>
      <c r="AC53" s="20"/>
      <c r="AD53" s="20"/>
      <c r="AE53" s="20"/>
      <c r="AF53" s="20"/>
      <c r="AG53" s="20"/>
      <c r="AH53" s="20"/>
      <c r="AI53" s="20"/>
      <c r="AJ53" s="20"/>
      <c r="AK53" s="20"/>
      <c r="AL53" s="20"/>
      <c r="AM53" s="20"/>
      <c r="AN53" s="20"/>
      <c r="AO53" s="20"/>
      <c r="AP53" s="20"/>
      <c r="AQ53" s="20"/>
    </row>
    <row r="54" spans="1:43" x14ac:dyDescent="0.25">
      <c r="A54" s="17"/>
      <c r="B54" s="20"/>
      <c r="C54" s="20" t="s">
        <v>8</v>
      </c>
      <c r="D54" s="20" t="s">
        <v>8</v>
      </c>
      <c r="E54" s="20" t="s">
        <v>8</v>
      </c>
      <c r="F54" s="20" t="s">
        <v>8</v>
      </c>
      <c r="G54" s="20" t="s">
        <v>8</v>
      </c>
      <c r="H54" s="20" t="s">
        <v>8</v>
      </c>
      <c r="I54" s="20" t="s">
        <v>8</v>
      </c>
      <c r="J54" s="20" t="s">
        <v>8</v>
      </c>
      <c r="K54" s="20" t="s">
        <v>8</v>
      </c>
      <c r="L54" s="20" t="s">
        <v>8</v>
      </c>
      <c r="M54" s="20" t="s">
        <v>8</v>
      </c>
      <c r="N54" s="20" t="s">
        <v>8</v>
      </c>
      <c r="O54" s="20" t="s">
        <v>8</v>
      </c>
      <c r="P54" s="20" t="s">
        <v>8</v>
      </c>
      <c r="Q54" s="20" t="s">
        <v>8</v>
      </c>
      <c r="R54" s="20" t="s">
        <v>8</v>
      </c>
      <c r="S54" s="20" t="s">
        <v>8</v>
      </c>
      <c r="T54" s="20" t="s">
        <v>8</v>
      </c>
      <c r="U54" s="20" t="s">
        <v>8</v>
      </c>
      <c r="W54" s="17"/>
      <c r="X54" s="20"/>
      <c r="Y54" s="20"/>
      <c r="Z54" s="20"/>
      <c r="AA54" s="20"/>
      <c r="AB54" s="20"/>
      <c r="AC54" s="20"/>
      <c r="AD54" s="20"/>
      <c r="AE54" s="20"/>
      <c r="AF54" s="20"/>
      <c r="AG54" s="20"/>
      <c r="AH54" s="20"/>
      <c r="AI54" s="20"/>
      <c r="AJ54" s="20"/>
      <c r="AK54" s="20"/>
      <c r="AL54" s="20"/>
      <c r="AM54" s="20"/>
      <c r="AN54" s="20"/>
      <c r="AO54" s="20"/>
      <c r="AP54" s="20"/>
      <c r="AQ54" s="20"/>
    </row>
    <row r="55" spans="1:43" x14ac:dyDescent="0.25">
      <c r="A55" s="77"/>
      <c r="B55" s="20"/>
      <c r="C55" s="20" t="s">
        <v>8</v>
      </c>
      <c r="D55" s="20" t="s">
        <v>8</v>
      </c>
      <c r="E55" s="20" t="s">
        <v>8</v>
      </c>
      <c r="F55" s="20" t="s">
        <v>8</v>
      </c>
      <c r="G55" s="20" t="s">
        <v>8</v>
      </c>
      <c r="H55" s="20" t="s">
        <v>8</v>
      </c>
      <c r="I55" s="20" t="s">
        <v>8</v>
      </c>
      <c r="J55" s="20" t="s">
        <v>8</v>
      </c>
      <c r="K55" s="20" t="s">
        <v>8</v>
      </c>
      <c r="L55" s="20" t="s">
        <v>8</v>
      </c>
      <c r="M55" s="20" t="s">
        <v>8</v>
      </c>
      <c r="N55" s="20" t="s">
        <v>8</v>
      </c>
      <c r="O55" s="20" t="s">
        <v>8</v>
      </c>
      <c r="P55" s="20" t="s">
        <v>8</v>
      </c>
      <c r="Q55" s="20" t="s">
        <v>8</v>
      </c>
      <c r="R55" s="20" t="s">
        <v>8</v>
      </c>
      <c r="S55" s="20" t="s">
        <v>8</v>
      </c>
      <c r="T55" s="20" t="s">
        <v>8</v>
      </c>
      <c r="U55" s="20" t="s">
        <v>8</v>
      </c>
      <c r="W55" s="77"/>
      <c r="X55" s="20"/>
      <c r="Y55" s="20"/>
      <c r="Z55" s="20"/>
      <c r="AA55" s="20"/>
      <c r="AB55" s="20"/>
      <c r="AC55" s="20"/>
      <c r="AD55" s="20"/>
      <c r="AE55" s="20"/>
      <c r="AF55" s="20"/>
      <c r="AG55" s="20"/>
      <c r="AH55" s="20"/>
      <c r="AI55" s="20"/>
      <c r="AJ55" s="20"/>
      <c r="AK55" s="20"/>
      <c r="AL55" s="20"/>
      <c r="AM55" s="20"/>
      <c r="AN55" s="20"/>
      <c r="AO55" s="20"/>
      <c r="AP55" s="20"/>
      <c r="AQ55" s="20"/>
    </row>
  </sheetData>
  <mergeCells count="2">
    <mergeCell ref="B5:U5"/>
    <mergeCell ref="X5:AQ5"/>
  </mergeCells>
  <conditionalFormatting sqref="B7:U49">
    <cfRule type="expression" dxfId="18" priority="9" stopIfTrue="1">
      <formula>"and('Contributions calculator'!$D$12=$A7,'Contributions calculator'!D47=$B$6)"</formula>
    </cfRule>
  </conditionalFormatting>
  <conditionalFormatting sqref="U1:U2">
    <cfRule type="expression" dxfId="17" priority="1" stopIfTrue="1">
      <formula>MOD(ROW(),2)=0</formula>
    </cfRule>
    <cfRule type="expression" dxfId="16" priority="2" stopIfTrue="1">
      <formula>MOD(ROW(),2)&lt;&gt;0</formula>
    </cfRule>
  </conditionalFormatting>
  <conditionalFormatting sqref="V1">
    <cfRule type="expression" dxfId="15" priority="3" stopIfTrue="1">
      <formula>MOD(ROW(),2)=0</formula>
    </cfRule>
    <cfRule type="expression" dxfId="14" priority="4" stopIfTrue="1">
      <formula>MOD(ROW(),2)&lt;&gt;0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AQ57"/>
  <sheetViews>
    <sheetView topLeftCell="I1" zoomScaleNormal="100" workbookViewId="0">
      <selection activeCell="P1" sqref="P1"/>
    </sheetView>
  </sheetViews>
  <sheetFormatPr defaultColWidth="9.140625" defaultRowHeight="15" x14ac:dyDescent="0.25"/>
  <cols>
    <col min="1" max="1" width="14.28515625" style="15" customWidth="1"/>
    <col min="2" max="3" width="8.85546875" style="15" customWidth="1"/>
    <col min="4" max="4" width="9.140625" style="15"/>
    <col min="5" max="5" width="8.85546875" style="15" customWidth="1"/>
    <col min="6" max="21" width="9.140625" style="15"/>
    <col min="22" max="22" width="14.140625" style="15" bestFit="1" customWidth="1"/>
    <col min="23" max="23" width="14.28515625" style="15" customWidth="1"/>
    <col min="24" max="16384" width="9.140625" style="15"/>
  </cols>
  <sheetData>
    <row r="1" spans="1:43" ht="51.75" x14ac:dyDescent="0.25">
      <c r="U1" s="112" t="s">
        <v>140</v>
      </c>
      <c r="V1" s="113">
        <v>46204</v>
      </c>
    </row>
    <row r="2" spans="1:43" ht="39" x14ac:dyDescent="0.25">
      <c r="A2" s="16" t="s">
        <v>40</v>
      </c>
      <c r="U2" s="112" t="s">
        <v>142</v>
      </c>
      <c r="V2" t="s">
        <v>143</v>
      </c>
      <c r="W2" s="16" t="s">
        <v>40</v>
      </c>
    </row>
    <row r="3" spans="1:43" ht="21" x14ac:dyDescent="0.35">
      <c r="A3" s="16" t="s">
        <v>66</v>
      </c>
      <c r="K3" s="111" t="s">
        <v>127</v>
      </c>
      <c r="W3" s="16" t="s">
        <v>67</v>
      </c>
      <c r="AH3" s="111" t="s">
        <v>126</v>
      </c>
    </row>
    <row r="4" spans="1:43" ht="15.75" thickBot="1" x14ac:dyDescent="0.3"/>
    <row r="5" spans="1:43" ht="51" customHeight="1" thickBot="1" x14ac:dyDescent="0.3">
      <c r="A5" s="18" t="s">
        <v>63</v>
      </c>
      <c r="B5" s="222" t="s">
        <v>41</v>
      </c>
      <c r="C5" s="222"/>
      <c r="D5" s="222"/>
      <c r="E5" s="222"/>
      <c r="F5" s="222"/>
      <c r="G5" s="222"/>
      <c r="H5" s="222"/>
      <c r="I5" s="222"/>
      <c r="J5" s="222"/>
      <c r="K5" s="222"/>
      <c r="L5" s="222"/>
      <c r="M5" s="222"/>
      <c r="N5" s="222"/>
      <c r="O5" s="222"/>
      <c r="P5" s="222"/>
      <c r="Q5" s="222"/>
      <c r="R5" s="222"/>
      <c r="S5" s="222"/>
      <c r="T5" s="222"/>
      <c r="U5" s="222"/>
      <c r="W5" s="18" t="s">
        <v>63</v>
      </c>
      <c r="X5" s="222" t="s">
        <v>41</v>
      </c>
      <c r="Y5" s="222"/>
      <c r="Z5" s="222"/>
      <c r="AA5" s="222"/>
      <c r="AB5" s="222"/>
      <c r="AC5" s="222"/>
      <c r="AD5" s="222"/>
      <c r="AE5" s="222"/>
      <c r="AF5" s="222"/>
      <c r="AG5" s="222"/>
      <c r="AH5" s="222"/>
      <c r="AI5" s="222"/>
      <c r="AJ5" s="222"/>
      <c r="AK5" s="222"/>
      <c r="AL5" s="222"/>
      <c r="AM5" s="222"/>
      <c r="AN5" s="222"/>
      <c r="AO5" s="222"/>
      <c r="AP5" s="222"/>
      <c r="AQ5" s="222"/>
    </row>
    <row r="6" spans="1:43" ht="39" customHeight="1" thickBot="1" x14ac:dyDescent="0.3">
      <c r="A6" s="70" t="s">
        <v>64</v>
      </c>
      <c r="B6" s="19">
        <v>1</v>
      </c>
      <c r="C6" s="19">
        <v>2</v>
      </c>
      <c r="D6" s="19">
        <v>3</v>
      </c>
      <c r="E6" s="19">
        <v>4</v>
      </c>
      <c r="F6" s="19">
        <v>5</v>
      </c>
      <c r="G6" s="19">
        <v>6</v>
      </c>
      <c r="H6" s="19">
        <v>7</v>
      </c>
      <c r="I6" s="19">
        <v>8</v>
      </c>
      <c r="J6" s="19">
        <v>9</v>
      </c>
      <c r="K6" s="19">
        <v>10</v>
      </c>
      <c r="L6" s="19">
        <v>11</v>
      </c>
      <c r="M6" s="19">
        <v>12</v>
      </c>
      <c r="N6" s="19">
        <v>13</v>
      </c>
      <c r="O6" s="19">
        <v>14</v>
      </c>
      <c r="P6" s="19">
        <v>15</v>
      </c>
      <c r="Q6" s="19">
        <v>16</v>
      </c>
      <c r="R6" s="19">
        <v>17</v>
      </c>
      <c r="S6" s="19">
        <v>18</v>
      </c>
      <c r="T6" s="19">
        <v>19</v>
      </c>
      <c r="U6" s="19">
        <v>20</v>
      </c>
      <c r="W6" s="70" t="s">
        <v>64</v>
      </c>
      <c r="X6" s="19">
        <v>1</v>
      </c>
      <c r="Y6" s="19">
        <v>2</v>
      </c>
      <c r="Z6" s="19">
        <v>3</v>
      </c>
      <c r="AA6" s="19">
        <v>4</v>
      </c>
      <c r="AB6" s="19">
        <v>5</v>
      </c>
      <c r="AC6" s="19">
        <v>6</v>
      </c>
      <c r="AD6" s="19">
        <v>7</v>
      </c>
      <c r="AE6" s="19">
        <v>8</v>
      </c>
      <c r="AF6" s="19">
        <v>9</v>
      </c>
      <c r="AG6" s="19">
        <v>10</v>
      </c>
      <c r="AH6" s="19">
        <v>11</v>
      </c>
      <c r="AI6" s="19">
        <v>12</v>
      </c>
      <c r="AJ6" s="19">
        <v>13</v>
      </c>
      <c r="AK6" s="19">
        <v>14</v>
      </c>
      <c r="AL6" s="19">
        <v>15</v>
      </c>
      <c r="AM6" s="19">
        <v>16</v>
      </c>
      <c r="AN6" s="19">
        <v>17</v>
      </c>
      <c r="AO6" s="19">
        <v>18</v>
      </c>
      <c r="AP6" s="19">
        <v>19</v>
      </c>
      <c r="AQ6" s="19">
        <v>20</v>
      </c>
    </row>
    <row r="7" spans="1:43" x14ac:dyDescent="0.25">
      <c r="A7" s="17">
        <v>16</v>
      </c>
      <c r="B7" s="20"/>
      <c r="C7" s="20"/>
      <c r="D7" s="20"/>
      <c r="E7" s="20"/>
      <c r="F7" s="20"/>
      <c r="G7" s="20"/>
      <c r="H7" s="20"/>
      <c r="I7" s="20"/>
      <c r="J7" s="20"/>
      <c r="K7" s="20"/>
      <c r="L7" s="20"/>
      <c r="M7" s="20"/>
      <c r="N7" s="20"/>
      <c r="O7" s="20"/>
      <c r="P7" s="20"/>
      <c r="Q7" s="20"/>
      <c r="R7" s="20"/>
      <c r="S7" s="20"/>
      <c r="T7" s="20"/>
      <c r="U7" s="20"/>
      <c r="W7" s="17">
        <v>16</v>
      </c>
      <c r="X7" s="20"/>
      <c r="Y7" s="20"/>
      <c r="Z7" s="20"/>
      <c r="AA7" s="20"/>
      <c r="AB7" s="20"/>
      <c r="AC7" s="20"/>
      <c r="AD7" s="20"/>
      <c r="AE7" s="20"/>
      <c r="AF7" s="20"/>
      <c r="AG7" s="20"/>
      <c r="AH7" s="20"/>
      <c r="AI7" s="20"/>
      <c r="AJ7" s="20"/>
      <c r="AK7" s="20"/>
      <c r="AL7" s="20"/>
      <c r="AM7" s="20"/>
      <c r="AN7" s="20"/>
      <c r="AO7" s="20"/>
      <c r="AP7" s="20"/>
      <c r="AQ7" s="20"/>
    </row>
    <row r="8" spans="1:43" x14ac:dyDescent="0.25">
      <c r="A8" s="17">
        <v>17</v>
      </c>
      <c r="B8" s="20"/>
      <c r="C8" s="20"/>
      <c r="D8" s="20"/>
      <c r="E8" s="20"/>
      <c r="F8" s="20"/>
      <c r="G8" s="20"/>
      <c r="H8" s="20"/>
      <c r="I8" s="20"/>
      <c r="J8" s="20"/>
      <c r="K8" s="20"/>
      <c r="L8" s="20"/>
      <c r="M8" s="20"/>
      <c r="N8" s="20"/>
      <c r="O8" s="20"/>
      <c r="P8" s="20"/>
      <c r="Q8" s="20"/>
      <c r="R8" s="20"/>
      <c r="S8" s="20"/>
      <c r="T8" s="20"/>
      <c r="U8" s="20"/>
      <c r="W8" s="17">
        <v>17</v>
      </c>
      <c r="X8" s="20"/>
      <c r="Y8" s="20"/>
      <c r="Z8" s="20"/>
      <c r="AA8" s="20"/>
      <c r="AB8" s="20"/>
      <c r="AC8" s="20"/>
      <c r="AD8" s="20"/>
      <c r="AE8" s="20"/>
      <c r="AF8" s="20"/>
      <c r="AG8" s="20"/>
      <c r="AH8" s="20"/>
      <c r="AI8" s="20"/>
      <c r="AJ8" s="20"/>
      <c r="AK8" s="20"/>
      <c r="AL8" s="20"/>
      <c r="AM8" s="20"/>
      <c r="AN8" s="20"/>
      <c r="AO8" s="20"/>
      <c r="AP8" s="20"/>
      <c r="AQ8" s="20"/>
    </row>
    <row r="9" spans="1:43" x14ac:dyDescent="0.25">
      <c r="A9" s="17">
        <v>18</v>
      </c>
      <c r="B9" s="20"/>
      <c r="C9" s="20"/>
      <c r="D9" s="20"/>
      <c r="E9" s="20"/>
      <c r="F9" s="20"/>
      <c r="G9" s="20"/>
      <c r="H9" s="20"/>
      <c r="I9" s="20"/>
      <c r="J9" s="20"/>
      <c r="K9" s="20"/>
      <c r="L9" s="20"/>
      <c r="M9" s="20"/>
      <c r="N9" s="20"/>
      <c r="O9" s="20"/>
      <c r="P9" s="20"/>
      <c r="Q9" s="20"/>
      <c r="R9" s="20"/>
      <c r="S9" s="20"/>
      <c r="T9" s="20"/>
      <c r="U9" s="20"/>
      <c r="W9" s="17">
        <v>18</v>
      </c>
      <c r="X9" s="20"/>
      <c r="Y9" s="20"/>
      <c r="Z9" s="20"/>
      <c r="AA9" s="20"/>
      <c r="AB9" s="20"/>
      <c r="AC9" s="20"/>
      <c r="AD9" s="20"/>
      <c r="AE9" s="20"/>
      <c r="AF9" s="20"/>
      <c r="AG9" s="20"/>
      <c r="AH9" s="20"/>
      <c r="AI9" s="20"/>
      <c r="AJ9" s="20"/>
      <c r="AK9" s="20"/>
      <c r="AL9" s="20"/>
      <c r="AM9" s="20"/>
      <c r="AN9" s="20"/>
      <c r="AO9" s="20"/>
      <c r="AP9" s="20"/>
      <c r="AQ9" s="20"/>
    </row>
    <row r="10" spans="1:43" x14ac:dyDescent="0.25">
      <c r="A10" s="17">
        <v>19</v>
      </c>
      <c r="B10" s="20"/>
      <c r="C10" s="20"/>
      <c r="D10" s="20"/>
      <c r="E10" s="20"/>
      <c r="F10" s="20"/>
      <c r="G10" s="20"/>
      <c r="H10" s="20"/>
      <c r="I10" s="20"/>
      <c r="J10" s="20"/>
      <c r="K10" s="20"/>
      <c r="L10" s="20"/>
      <c r="M10" s="20"/>
      <c r="N10" s="20"/>
      <c r="O10" s="20"/>
      <c r="P10" s="20"/>
      <c r="Q10" s="20"/>
      <c r="R10" s="20"/>
      <c r="S10" s="20"/>
      <c r="T10" s="20"/>
      <c r="U10" s="20"/>
      <c r="W10" s="17">
        <v>19</v>
      </c>
      <c r="X10" s="20"/>
      <c r="Y10" s="20"/>
      <c r="Z10" s="20"/>
      <c r="AA10" s="20"/>
      <c r="AB10" s="20"/>
      <c r="AC10" s="20"/>
      <c r="AD10" s="20"/>
      <c r="AE10" s="20"/>
      <c r="AF10" s="20"/>
      <c r="AG10" s="20"/>
      <c r="AH10" s="20"/>
      <c r="AI10" s="20"/>
      <c r="AJ10" s="20"/>
      <c r="AK10" s="20"/>
      <c r="AL10" s="20"/>
      <c r="AM10" s="20"/>
      <c r="AN10" s="20"/>
      <c r="AO10" s="20"/>
      <c r="AP10" s="20"/>
      <c r="AQ10" s="20"/>
    </row>
    <row r="11" spans="1:43" x14ac:dyDescent="0.25">
      <c r="A11" s="17">
        <v>20</v>
      </c>
      <c r="B11" s="103">
        <v>177.1</v>
      </c>
      <c r="C11" s="103">
        <v>90.3</v>
      </c>
      <c r="D11" s="103">
        <v>61.4</v>
      </c>
      <c r="E11" s="103">
        <v>46.9</v>
      </c>
      <c r="F11" s="103">
        <v>38.299999999999997</v>
      </c>
      <c r="G11" s="103">
        <v>32.5</v>
      </c>
      <c r="H11" s="103">
        <v>28.4</v>
      </c>
      <c r="I11" s="103">
        <v>25.3</v>
      </c>
      <c r="J11" s="103">
        <v>22.9</v>
      </c>
      <c r="K11" s="103">
        <v>21</v>
      </c>
      <c r="L11" s="103">
        <v>19.5</v>
      </c>
      <c r="M11" s="103">
        <v>18.2</v>
      </c>
      <c r="N11" s="103">
        <v>17.100000000000001</v>
      </c>
      <c r="O11" s="103">
        <v>16.2</v>
      </c>
      <c r="P11" s="103">
        <v>15.4</v>
      </c>
      <c r="Q11" s="103">
        <v>14.7</v>
      </c>
      <c r="R11" s="103">
        <v>14</v>
      </c>
      <c r="S11" s="103">
        <v>13.5</v>
      </c>
      <c r="T11" s="103">
        <v>13</v>
      </c>
      <c r="U11" s="103">
        <v>12.6</v>
      </c>
      <c r="W11" s="17">
        <v>20</v>
      </c>
      <c r="X11" s="103">
        <v>191.5</v>
      </c>
      <c r="Y11" s="103">
        <v>97.6</v>
      </c>
      <c r="Z11" s="103">
        <v>66.400000000000006</v>
      </c>
      <c r="AA11" s="103">
        <v>50.8</v>
      </c>
      <c r="AB11" s="103">
        <v>41.4</v>
      </c>
      <c r="AC11" s="103">
        <v>35.200000000000003</v>
      </c>
      <c r="AD11" s="103">
        <v>30.7</v>
      </c>
      <c r="AE11" s="103">
        <v>27.4</v>
      </c>
      <c r="AF11" s="103">
        <v>24.8</v>
      </c>
      <c r="AG11" s="103">
        <v>22.7</v>
      </c>
      <c r="AH11" s="103">
        <v>21.1</v>
      </c>
      <c r="AI11" s="103">
        <v>19.7</v>
      </c>
      <c r="AJ11" s="103">
        <v>18.5</v>
      </c>
      <c r="AK11" s="103">
        <v>17.5</v>
      </c>
      <c r="AL11" s="103">
        <v>16.600000000000001</v>
      </c>
      <c r="AM11" s="103">
        <v>15.9</v>
      </c>
      <c r="AN11" s="103">
        <v>15.2</v>
      </c>
      <c r="AO11" s="103">
        <v>14.6</v>
      </c>
      <c r="AP11" s="103">
        <v>14.1</v>
      </c>
      <c r="AQ11" s="103">
        <v>13.6</v>
      </c>
    </row>
    <row r="12" spans="1:43" x14ac:dyDescent="0.25">
      <c r="A12" s="17">
        <v>21</v>
      </c>
      <c r="B12" s="103">
        <v>180.3</v>
      </c>
      <c r="C12" s="103">
        <v>91.9</v>
      </c>
      <c r="D12" s="103">
        <v>62.5</v>
      </c>
      <c r="E12" s="103">
        <v>47.8</v>
      </c>
      <c r="F12" s="103">
        <v>39</v>
      </c>
      <c r="G12" s="103">
        <v>33.1</v>
      </c>
      <c r="H12" s="103">
        <v>28.9</v>
      </c>
      <c r="I12" s="103">
        <v>25.8</v>
      </c>
      <c r="J12" s="103">
        <v>23.4</v>
      </c>
      <c r="K12" s="103">
        <v>21.4</v>
      </c>
      <c r="L12" s="103">
        <v>19.8</v>
      </c>
      <c r="M12" s="103">
        <v>18.5</v>
      </c>
      <c r="N12" s="103">
        <v>17.399999999999999</v>
      </c>
      <c r="O12" s="103">
        <v>16.5</v>
      </c>
      <c r="P12" s="103">
        <v>15.6</v>
      </c>
      <c r="Q12" s="103">
        <v>14.9</v>
      </c>
      <c r="R12" s="103">
        <v>14.3</v>
      </c>
      <c r="S12" s="103">
        <v>13.8</v>
      </c>
      <c r="T12" s="103">
        <v>13.3</v>
      </c>
      <c r="U12" s="103">
        <v>12.8</v>
      </c>
      <c r="W12" s="17">
        <v>21</v>
      </c>
      <c r="X12" s="103">
        <v>195</v>
      </c>
      <c r="Y12" s="103">
        <v>99.4</v>
      </c>
      <c r="Z12" s="103">
        <v>67.599999999999994</v>
      </c>
      <c r="AA12" s="103">
        <v>51.7</v>
      </c>
      <c r="AB12" s="103">
        <v>42.1</v>
      </c>
      <c r="AC12" s="103">
        <v>35.799999999999997</v>
      </c>
      <c r="AD12" s="103">
        <v>31.3</v>
      </c>
      <c r="AE12" s="103">
        <v>27.9</v>
      </c>
      <c r="AF12" s="103">
        <v>25.3</v>
      </c>
      <c r="AG12" s="103">
        <v>23.2</v>
      </c>
      <c r="AH12" s="103">
        <v>21.4</v>
      </c>
      <c r="AI12" s="103">
        <v>20</v>
      </c>
      <c r="AJ12" s="103">
        <v>18.8</v>
      </c>
      <c r="AK12" s="103">
        <v>17.8</v>
      </c>
      <c r="AL12" s="103">
        <v>16.899999999999999</v>
      </c>
      <c r="AM12" s="103">
        <v>16.100000000000001</v>
      </c>
      <c r="AN12" s="103">
        <v>15.5</v>
      </c>
      <c r="AO12" s="103">
        <v>14.9</v>
      </c>
      <c r="AP12" s="103">
        <v>14.3</v>
      </c>
      <c r="AQ12" s="103">
        <v>13.9</v>
      </c>
    </row>
    <row r="13" spans="1:43" x14ac:dyDescent="0.25">
      <c r="A13" s="17">
        <v>22</v>
      </c>
      <c r="B13" s="103">
        <v>183.5</v>
      </c>
      <c r="C13" s="103">
        <v>93.6</v>
      </c>
      <c r="D13" s="103">
        <v>63.6</v>
      </c>
      <c r="E13" s="103">
        <v>48.6</v>
      </c>
      <c r="F13" s="103">
        <v>39.700000000000003</v>
      </c>
      <c r="G13" s="103">
        <v>33.700000000000003</v>
      </c>
      <c r="H13" s="103">
        <v>29.4</v>
      </c>
      <c r="I13" s="103">
        <v>26.3</v>
      </c>
      <c r="J13" s="103">
        <v>23.8</v>
      </c>
      <c r="K13" s="103">
        <v>21.8</v>
      </c>
      <c r="L13" s="103">
        <v>20.2</v>
      </c>
      <c r="M13" s="103">
        <v>18.899999999999999</v>
      </c>
      <c r="N13" s="103">
        <v>17.7</v>
      </c>
      <c r="O13" s="103">
        <v>16.8</v>
      </c>
      <c r="P13" s="103">
        <v>15.9</v>
      </c>
      <c r="Q13" s="103">
        <v>15.2</v>
      </c>
      <c r="R13" s="103">
        <v>14.6</v>
      </c>
      <c r="S13" s="103">
        <v>14</v>
      </c>
      <c r="T13" s="103">
        <v>13.5</v>
      </c>
      <c r="U13" s="103">
        <v>13</v>
      </c>
      <c r="W13" s="17">
        <v>22</v>
      </c>
      <c r="X13" s="103">
        <v>198.5</v>
      </c>
      <c r="Y13" s="103">
        <v>101.2</v>
      </c>
      <c r="Z13" s="103">
        <v>68.8</v>
      </c>
      <c r="AA13" s="103">
        <v>52.6</v>
      </c>
      <c r="AB13" s="103">
        <v>42.9</v>
      </c>
      <c r="AC13" s="103">
        <v>36.4</v>
      </c>
      <c r="AD13" s="103">
        <v>31.8</v>
      </c>
      <c r="AE13" s="103">
        <v>28.4</v>
      </c>
      <c r="AF13" s="103">
        <v>25.7</v>
      </c>
      <c r="AG13" s="103">
        <v>23.6</v>
      </c>
      <c r="AH13" s="103">
        <v>21.8</v>
      </c>
      <c r="AI13" s="103">
        <v>20.399999999999999</v>
      </c>
      <c r="AJ13" s="103">
        <v>19.2</v>
      </c>
      <c r="AK13" s="103">
        <v>18.100000000000001</v>
      </c>
      <c r="AL13" s="103">
        <v>17.2</v>
      </c>
      <c r="AM13" s="103">
        <v>16.399999999999999</v>
      </c>
      <c r="AN13" s="103">
        <v>15.8</v>
      </c>
      <c r="AO13" s="103">
        <v>15.1</v>
      </c>
      <c r="AP13" s="103">
        <v>14.6</v>
      </c>
      <c r="AQ13" s="103">
        <v>14.1</v>
      </c>
    </row>
    <row r="14" spans="1:43" x14ac:dyDescent="0.25">
      <c r="A14" s="17">
        <v>23</v>
      </c>
      <c r="B14" s="103">
        <v>186.8</v>
      </c>
      <c r="C14" s="103">
        <v>95.3</v>
      </c>
      <c r="D14" s="103">
        <v>64.8</v>
      </c>
      <c r="E14" s="103">
        <v>49.5</v>
      </c>
      <c r="F14" s="103">
        <v>40.4</v>
      </c>
      <c r="G14" s="103">
        <v>34.299999999999997</v>
      </c>
      <c r="H14" s="103">
        <v>30</v>
      </c>
      <c r="I14" s="103">
        <v>26.7</v>
      </c>
      <c r="J14" s="103">
        <v>24.2</v>
      </c>
      <c r="K14" s="103">
        <v>22.2</v>
      </c>
      <c r="L14" s="103">
        <v>20.6</v>
      </c>
      <c r="M14" s="103">
        <v>19.2</v>
      </c>
      <c r="N14" s="103">
        <v>18</v>
      </c>
      <c r="O14" s="103">
        <v>17.100000000000001</v>
      </c>
      <c r="P14" s="103">
        <v>16.2</v>
      </c>
      <c r="Q14" s="103">
        <v>15.5</v>
      </c>
      <c r="R14" s="103">
        <v>14.8</v>
      </c>
      <c r="S14" s="103">
        <v>14.3</v>
      </c>
      <c r="T14" s="103">
        <v>13.7</v>
      </c>
      <c r="U14" s="103">
        <v>13.3</v>
      </c>
      <c r="W14" s="17">
        <v>23</v>
      </c>
      <c r="X14" s="103">
        <v>202.1</v>
      </c>
      <c r="Y14" s="103">
        <v>103</v>
      </c>
      <c r="Z14" s="103">
        <v>70</v>
      </c>
      <c r="AA14" s="103">
        <v>53.6</v>
      </c>
      <c r="AB14" s="103">
        <v>43.7</v>
      </c>
      <c r="AC14" s="103">
        <v>37.1</v>
      </c>
      <c r="AD14" s="103">
        <v>32.4</v>
      </c>
      <c r="AE14" s="103">
        <v>28.9</v>
      </c>
      <c r="AF14" s="103">
        <v>26.2</v>
      </c>
      <c r="AG14" s="103">
        <v>24</v>
      </c>
      <c r="AH14" s="103">
        <v>22.2</v>
      </c>
      <c r="AI14" s="103">
        <v>20.8</v>
      </c>
      <c r="AJ14" s="103">
        <v>19.5</v>
      </c>
      <c r="AK14" s="103">
        <v>18.5</v>
      </c>
      <c r="AL14" s="103">
        <v>17.5</v>
      </c>
      <c r="AM14" s="103">
        <v>16.7</v>
      </c>
      <c r="AN14" s="103">
        <v>16</v>
      </c>
      <c r="AO14" s="103">
        <v>15.4</v>
      </c>
      <c r="AP14" s="103">
        <v>14.9</v>
      </c>
      <c r="AQ14" s="103">
        <v>14.4</v>
      </c>
    </row>
    <row r="15" spans="1:43" x14ac:dyDescent="0.25">
      <c r="A15" s="17">
        <v>24</v>
      </c>
      <c r="B15" s="103">
        <v>190.2</v>
      </c>
      <c r="C15" s="103">
        <v>97</v>
      </c>
      <c r="D15" s="103">
        <v>65.900000000000006</v>
      </c>
      <c r="E15" s="103">
        <v>50.4</v>
      </c>
      <c r="F15" s="103">
        <v>41.1</v>
      </c>
      <c r="G15" s="103">
        <v>34.9</v>
      </c>
      <c r="H15" s="103">
        <v>30.5</v>
      </c>
      <c r="I15" s="103">
        <v>27.2</v>
      </c>
      <c r="J15" s="103">
        <v>24.6</v>
      </c>
      <c r="K15" s="103">
        <v>22.6</v>
      </c>
      <c r="L15" s="103">
        <v>20.9</v>
      </c>
      <c r="M15" s="103">
        <v>19.5</v>
      </c>
      <c r="N15" s="103">
        <v>18.399999999999999</v>
      </c>
      <c r="O15" s="103">
        <v>17.399999999999999</v>
      </c>
      <c r="P15" s="103">
        <v>16.5</v>
      </c>
      <c r="Q15" s="103">
        <v>15.8</v>
      </c>
      <c r="R15" s="103">
        <v>15.1</v>
      </c>
      <c r="S15" s="103">
        <v>14.5</v>
      </c>
      <c r="T15" s="103">
        <v>14</v>
      </c>
      <c r="U15" s="103">
        <v>13.5</v>
      </c>
      <c r="W15" s="17">
        <v>24</v>
      </c>
      <c r="X15" s="103">
        <v>205.7</v>
      </c>
      <c r="Y15" s="103">
        <v>104.9</v>
      </c>
      <c r="Z15" s="103">
        <v>71.3</v>
      </c>
      <c r="AA15" s="103">
        <v>54.5</v>
      </c>
      <c r="AB15" s="103">
        <v>44.5</v>
      </c>
      <c r="AC15" s="103">
        <v>37.799999999999997</v>
      </c>
      <c r="AD15" s="103">
        <v>33</v>
      </c>
      <c r="AE15" s="103">
        <v>29.4</v>
      </c>
      <c r="AF15" s="103">
        <v>26.7</v>
      </c>
      <c r="AG15" s="103">
        <v>24.4</v>
      </c>
      <c r="AH15" s="103">
        <v>22.6</v>
      </c>
      <c r="AI15" s="103">
        <v>21.1</v>
      </c>
      <c r="AJ15" s="103">
        <v>19.899999999999999</v>
      </c>
      <c r="AK15" s="103">
        <v>18.8</v>
      </c>
      <c r="AL15" s="103">
        <v>17.899999999999999</v>
      </c>
      <c r="AM15" s="103">
        <v>17</v>
      </c>
      <c r="AN15" s="103">
        <v>16.3</v>
      </c>
      <c r="AO15" s="103">
        <v>15.7</v>
      </c>
      <c r="AP15" s="103">
        <v>15.1</v>
      </c>
      <c r="AQ15" s="103">
        <v>14.6</v>
      </c>
    </row>
    <row r="16" spans="1:43" x14ac:dyDescent="0.25">
      <c r="A16" s="17">
        <v>25</v>
      </c>
      <c r="B16" s="103">
        <v>193.6</v>
      </c>
      <c r="C16" s="103">
        <v>98.7</v>
      </c>
      <c r="D16" s="103">
        <v>67.099999999999994</v>
      </c>
      <c r="E16" s="103">
        <v>51.3</v>
      </c>
      <c r="F16" s="103">
        <v>41.9</v>
      </c>
      <c r="G16" s="103">
        <v>35.6</v>
      </c>
      <c r="H16" s="103">
        <v>31.1</v>
      </c>
      <c r="I16" s="103">
        <v>27.7</v>
      </c>
      <c r="J16" s="103">
        <v>25.1</v>
      </c>
      <c r="K16" s="103">
        <v>23</v>
      </c>
      <c r="L16" s="103">
        <v>21.3</v>
      </c>
      <c r="M16" s="103">
        <v>19.899999999999999</v>
      </c>
      <c r="N16" s="103">
        <v>18.7</v>
      </c>
      <c r="O16" s="103">
        <v>17.7</v>
      </c>
      <c r="P16" s="103">
        <v>16.8</v>
      </c>
      <c r="Q16" s="103">
        <v>16</v>
      </c>
      <c r="R16" s="103">
        <v>15.4</v>
      </c>
      <c r="S16" s="103">
        <v>14.8</v>
      </c>
      <c r="T16" s="103">
        <v>14.2</v>
      </c>
      <c r="U16" s="103">
        <v>13.8</v>
      </c>
      <c r="W16" s="17">
        <v>25</v>
      </c>
      <c r="X16" s="103">
        <v>209.4</v>
      </c>
      <c r="Y16" s="103">
        <v>106.8</v>
      </c>
      <c r="Z16" s="103">
        <v>72.599999999999994</v>
      </c>
      <c r="AA16" s="103">
        <v>55.5</v>
      </c>
      <c r="AB16" s="103">
        <v>45.3</v>
      </c>
      <c r="AC16" s="103">
        <v>38.5</v>
      </c>
      <c r="AD16" s="103">
        <v>33.6</v>
      </c>
      <c r="AE16" s="103">
        <v>30</v>
      </c>
      <c r="AF16" s="103">
        <v>27.1</v>
      </c>
      <c r="AG16" s="103">
        <v>24.9</v>
      </c>
      <c r="AH16" s="103">
        <v>23</v>
      </c>
      <c r="AI16" s="103">
        <v>21.5</v>
      </c>
      <c r="AJ16" s="103">
        <v>20.2</v>
      </c>
      <c r="AK16" s="103">
        <v>19.100000000000001</v>
      </c>
      <c r="AL16" s="103">
        <v>18.2</v>
      </c>
      <c r="AM16" s="103">
        <v>17.399999999999999</v>
      </c>
      <c r="AN16" s="103">
        <v>16.600000000000001</v>
      </c>
      <c r="AO16" s="103">
        <v>16</v>
      </c>
      <c r="AP16" s="103">
        <v>15.4</v>
      </c>
      <c r="AQ16" s="103">
        <v>14.9</v>
      </c>
    </row>
    <row r="17" spans="1:43" x14ac:dyDescent="0.25">
      <c r="A17" s="17">
        <v>26</v>
      </c>
      <c r="B17" s="103">
        <v>197.1</v>
      </c>
      <c r="C17" s="103">
        <v>100.5</v>
      </c>
      <c r="D17" s="103">
        <v>68.3</v>
      </c>
      <c r="E17" s="103">
        <v>52.2</v>
      </c>
      <c r="F17" s="103">
        <v>42.6</v>
      </c>
      <c r="G17" s="103">
        <v>36.200000000000003</v>
      </c>
      <c r="H17" s="103">
        <v>31.6</v>
      </c>
      <c r="I17" s="103">
        <v>28.2</v>
      </c>
      <c r="J17" s="103">
        <v>25.5</v>
      </c>
      <c r="K17" s="103">
        <v>23.4</v>
      </c>
      <c r="L17" s="103">
        <v>21.7</v>
      </c>
      <c r="M17" s="103">
        <v>20.3</v>
      </c>
      <c r="N17" s="103">
        <v>19</v>
      </c>
      <c r="O17" s="103">
        <v>18</v>
      </c>
      <c r="P17" s="103">
        <v>17.100000000000001</v>
      </c>
      <c r="Q17" s="103">
        <v>16.3</v>
      </c>
      <c r="R17" s="103">
        <v>15.7</v>
      </c>
      <c r="S17" s="103">
        <v>15</v>
      </c>
      <c r="T17" s="103">
        <v>14.5</v>
      </c>
      <c r="U17" s="103">
        <v>14</v>
      </c>
      <c r="W17" s="17">
        <v>26</v>
      </c>
      <c r="X17" s="103">
        <v>213.1</v>
      </c>
      <c r="Y17" s="103">
        <v>108.7</v>
      </c>
      <c r="Z17" s="103">
        <v>73.900000000000006</v>
      </c>
      <c r="AA17" s="103">
        <v>56.5</v>
      </c>
      <c r="AB17" s="103">
        <v>46.1</v>
      </c>
      <c r="AC17" s="103">
        <v>39.1</v>
      </c>
      <c r="AD17" s="103">
        <v>34.200000000000003</v>
      </c>
      <c r="AE17" s="103">
        <v>30.5</v>
      </c>
      <c r="AF17" s="103">
        <v>27.6</v>
      </c>
      <c r="AG17" s="103">
        <v>25.3</v>
      </c>
      <c r="AH17" s="103">
        <v>23.5</v>
      </c>
      <c r="AI17" s="103">
        <v>21.9</v>
      </c>
      <c r="AJ17" s="103">
        <v>20.6</v>
      </c>
      <c r="AK17" s="103">
        <v>19.5</v>
      </c>
      <c r="AL17" s="103">
        <v>18.5</v>
      </c>
      <c r="AM17" s="103">
        <v>17.7</v>
      </c>
      <c r="AN17" s="103">
        <v>16.899999999999999</v>
      </c>
      <c r="AO17" s="103">
        <v>16.3</v>
      </c>
      <c r="AP17" s="103">
        <v>15.7</v>
      </c>
      <c r="AQ17" s="103">
        <v>15.2</v>
      </c>
    </row>
    <row r="18" spans="1:43" x14ac:dyDescent="0.25">
      <c r="A18" s="17">
        <v>27</v>
      </c>
      <c r="B18" s="103">
        <v>200.6</v>
      </c>
      <c r="C18" s="103">
        <v>102.3</v>
      </c>
      <c r="D18" s="103">
        <v>69.5</v>
      </c>
      <c r="E18" s="103">
        <v>53.2</v>
      </c>
      <c r="F18" s="103">
        <v>43.4</v>
      </c>
      <c r="G18" s="103">
        <v>36.799999999999997</v>
      </c>
      <c r="H18" s="103">
        <v>32.200000000000003</v>
      </c>
      <c r="I18" s="103">
        <v>28.7</v>
      </c>
      <c r="J18" s="103">
        <v>26</v>
      </c>
      <c r="K18" s="103">
        <v>23.8</v>
      </c>
      <c r="L18" s="103">
        <v>22.1</v>
      </c>
      <c r="M18" s="103">
        <v>20.6</v>
      </c>
      <c r="N18" s="103">
        <v>19.399999999999999</v>
      </c>
      <c r="O18" s="103">
        <v>18.3</v>
      </c>
      <c r="P18" s="103">
        <v>17.399999999999999</v>
      </c>
      <c r="Q18" s="103">
        <v>16.600000000000001</v>
      </c>
      <c r="R18" s="103">
        <v>15.9</v>
      </c>
      <c r="S18" s="103">
        <v>15.3</v>
      </c>
      <c r="T18" s="103">
        <v>14.8</v>
      </c>
      <c r="U18" s="103">
        <v>14.3</v>
      </c>
      <c r="W18" s="17">
        <v>27</v>
      </c>
      <c r="X18" s="103">
        <v>217</v>
      </c>
      <c r="Y18" s="103">
        <v>110.6</v>
      </c>
      <c r="Z18" s="103">
        <v>75.2</v>
      </c>
      <c r="AA18" s="103">
        <v>57.5</v>
      </c>
      <c r="AB18" s="103">
        <v>46.9</v>
      </c>
      <c r="AC18" s="103">
        <v>39.9</v>
      </c>
      <c r="AD18" s="103">
        <v>34.799999999999997</v>
      </c>
      <c r="AE18" s="103">
        <v>31</v>
      </c>
      <c r="AF18" s="103">
        <v>28.1</v>
      </c>
      <c r="AG18" s="103">
        <v>25.8</v>
      </c>
      <c r="AH18" s="103">
        <v>23.9</v>
      </c>
      <c r="AI18" s="103">
        <v>22.3</v>
      </c>
      <c r="AJ18" s="103">
        <v>21</v>
      </c>
      <c r="AK18" s="103">
        <v>19.8</v>
      </c>
      <c r="AL18" s="103">
        <v>18.8</v>
      </c>
      <c r="AM18" s="103">
        <v>18</v>
      </c>
      <c r="AN18" s="103">
        <v>17.2</v>
      </c>
      <c r="AO18" s="103">
        <v>16.600000000000001</v>
      </c>
      <c r="AP18" s="103">
        <v>16</v>
      </c>
      <c r="AQ18" s="103">
        <v>15.4</v>
      </c>
    </row>
    <row r="19" spans="1:43" x14ac:dyDescent="0.25">
      <c r="A19" s="17">
        <v>28</v>
      </c>
      <c r="B19" s="103">
        <v>204.2</v>
      </c>
      <c r="C19" s="103">
        <v>104.1</v>
      </c>
      <c r="D19" s="103">
        <v>70.8</v>
      </c>
      <c r="E19" s="103">
        <v>54.1</v>
      </c>
      <c r="F19" s="103">
        <v>44.1</v>
      </c>
      <c r="G19" s="103">
        <v>37.5</v>
      </c>
      <c r="H19" s="103">
        <v>32.799999999999997</v>
      </c>
      <c r="I19" s="103">
        <v>29.2</v>
      </c>
      <c r="J19" s="103">
        <v>26.5</v>
      </c>
      <c r="K19" s="103">
        <v>24.3</v>
      </c>
      <c r="L19" s="103">
        <v>22.5</v>
      </c>
      <c r="M19" s="103">
        <v>21</v>
      </c>
      <c r="N19" s="103">
        <v>19.7</v>
      </c>
      <c r="O19" s="103">
        <v>18.7</v>
      </c>
      <c r="P19" s="103">
        <v>17.7</v>
      </c>
      <c r="Q19" s="103">
        <v>16.899999999999999</v>
      </c>
      <c r="R19" s="103">
        <v>16.2</v>
      </c>
      <c r="S19" s="103">
        <v>15.6</v>
      </c>
      <c r="T19" s="103">
        <v>15</v>
      </c>
      <c r="U19" s="103">
        <v>14.5</v>
      </c>
      <c r="W19" s="17">
        <v>28</v>
      </c>
      <c r="X19" s="103">
        <v>220.8</v>
      </c>
      <c r="Y19" s="103">
        <v>112.6</v>
      </c>
      <c r="Z19" s="103">
        <v>76.599999999999994</v>
      </c>
      <c r="AA19" s="103">
        <v>58.5</v>
      </c>
      <c r="AB19" s="103">
        <v>47.8</v>
      </c>
      <c r="AC19" s="103">
        <v>40.6</v>
      </c>
      <c r="AD19" s="103">
        <v>35.4</v>
      </c>
      <c r="AE19" s="103">
        <v>31.6</v>
      </c>
      <c r="AF19" s="103">
        <v>28.6</v>
      </c>
      <c r="AG19" s="103">
        <v>26.3</v>
      </c>
      <c r="AH19" s="103">
        <v>24.3</v>
      </c>
      <c r="AI19" s="103">
        <v>22.7</v>
      </c>
      <c r="AJ19" s="103">
        <v>21.3</v>
      </c>
      <c r="AK19" s="103">
        <v>20.2</v>
      </c>
      <c r="AL19" s="103">
        <v>19.2</v>
      </c>
      <c r="AM19" s="103">
        <v>18.3</v>
      </c>
      <c r="AN19" s="103">
        <v>17.5</v>
      </c>
      <c r="AO19" s="103">
        <v>16.899999999999999</v>
      </c>
      <c r="AP19" s="103">
        <v>16.3</v>
      </c>
      <c r="AQ19" s="103">
        <v>15.7</v>
      </c>
    </row>
    <row r="20" spans="1:43" x14ac:dyDescent="0.25">
      <c r="A20" s="17">
        <v>29</v>
      </c>
      <c r="B20" s="103">
        <v>207.8</v>
      </c>
      <c r="C20" s="103">
        <v>106</v>
      </c>
      <c r="D20" s="103">
        <v>72</v>
      </c>
      <c r="E20" s="103">
        <v>55.1</v>
      </c>
      <c r="F20" s="103">
        <v>44.9</v>
      </c>
      <c r="G20" s="103">
        <v>38.200000000000003</v>
      </c>
      <c r="H20" s="103">
        <v>33.4</v>
      </c>
      <c r="I20" s="103">
        <v>29.7</v>
      </c>
      <c r="J20" s="103">
        <v>26.9</v>
      </c>
      <c r="K20" s="103">
        <v>24.7</v>
      </c>
      <c r="L20" s="103">
        <v>22.9</v>
      </c>
      <c r="M20" s="103">
        <v>21.4</v>
      </c>
      <c r="N20" s="103">
        <v>20.100000000000001</v>
      </c>
      <c r="O20" s="103">
        <v>19</v>
      </c>
      <c r="P20" s="103">
        <v>18.100000000000001</v>
      </c>
      <c r="Q20" s="103">
        <v>17.2</v>
      </c>
      <c r="R20" s="103">
        <v>16.5</v>
      </c>
      <c r="S20" s="103">
        <v>15.9</v>
      </c>
      <c r="T20" s="103">
        <v>15.3</v>
      </c>
      <c r="U20" s="103">
        <v>14.8</v>
      </c>
      <c r="W20" s="17">
        <v>29</v>
      </c>
      <c r="X20" s="103">
        <v>224.8</v>
      </c>
      <c r="Y20" s="103">
        <v>114.6</v>
      </c>
      <c r="Z20" s="103">
        <v>77.900000000000006</v>
      </c>
      <c r="AA20" s="103">
        <v>59.6</v>
      </c>
      <c r="AB20" s="103">
        <v>48.6</v>
      </c>
      <c r="AC20" s="103">
        <v>41.3</v>
      </c>
      <c r="AD20" s="103">
        <v>36.1</v>
      </c>
      <c r="AE20" s="103">
        <v>32.200000000000003</v>
      </c>
      <c r="AF20" s="103">
        <v>29.1</v>
      </c>
      <c r="AG20" s="103">
        <v>26.7</v>
      </c>
      <c r="AH20" s="103">
        <v>24.8</v>
      </c>
      <c r="AI20" s="103">
        <v>23.1</v>
      </c>
      <c r="AJ20" s="103">
        <v>21.7</v>
      </c>
      <c r="AK20" s="103">
        <v>20.6</v>
      </c>
      <c r="AL20" s="103">
        <v>19.5</v>
      </c>
      <c r="AM20" s="103">
        <v>18.600000000000001</v>
      </c>
      <c r="AN20" s="103">
        <v>17.899999999999999</v>
      </c>
      <c r="AO20" s="103">
        <v>17.2</v>
      </c>
      <c r="AP20" s="103">
        <v>16.600000000000001</v>
      </c>
      <c r="AQ20" s="103">
        <v>16</v>
      </c>
    </row>
    <row r="21" spans="1:43" x14ac:dyDescent="0.25">
      <c r="A21" s="17">
        <v>30</v>
      </c>
      <c r="B21" s="103">
        <v>211.5</v>
      </c>
      <c r="C21" s="103">
        <v>107.9</v>
      </c>
      <c r="D21" s="103">
        <v>73.3</v>
      </c>
      <c r="E21" s="103">
        <v>56.1</v>
      </c>
      <c r="F21" s="103">
        <v>45.7</v>
      </c>
      <c r="G21" s="103">
        <v>38.9</v>
      </c>
      <c r="H21" s="103">
        <v>33.9</v>
      </c>
      <c r="I21" s="103">
        <v>30.3</v>
      </c>
      <c r="J21" s="103">
        <v>27.4</v>
      </c>
      <c r="K21" s="103">
        <v>25.2</v>
      </c>
      <c r="L21" s="103">
        <v>23.3</v>
      </c>
      <c r="M21" s="103">
        <v>21.8</v>
      </c>
      <c r="N21" s="103">
        <v>20.5</v>
      </c>
      <c r="O21" s="103">
        <v>19.3</v>
      </c>
      <c r="P21" s="103">
        <v>18.399999999999999</v>
      </c>
      <c r="Q21" s="103">
        <v>17.600000000000001</v>
      </c>
      <c r="R21" s="103">
        <v>16.8</v>
      </c>
      <c r="S21" s="103">
        <v>16.2</v>
      </c>
      <c r="T21" s="103">
        <v>15.6</v>
      </c>
      <c r="U21" s="103">
        <v>15.1</v>
      </c>
      <c r="W21" s="17">
        <v>30</v>
      </c>
      <c r="X21" s="103">
        <v>228.8</v>
      </c>
      <c r="Y21" s="103">
        <v>116.7</v>
      </c>
      <c r="Z21" s="103">
        <v>79.3</v>
      </c>
      <c r="AA21" s="103">
        <v>60.7</v>
      </c>
      <c r="AB21" s="103">
        <v>49.5</v>
      </c>
      <c r="AC21" s="103">
        <v>42</v>
      </c>
      <c r="AD21" s="103">
        <v>36.700000000000003</v>
      </c>
      <c r="AE21" s="103">
        <v>32.700000000000003</v>
      </c>
      <c r="AF21" s="103">
        <v>29.7</v>
      </c>
      <c r="AG21" s="103">
        <v>27.2</v>
      </c>
      <c r="AH21" s="103">
        <v>25.2</v>
      </c>
      <c r="AI21" s="103">
        <v>23.5</v>
      </c>
      <c r="AJ21" s="103">
        <v>22.1</v>
      </c>
      <c r="AK21" s="103">
        <v>20.9</v>
      </c>
      <c r="AL21" s="103">
        <v>19.899999999999999</v>
      </c>
      <c r="AM21" s="103">
        <v>19</v>
      </c>
      <c r="AN21" s="103">
        <v>18.2</v>
      </c>
      <c r="AO21" s="103">
        <v>17.5</v>
      </c>
      <c r="AP21" s="103">
        <v>16.899999999999999</v>
      </c>
      <c r="AQ21" s="103">
        <v>16.3</v>
      </c>
    </row>
    <row r="22" spans="1:43" x14ac:dyDescent="0.25">
      <c r="A22" s="17">
        <v>31</v>
      </c>
      <c r="B22" s="103">
        <v>215.3</v>
      </c>
      <c r="C22" s="103">
        <v>109.8</v>
      </c>
      <c r="D22" s="103">
        <v>74.599999999999994</v>
      </c>
      <c r="E22" s="103">
        <v>57.1</v>
      </c>
      <c r="F22" s="103">
        <v>46.6</v>
      </c>
      <c r="G22" s="103">
        <v>39.6</v>
      </c>
      <c r="H22" s="103">
        <v>34.6</v>
      </c>
      <c r="I22" s="103">
        <v>30.8</v>
      </c>
      <c r="J22" s="103">
        <v>27.9</v>
      </c>
      <c r="K22" s="103">
        <v>25.6</v>
      </c>
      <c r="L22" s="103">
        <v>23.7</v>
      </c>
      <c r="M22" s="103">
        <v>22.1</v>
      </c>
      <c r="N22" s="103">
        <v>20.8</v>
      </c>
      <c r="O22" s="103">
        <v>19.7</v>
      </c>
      <c r="P22" s="103">
        <v>18.7</v>
      </c>
      <c r="Q22" s="103">
        <v>17.899999999999999</v>
      </c>
      <c r="R22" s="103">
        <v>17.100000000000001</v>
      </c>
      <c r="S22" s="103">
        <v>16.5</v>
      </c>
      <c r="T22" s="103">
        <v>15.9</v>
      </c>
      <c r="U22" s="103">
        <v>15.4</v>
      </c>
      <c r="W22" s="17">
        <v>31</v>
      </c>
      <c r="X22" s="103">
        <v>232.8</v>
      </c>
      <c r="Y22" s="103">
        <v>118.7</v>
      </c>
      <c r="Z22" s="103">
        <v>80.7</v>
      </c>
      <c r="AA22" s="103">
        <v>61.7</v>
      </c>
      <c r="AB22" s="103">
        <v>50.4</v>
      </c>
      <c r="AC22" s="103">
        <v>42.8</v>
      </c>
      <c r="AD22" s="103">
        <v>37.4</v>
      </c>
      <c r="AE22" s="103">
        <v>33.299999999999997</v>
      </c>
      <c r="AF22" s="103">
        <v>30.2</v>
      </c>
      <c r="AG22" s="103">
        <v>27.7</v>
      </c>
      <c r="AH22" s="103">
        <v>25.6</v>
      </c>
      <c r="AI22" s="103">
        <v>24</v>
      </c>
      <c r="AJ22" s="103">
        <v>22.5</v>
      </c>
      <c r="AK22" s="103">
        <v>21.3</v>
      </c>
      <c r="AL22" s="103">
        <v>20.2</v>
      </c>
      <c r="AM22" s="103">
        <v>19.3</v>
      </c>
      <c r="AN22" s="103">
        <v>18.5</v>
      </c>
      <c r="AO22" s="103">
        <v>17.8</v>
      </c>
      <c r="AP22" s="103">
        <v>17.2</v>
      </c>
      <c r="AQ22" s="103">
        <v>16.600000000000001</v>
      </c>
    </row>
    <row r="23" spans="1:43" x14ac:dyDescent="0.25">
      <c r="A23" s="17">
        <v>32</v>
      </c>
      <c r="B23" s="103">
        <v>219.1</v>
      </c>
      <c r="C23" s="103">
        <v>111.7</v>
      </c>
      <c r="D23" s="103">
        <v>76</v>
      </c>
      <c r="E23" s="103">
        <v>58.1</v>
      </c>
      <c r="F23" s="103">
        <v>47.4</v>
      </c>
      <c r="G23" s="103">
        <v>40.299999999999997</v>
      </c>
      <c r="H23" s="103">
        <v>35.200000000000003</v>
      </c>
      <c r="I23" s="103">
        <v>31.4</v>
      </c>
      <c r="J23" s="103">
        <v>28.4</v>
      </c>
      <c r="K23" s="103">
        <v>26.1</v>
      </c>
      <c r="L23" s="103">
        <v>24.1</v>
      </c>
      <c r="M23" s="103">
        <v>22.5</v>
      </c>
      <c r="N23" s="103">
        <v>21.2</v>
      </c>
      <c r="O23" s="103">
        <v>20</v>
      </c>
      <c r="P23" s="103">
        <v>19.100000000000001</v>
      </c>
      <c r="Q23" s="103">
        <v>18.2</v>
      </c>
      <c r="R23" s="103">
        <v>17.399999999999999</v>
      </c>
      <c r="S23" s="103">
        <v>16.8</v>
      </c>
      <c r="T23" s="103">
        <v>16.2</v>
      </c>
      <c r="U23" s="103">
        <v>15.6</v>
      </c>
      <c r="W23" s="17">
        <v>32</v>
      </c>
      <c r="X23" s="103">
        <v>236.9</v>
      </c>
      <c r="Y23" s="103">
        <v>120.8</v>
      </c>
      <c r="Z23" s="103">
        <v>82.2</v>
      </c>
      <c r="AA23" s="103">
        <v>62.8</v>
      </c>
      <c r="AB23" s="103">
        <v>51.3</v>
      </c>
      <c r="AC23" s="103">
        <v>43.5</v>
      </c>
      <c r="AD23" s="103">
        <v>38</v>
      </c>
      <c r="AE23" s="103">
        <v>33.9</v>
      </c>
      <c r="AF23" s="103">
        <v>30.7</v>
      </c>
      <c r="AG23" s="103">
        <v>28.2</v>
      </c>
      <c r="AH23" s="103">
        <v>26.1</v>
      </c>
      <c r="AI23" s="103">
        <v>24.4</v>
      </c>
      <c r="AJ23" s="103">
        <v>22.9</v>
      </c>
      <c r="AK23" s="103">
        <v>21.7</v>
      </c>
      <c r="AL23" s="103">
        <v>20.6</v>
      </c>
      <c r="AM23" s="103">
        <v>19.7</v>
      </c>
      <c r="AN23" s="103">
        <v>18.899999999999999</v>
      </c>
      <c r="AO23" s="103">
        <v>18.100000000000001</v>
      </c>
      <c r="AP23" s="103">
        <v>17.5</v>
      </c>
      <c r="AQ23" s="103">
        <v>16.899999999999999</v>
      </c>
    </row>
    <row r="24" spans="1:43" x14ac:dyDescent="0.25">
      <c r="A24" s="17">
        <v>33</v>
      </c>
      <c r="B24" s="103">
        <v>223</v>
      </c>
      <c r="C24" s="103">
        <v>113.7</v>
      </c>
      <c r="D24" s="103">
        <v>77.3</v>
      </c>
      <c r="E24" s="103">
        <v>59.1</v>
      </c>
      <c r="F24" s="103">
        <v>48.2</v>
      </c>
      <c r="G24" s="103">
        <v>41</v>
      </c>
      <c r="H24" s="103">
        <v>35.799999999999997</v>
      </c>
      <c r="I24" s="103">
        <v>31.9</v>
      </c>
      <c r="J24" s="103">
        <v>28.9</v>
      </c>
      <c r="K24" s="103">
        <v>26.5</v>
      </c>
      <c r="L24" s="103">
        <v>24.6</v>
      </c>
      <c r="M24" s="103">
        <v>23</v>
      </c>
      <c r="N24" s="103">
        <v>21.6</v>
      </c>
      <c r="O24" s="103">
        <v>20.399999999999999</v>
      </c>
      <c r="P24" s="103">
        <v>19.399999999999999</v>
      </c>
      <c r="Q24" s="103">
        <v>18.5</v>
      </c>
      <c r="R24" s="103">
        <v>17.8</v>
      </c>
      <c r="S24" s="103">
        <v>17.100000000000001</v>
      </c>
      <c r="T24" s="103">
        <v>16.5</v>
      </c>
      <c r="U24" s="103">
        <v>15.9</v>
      </c>
      <c r="W24" s="17">
        <v>33</v>
      </c>
      <c r="X24" s="103">
        <v>241.1</v>
      </c>
      <c r="Y24" s="103">
        <v>123</v>
      </c>
      <c r="Z24" s="103">
        <v>83.6</v>
      </c>
      <c r="AA24" s="103">
        <v>64</v>
      </c>
      <c r="AB24" s="103">
        <v>52.2</v>
      </c>
      <c r="AC24" s="103">
        <v>44.3</v>
      </c>
      <c r="AD24" s="103">
        <v>38.700000000000003</v>
      </c>
      <c r="AE24" s="103">
        <v>34.5</v>
      </c>
      <c r="AF24" s="103">
        <v>31.3</v>
      </c>
      <c r="AG24" s="103">
        <v>28.7</v>
      </c>
      <c r="AH24" s="103">
        <v>26.6</v>
      </c>
      <c r="AI24" s="103">
        <v>24.8</v>
      </c>
      <c r="AJ24" s="103">
        <v>23.3</v>
      </c>
      <c r="AK24" s="103">
        <v>22.1</v>
      </c>
      <c r="AL24" s="103">
        <v>21</v>
      </c>
      <c r="AM24" s="103">
        <v>20</v>
      </c>
      <c r="AN24" s="103">
        <v>19.2</v>
      </c>
      <c r="AO24" s="103">
        <v>18.5</v>
      </c>
      <c r="AP24" s="103">
        <v>17.8</v>
      </c>
      <c r="AQ24" s="103">
        <v>17.2</v>
      </c>
    </row>
    <row r="25" spans="1:43" x14ac:dyDescent="0.25">
      <c r="A25" s="17">
        <v>34</v>
      </c>
      <c r="B25" s="103">
        <v>226.9</v>
      </c>
      <c r="C25" s="103">
        <v>115.7</v>
      </c>
      <c r="D25" s="103">
        <v>78.7</v>
      </c>
      <c r="E25" s="103">
        <v>60.2</v>
      </c>
      <c r="F25" s="103">
        <v>49.1</v>
      </c>
      <c r="G25" s="103">
        <v>41.7</v>
      </c>
      <c r="H25" s="103">
        <v>36.4</v>
      </c>
      <c r="I25" s="103">
        <v>32.5</v>
      </c>
      <c r="J25" s="103">
        <v>29.4</v>
      </c>
      <c r="K25" s="103">
        <v>27</v>
      </c>
      <c r="L25" s="103">
        <v>25</v>
      </c>
      <c r="M25" s="103">
        <v>23.4</v>
      </c>
      <c r="N25" s="103">
        <v>22</v>
      </c>
      <c r="O25" s="103">
        <v>20.8</v>
      </c>
      <c r="P25" s="103">
        <v>19.8</v>
      </c>
      <c r="Q25" s="103">
        <v>18.899999999999999</v>
      </c>
      <c r="R25" s="103">
        <v>18.100000000000001</v>
      </c>
      <c r="S25" s="103">
        <v>17.399999999999999</v>
      </c>
      <c r="T25" s="103">
        <v>16.8</v>
      </c>
      <c r="U25" s="103">
        <v>16.2</v>
      </c>
      <c r="W25" s="17">
        <v>34</v>
      </c>
      <c r="X25" s="103">
        <v>245.4</v>
      </c>
      <c r="Y25" s="103">
        <v>125.2</v>
      </c>
      <c r="Z25" s="103">
        <v>85.1</v>
      </c>
      <c r="AA25" s="103">
        <v>65.099999999999994</v>
      </c>
      <c r="AB25" s="103">
        <v>53.1</v>
      </c>
      <c r="AC25" s="103">
        <v>45.1</v>
      </c>
      <c r="AD25" s="103">
        <v>39.4</v>
      </c>
      <c r="AE25" s="103">
        <v>35.200000000000003</v>
      </c>
      <c r="AF25" s="103">
        <v>31.8</v>
      </c>
      <c r="AG25" s="103">
        <v>29.2</v>
      </c>
      <c r="AH25" s="103">
        <v>27.1</v>
      </c>
      <c r="AI25" s="103">
        <v>25.3</v>
      </c>
      <c r="AJ25" s="103">
        <v>23.8</v>
      </c>
      <c r="AK25" s="103">
        <v>22.5</v>
      </c>
      <c r="AL25" s="103">
        <v>21.4</v>
      </c>
      <c r="AM25" s="103">
        <v>20.399999999999999</v>
      </c>
      <c r="AN25" s="103">
        <v>19.600000000000001</v>
      </c>
      <c r="AO25" s="103">
        <v>18.8</v>
      </c>
      <c r="AP25" s="103">
        <v>18.100000000000001</v>
      </c>
      <c r="AQ25" s="103">
        <v>17.600000000000001</v>
      </c>
    </row>
    <row r="26" spans="1:43" x14ac:dyDescent="0.25">
      <c r="A26" s="17">
        <v>35</v>
      </c>
      <c r="B26" s="103">
        <v>231</v>
      </c>
      <c r="C26" s="103">
        <v>117.8</v>
      </c>
      <c r="D26" s="103">
        <v>80.099999999999994</v>
      </c>
      <c r="E26" s="103">
        <v>61.3</v>
      </c>
      <c r="F26" s="103">
        <v>50</v>
      </c>
      <c r="G26" s="103">
        <v>42.5</v>
      </c>
      <c r="H26" s="103">
        <v>37.1</v>
      </c>
      <c r="I26" s="103">
        <v>33.1</v>
      </c>
      <c r="J26" s="103">
        <v>30</v>
      </c>
      <c r="K26" s="103">
        <v>27.5</v>
      </c>
      <c r="L26" s="103">
        <v>25.5</v>
      </c>
      <c r="M26" s="103">
        <v>23.8</v>
      </c>
      <c r="N26" s="103">
        <v>22.4</v>
      </c>
      <c r="O26" s="103">
        <v>21.2</v>
      </c>
      <c r="P26" s="103">
        <v>20.100000000000001</v>
      </c>
      <c r="Q26" s="103">
        <v>19.2</v>
      </c>
      <c r="R26" s="103">
        <v>18.399999999999999</v>
      </c>
      <c r="S26" s="103">
        <v>17.7</v>
      </c>
      <c r="T26" s="103">
        <v>17.100000000000001</v>
      </c>
      <c r="U26" s="103">
        <v>16.5</v>
      </c>
      <c r="W26" s="17">
        <v>35</v>
      </c>
      <c r="X26" s="103">
        <v>249.7</v>
      </c>
      <c r="Y26" s="103">
        <v>127.4</v>
      </c>
      <c r="Z26" s="103">
        <v>86.6</v>
      </c>
      <c r="AA26" s="103">
        <v>66.2</v>
      </c>
      <c r="AB26" s="103">
        <v>54</v>
      </c>
      <c r="AC26" s="103">
        <v>45.9</v>
      </c>
      <c r="AD26" s="103">
        <v>40.1</v>
      </c>
      <c r="AE26" s="103">
        <v>35.799999999999997</v>
      </c>
      <c r="AF26" s="103">
        <v>32.4</v>
      </c>
      <c r="AG26" s="103">
        <v>29.7</v>
      </c>
      <c r="AH26" s="103">
        <v>27.5</v>
      </c>
      <c r="AI26" s="103">
        <v>25.7</v>
      </c>
      <c r="AJ26" s="103">
        <v>24.2</v>
      </c>
      <c r="AK26" s="103">
        <v>22.9</v>
      </c>
      <c r="AL26" s="103">
        <v>21.8</v>
      </c>
      <c r="AM26" s="103">
        <v>20.8</v>
      </c>
      <c r="AN26" s="103">
        <v>19.899999999999999</v>
      </c>
      <c r="AO26" s="103">
        <v>19.2</v>
      </c>
      <c r="AP26" s="103">
        <v>18.5</v>
      </c>
      <c r="AQ26" s="103">
        <v>17.899999999999999</v>
      </c>
    </row>
    <row r="27" spans="1:43" x14ac:dyDescent="0.25">
      <c r="A27" s="17">
        <v>36</v>
      </c>
      <c r="B27" s="103">
        <v>235.1</v>
      </c>
      <c r="C27" s="103">
        <v>119.9</v>
      </c>
      <c r="D27" s="103">
        <v>81.5</v>
      </c>
      <c r="E27" s="103">
        <v>62.4</v>
      </c>
      <c r="F27" s="103">
        <v>50.9</v>
      </c>
      <c r="G27" s="103">
        <v>43.2</v>
      </c>
      <c r="H27" s="103">
        <v>37.799999999999997</v>
      </c>
      <c r="I27" s="103">
        <v>33.700000000000003</v>
      </c>
      <c r="J27" s="103">
        <v>30.5</v>
      </c>
      <c r="K27" s="103">
        <v>28</v>
      </c>
      <c r="L27" s="103">
        <v>25.9</v>
      </c>
      <c r="M27" s="103">
        <v>24.2</v>
      </c>
      <c r="N27" s="103">
        <v>22.8</v>
      </c>
      <c r="O27" s="103">
        <v>21.6</v>
      </c>
      <c r="P27" s="103">
        <v>20.5</v>
      </c>
      <c r="Q27" s="103">
        <v>19.600000000000001</v>
      </c>
      <c r="R27" s="103">
        <v>18.8</v>
      </c>
      <c r="S27" s="103">
        <v>18</v>
      </c>
      <c r="T27" s="103">
        <v>17.399999999999999</v>
      </c>
      <c r="U27" s="103">
        <v>16.899999999999999</v>
      </c>
      <c r="W27" s="17">
        <v>36</v>
      </c>
      <c r="X27" s="103">
        <v>254.1</v>
      </c>
      <c r="Y27" s="103">
        <v>129.6</v>
      </c>
      <c r="Z27" s="103">
        <v>88.1</v>
      </c>
      <c r="AA27" s="103">
        <v>67.400000000000006</v>
      </c>
      <c r="AB27" s="103">
        <v>55</v>
      </c>
      <c r="AC27" s="103">
        <v>46.7</v>
      </c>
      <c r="AD27" s="103">
        <v>40.799999999999997</v>
      </c>
      <c r="AE27" s="103">
        <v>36.4</v>
      </c>
      <c r="AF27" s="103">
        <v>33</v>
      </c>
      <c r="AG27" s="103">
        <v>30.3</v>
      </c>
      <c r="AH27" s="103">
        <v>28</v>
      </c>
      <c r="AI27" s="103">
        <v>26.2</v>
      </c>
      <c r="AJ27" s="103">
        <v>24.6</v>
      </c>
      <c r="AK27" s="103">
        <v>23.3</v>
      </c>
      <c r="AL27" s="103">
        <v>22.2</v>
      </c>
      <c r="AM27" s="103">
        <v>21.2</v>
      </c>
      <c r="AN27" s="103">
        <v>20.3</v>
      </c>
      <c r="AO27" s="103">
        <v>19.5</v>
      </c>
      <c r="AP27" s="103">
        <v>18.8</v>
      </c>
      <c r="AQ27" s="103">
        <v>18.2</v>
      </c>
    </row>
    <row r="28" spans="1:43" x14ac:dyDescent="0.25">
      <c r="A28" s="17">
        <v>37</v>
      </c>
      <c r="B28" s="103">
        <v>239.2</v>
      </c>
      <c r="C28" s="103">
        <v>122</v>
      </c>
      <c r="D28" s="103">
        <v>83</v>
      </c>
      <c r="E28" s="103">
        <v>63.5</v>
      </c>
      <c r="F28" s="103">
        <v>51.8</v>
      </c>
      <c r="G28" s="103">
        <v>44</v>
      </c>
      <c r="H28" s="103">
        <v>38.4</v>
      </c>
      <c r="I28" s="103">
        <v>34.299999999999997</v>
      </c>
      <c r="J28" s="103">
        <v>31.1</v>
      </c>
      <c r="K28" s="103">
        <v>28.5</v>
      </c>
      <c r="L28" s="103">
        <v>26.4</v>
      </c>
      <c r="M28" s="103">
        <v>24.7</v>
      </c>
      <c r="N28" s="103">
        <v>23.2</v>
      </c>
      <c r="O28" s="103">
        <v>22</v>
      </c>
      <c r="P28" s="103">
        <v>20.9</v>
      </c>
      <c r="Q28" s="103">
        <v>19.899999999999999</v>
      </c>
      <c r="R28" s="103">
        <v>19.100000000000001</v>
      </c>
      <c r="S28" s="103">
        <v>18.399999999999999</v>
      </c>
      <c r="T28" s="103">
        <v>17.7</v>
      </c>
      <c r="U28" s="103">
        <v>17.2</v>
      </c>
      <c r="W28" s="17">
        <v>37</v>
      </c>
      <c r="X28" s="103">
        <v>258.60000000000002</v>
      </c>
      <c r="Y28" s="103">
        <v>131.9</v>
      </c>
      <c r="Z28" s="103">
        <v>89.7</v>
      </c>
      <c r="AA28" s="103">
        <v>68.599999999999994</v>
      </c>
      <c r="AB28" s="103">
        <v>56</v>
      </c>
      <c r="AC28" s="103">
        <v>47.6</v>
      </c>
      <c r="AD28" s="103">
        <v>41.6</v>
      </c>
      <c r="AE28" s="103">
        <v>37.1</v>
      </c>
      <c r="AF28" s="103">
        <v>33.6</v>
      </c>
      <c r="AG28" s="103">
        <v>30.8</v>
      </c>
      <c r="AH28" s="103">
        <v>28.5</v>
      </c>
      <c r="AI28" s="103">
        <v>26.7</v>
      </c>
      <c r="AJ28" s="103">
        <v>25.1</v>
      </c>
      <c r="AK28" s="103">
        <v>23.7</v>
      </c>
      <c r="AL28" s="103">
        <v>22.6</v>
      </c>
      <c r="AM28" s="103">
        <v>21.6</v>
      </c>
      <c r="AN28" s="103">
        <v>20.7</v>
      </c>
      <c r="AO28" s="103">
        <v>19.899999999999999</v>
      </c>
      <c r="AP28" s="103">
        <v>19.2</v>
      </c>
      <c r="AQ28" s="103">
        <v>18.600000000000001</v>
      </c>
    </row>
    <row r="29" spans="1:43" x14ac:dyDescent="0.25">
      <c r="A29" s="17">
        <v>38</v>
      </c>
      <c r="B29" s="103">
        <v>243.5</v>
      </c>
      <c r="C29" s="103">
        <v>124.2</v>
      </c>
      <c r="D29" s="103">
        <v>84.5</v>
      </c>
      <c r="E29" s="103">
        <v>64.599999999999994</v>
      </c>
      <c r="F29" s="103">
        <v>52.7</v>
      </c>
      <c r="G29" s="103">
        <v>44.8</v>
      </c>
      <c r="H29" s="103">
        <v>39.1</v>
      </c>
      <c r="I29" s="103">
        <v>34.9</v>
      </c>
      <c r="J29" s="103">
        <v>31.6</v>
      </c>
      <c r="K29" s="103">
        <v>29</v>
      </c>
      <c r="L29" s="103">
        <v>26.9</v>
      </c>
      <c r="M29" s="103">
        <v>25.1</v>
      </c>
      <c r="N29" s="103">
        <v>23.6</v>
      </c>
      <c r="O29" s="103">
        <v>22.4</v>
      </c>
      <c r="P29" s="103">
        <v>21.3</v>
      </c>
      <c r="Q29" s="103">
        <v>20.3</v>
      </c>
      <c r="R29" s="103">
        <v>19.5</v>
      </c>
      <c r="S29" s="103">
        <v>18.7</v>
      </c>
      <c r="T29" s="103">
        <v>18.100000000000001</v>
      </c>
      <c r="U29" s="103">
        <v>17.5</v>
      </c>
      <c r="W29" s="17">
        <v>38</v>
      </c>
      <c r="X29" s="103">
        <v>263.2</v>
      </c>
      <c r="Y29" s="103">
        <v>134.19999999999999</v>
      </c>
      <c r="Z29" s="103">
        <v>91.3</v>
      </c>
      <c r="AA29" s="103">
        <v>69.8</v>
      </c>
      <c r="AB29" s="103">
        <v>57</v>
      </c>
      <c r="AC29" s="103">
        <v>48.4</v>
      </c>
      <c r="AD29" s="103">
        <v>42.3</v>
      </c>
      <c r="AE29" s="103">
        <v>37.700000000000003</v>
      </c>
      <c r="AF29" s="103">
        <v>34.200000000000003</v>
      </c>
      <c r="AG29" s="103">
        <v>31.4</v>
      </c>
      <c r="AH29" s="103">
        <v>29.1</v>
      </c>
      <c r="AI29" s="103">
        <v>27.2</v>
      </c>
      <c r="AJ29" s="103">
        <v>25.5</v>
      </c>
      <c r="AK29" s="103">
        <v>24.2</v>
      </c>
      <c r="AL29" s="103">
        <v>23</v>
      </c>
      <c r="AM29" s="103">
        <v>22</v>
      </c>
      <c r="AN29" s="103">
        <v>21.1</v>
      </c>
      <c r="AO29" s="103">
        <v>20.3</v>
      </c>
      <c r="AP29" s="103">
        <v>19.600000000000001</v>
      </c>
      <c r="AQ29" s="103">
        <v>18.899999999999999</v>
      </c>
    </row>
    <row r="30" spans="1:43" x14ac:dyDescent="0.25">
      <c r="A30" s="17">
        <v>39</v>
      </c>
      <c r="B30" s="103">
        <v>247.8</v>
      </c>
      <c r="C30" s="103">
        <v>126.4</v>
      </c>
      <c r="D30" s="103">
        <v>86</v>
      </c>
      <c r="E30" s="103">
        <v>65.8</v>
      </c>
      <c r="F30" s="103">
        <v>53.6</v>
      </c>
      <c r="G30" s="103">
        <v>45.6</v>
      </c>
      <c r="H30" s="103">
        <v>39.799999999999997</v>
      </c>
      <c r="I30" s="103">
        <v>35.5</v>
      </c>
      <c r="J30" s="103">
        <v>32.200000000000003</v>
      </c>
      <c r="K30" s="103">
        <v>29.6</v>
      </c>
      <c r="L30" s="103">
        <v>27.4</v>
      </c>
      <c r="M30" s="103">
        <v>25.6</v>
      </c>
      <c r="N30" s="103">
        <v>24.1</v>
      </c>
      <c r="O30" s="103">
        <v>22.8</v>
      </c>
      <c r="P30" s="103">
        <v>21.7</v>
      </c>
      <c r="Q30" s="103">
        <v>20.7</v>
      </c>
      <c r="R30" s="103">
        <v>19.899999999999999</v>
      </c>
      <c r="S30" s="103">
        <v>19.100000000000001</v>
      </c>
      <c r="T30" s="103">
        <v>18.399999999999999</v>
      </c>
      <c r="U30" s="103">
        <v>17.899999999999999</v>
      </c>
      <c r="W30" s="17">
        <v>39</v>
      </c>
      <c r="X30" s="103">
        <v>267.8</v>
      </c>
      <c r="Y30" s="103">
        <v>136.6</v>
      </c>
      <c r="Z30" s="103">
        <v>92.9</v>
      </c>
      <c r="AA30" s="103">
        <v>71.099999999999994</v>
      </c>
      <c r="AB30" s="103">
        <v>58</v>
      </c>
      <c r="AC30" s="103">
        <v>49.3</v>
      </c>
      <c r="AD30" s="103">
        <v>43.1</v>
      </c>
      <c r="AE30" s="103">
        <v>38.4</v>
      </c>
      <c r="AF30" s="103">
        <v>34.799999999999997</v>
      </c>
      <c r="AG30" s="103">
        <v>31.9</v>
      </c>
      <c r="AH30" s="103">
        <v>29.6</v>
      </c>
      <c r="AI30" s="103">
        <v>27.7</v>
      </c>
      <c r="AJ30" s="103">
        <v>26</v>
      </c>
      <c r="AK30" s="103">
        <v>24.6</v>
      </c>
      <c r="AL30" s="103">
        <v>23.4</v>
      </c>
      <c r="AM30" s="103">
        <v>22.4</v>
      </c>
      <c r="AN30" s="103">
        <v>21.5</v>
      </c>
      <c r="AO30" s="103">
        <v>20.6</v>
      </c>
      <c r="AP30" s="103">
        <v>19.899999999999999</v>
      </c>
      <c r="AQ30" s="103">
        <v>19.3</v>
      </c>
    </row>
    <row r="31" spans="1:43" x14ac:dyDescent="0.25">
      <c r="A31" s="17">
        <v>40</v>
      </c>
      <c r="B31" s="103">
        <v>252.3</v>
      </c>
      <c r="C31" s="103">
        <v>128.69999999999999</v>
      </c>
      <c r="D31" s="103">
        <v>87.5</v>
      </c>
      <c r="E31" s="103">
        <v>66.900000000000006</v>
      </c>
      <c r="F31" s="103">
        <v>54.6</v>
      </c>
      <c r="G31" s="103">
        <v>46.4</v>
      </c>
      <c r="H31" s="103">
        <v>40.6</v>
      </c>
      <c r="I31" s="103">
        <v>36.200000000000003</v>
      </c>
      <c r="J31" s="103">
        <v>32.799999999999997</v>
      </c>
      <c r="K31" s="103">
        <v>30.1</v>
      </c>
      <c r="L31" s="103">
        <v>27.9</v>
      </c>
      <c r="M31" s="103">
        <v>26.1</v>
      </c>
      <c r="N31" s="103">
        <v>24.5</v>
      </c>
      <c r="O31" s="103">
        <v>23.2</v>
      </c>
      <c r="P31" s="103">
        <v>22.1</v>
      </c>
      <c r="Q31" s="103">
        <v>21.1</v>
      </c>
      <c r="R31" s="103">
        <v>20.2</v>
      </c>
      <c r="S31" s="103">
        <v>19.5</v>
      </c>
      <c r="T31" s="103">
        <v>18.8</v>
      </c>
      <c r="U31" s="103">
        <v>18.2</v>
      </c>
      <c r="W31" s="17">
        <v>40</v>
      </c>
      <c r="X31" s="103">
        <v>272.60000000000002</v>
      </c>
      <c r="Y31" s="103">
        <v>139</v>
      </c>
      <c r="Z31" s="103">
        <v>94.6</v>
      </c>
      <c r="AA31" s="103">
        <v>72.3</v>
      </c>
      <c r="AB31" s="103">
        <v>59</v>
      </c>
      <c r="AC31" s="103">
        <v>50.2</v>
      </c>
      <c r="AD31" s="103">
        <v>43.8</v>
      </c>
      <c r="AE31" s="103">
        <v>39.1</v>
      </c>
      <c r="AF31" s="103">
        <v>35.4</v>
      </c>
      <c r="AG31" s="103">
        <v>32.5</v>
      </c>
      <c r="AH31" s="103">
        <v>30.1</v>
      </c>
      <c r="AI31" s="103">
        <v>28.2</v>
      </c>
      <c r="AJ31" s="103">
        <v>26.5</v>
      </c>
      <c r="AK31" s="103">
        <v>25.1</v>
      </c>
      <c r="AL31" s="103">
        <v>23.9</v>
      </c>
      <c r="AM31" s="103">
        <v>22.8</v>
      </c>
      <c r="AN31" s="103">
        <v>21.9</v>
      </c>
      <c r="AO31" s="103">
        <v>21</v>
      </c>
      <c r="AP31" s="103">
        <v>20.3</v>
      </c>
      <c r="AQ31" s="103">
        <v>19.7</v>
      </c>
    </row>
    <row r="32" spans="1:43" x14ac:dyDescent="0.25">
      <c r="A32" s="17">
        <v>41</v>
      </c>
      <c r="B32" s="103">
        <v>256.8</v>
      </c>
      <c r="C32" s="103">
        <v>131</v>
      </c>
      <c r="D32" s="103">
        <v>89.1</v>
      </c>
      <c r="E32" s="103">
        <v>68.099999999999994</v>
      </c>
      <c r="F32" s="103">
        <v>55.6</v>
      </c>
      <c r="G32" s="103">
        <v>47.3</v>
      </c>
      <c r="H32" s="103">
        <v>41.3</v>
      </c>
      <c r="I32" s="103">
        <v>36.9</v>
      </c>
      <c r="J32" s="103">
        <v>33.4</v>
      </c>
      <c r="K32" s="103">
        <v>30.7</v>
      </c>
      <c r="L32" s="103">
        <v>28.4</v>
      </c>
      <c r="M32" s="103">
        <v>26.6</v>
      </c>
      <c r="N32" s="103">
        <v>25</v>
      </c>
      <c r="O32" s="103">
        <v>23.7</v>
      </c>
      <c r="P32" s="103">
        <v>22.5</v>
      </c>
      <c r="Q32" s="103">
        <v>21.5</v>
      </c>
      <c r="R32" s="103">
        <v>20.6</v>
      </c>
      <c r="S32" s="103">
        <v>19.899999999999999</v>
      </c>
      <c r="T32" s="103">
        <v>19.2</v>
      </c>
      <c r="U32" s="103">
        <v>18.600000000000001</v>
      </c>
      <c r="W32" s="17">
        <v>41</v>
      </c>
      <c r="X32" s="103">
        <v>277.39999999999998</v>
      </c>
      <c r="Y32" s="103">
        <v>141.5</v>
      </c>
      <c r="Z32" s="103">
        <v>96.2</v>
      </c>
      <c r="AA32" s="103">
        <v>73.599999999999994</v>
      </c>
      <c r="AB32" s="103">
        <v>60.1</v>
      </c>
      <c r="AC32" s="103">
        <v>51.1</v>
      </c>
      <c r="AD32" s="103">
        <v>44.6</v>
      </c>
      <c r="AE32" s="103">
        <v>39.799999999999997</v>
      </c>
      <c r="AF32" s="103">
        <v>36.1</v>
      </c>
      <c r="AG32" s="103">
        <v>33.1</v>
      </c>
      <c r="AH32" s="103">
        <v>30.7</v>
      </c>
      <c r="AI32" s="103">
        <v>28.7</v>
      </c>
      <c r="AJ32" s="103">
        <v>27</v>
      </c>
      <c r="AK32" s="103">
        <v>25.6</v>
      </c>
      <c r="AL32" s="103">
        <v>24.3</v>
      </c>
      <c r="AM32" s="103">
        <v>23.2</v>
      </c>
      <c r="AN32" s="103">
        <v>22.3</v>
      </c>
      <c r="AO32" s="103">
        <v>21.5</v>
      </c>
      <c r="AP32" s="103">
        <v>20.7</v>
      </c>
      <c r="AQ32" s="103">
        <v>20.100000000000001</v>
      </c>
    </row>
    <row r="33" spans="1:43" x14ac:dyDescent="0.25">
      <c r="A33" s="17">
        <v>42</v>
      </c>
      <c r="B33" s="103">
        <v>261.3</v>
      </c>
      <c r="C33" s="103">
        <v>133.30000000000001</v>
      </c>
      <c r="D33" s="103">
        <v>90.7</v>
      </c>
      <c r="E33" s="103">
        <v>69.400000000000006</v>
      </c>
      <c r="F33" s="103">
        <v>56.6</v>
      </c>
      <c r="G33" s="103">
        <v>48.1</v>
      </c>
      <c r="H33" s="103">
        <v>42.1</v>
      </c>
      <c r="I33" s="103">
        <v>37.5</v>
      </c>
      <c r="J33" s="103">
        <v>34</v>
      </c>
      <c r="K33" s="103">
        <v>31.2</v>
      </c>
      <c r="L33" s="103">
        <v>29</v>
      </c>
      <c r="M33" s="103">
        <v>27.1</v>
      </c>
      <c r="N33" s="103">
        <v>25.5</v>
      </c>
      <c r="O33" s="103">
        <v>24.1</v>
      </c>
      <c r="P33" s="103">
        <v>22.9</v>
      </c>
      <c r="Q33" s="103">
        <v>21.9</v>
      </c>
      <c r="R33" s="103">
        <v>21</v>
      </c>
      <c r="S33" s="103">
        <v>20.3</v>
      </c>
      <c r="T33" s="103">
        <v>19.600000000000001</v>
      </c>
      <c r="U33" s="103">
        <v>18.899999999999999</v>
      </c>
      <c r="W33" s="17">
        <v>42</v>
      </c>
      <c r="X33" s="103">
        <v>282.2</v>
      </c>
      <c r="Y33" s="103">
        <v>144</v>
      </c>
      <c r="Z33" s="103">
        <v>97.9</v>
      </c>
      <c r="AA33" s="103">
        <v>74.900000000000006</v>
      </c>
      <c r="AB33" s="103">
        <v>61.1</v>
      </c>
      <c r="AC33" s="103">
        <v>52</v>
      </c>
      <c r="AD33" s="103">
        <v>45.4</v>
      </c>
      <c r="AE33" s="103">
        <v>40.5</v>
      </c>
      <c r="AF33" s="103">
        <v>36.799999999999997</v>
      </c>
      <c r="AG33" s="103">
        <v>33.700000000000003</v>
      </c>
      <c r="AH33" s="103">
        <v>31.3</v>
      </c>
      <c r="AI33" s="103">
        <v>29.2</v>
      </c>
      <c r="AJ33" s="103">
        <v>27.5</v>
      </c>
      <c r="AK33" s="103">
        <v>26</v>
      </c>
      <c r="AL33" s="103">
        <v>24.8</v>
      </c>
      <c r="AM33" s="103">
        <v>23.7</v>
      </c>
      <c r="AN33" s="103">
        <v>22.7</v>
      </c>
      <c r="AO33" s="103">
        <v>21.9</v>
      </c>
      <c r="AP33" s="103">
        <v>21.1</v>
      </c>
      <c r="AQ33" s="103">
        <v>20.5</v>
      </c>
    </row>
    <row r="34" spans="1:43" x14ac:dyDescent="0.25">
      <c r="A34" s="17">
        <v>43</v>
      </c>
      <c r="B34" s="103">
        <v>265.89999999999998</v>
      </c>
      <c r="C34" s="103">
        <v>135.69999999999999</v>
      </c>
      <c r="D34" s="103">
        <v>92.3</v>
      </c>
      <c r="E34" s="103">
        <v>70.599999999999994</v>
      </c>
      <c r="F34" s="103">
        <v>57.6</v>
      </c>
      <c r="G34" s="103">
        <v>49</v>
      </c>
      <c r="H34" s="103">
        <v>42.8</v>
      </c>
      <c r="I34" s="103">
        <v>38.200000000000003</v>
      </c>
      <c r="J34" s="103">
        <v>34.700000000000003</v>
      </c>
      <c r="K34" s="103">
        <v>31.8</v>
      </c>
      <c r="L34" s="103">
        <v>29.5</v>
      </c>
      <c r="M34" s="103">
        <v>27.6</v>
      </c>
      <c r="N34" s="103">
        <v>26</v>
      </c>
      <c r="O34" s="103">
        <v>24.6</v>
      </c>
      <c r="P34" s="103">
        <v>23.4</v>
      </c>
      <c r="Q34" s="103">
        <v>22.4</v>
      </c>
      <c r="R34" s="103">
        <v>21.5</v>
      </c>
      <c r="S34" s="103">
        <v>20.7</v>
      </c>
      <c r="T34" s="103">
        <v>20</v>
      </c>
      <c r="U34" s="103">
        <v>19.3</v>
      </c>
      <c r="W34" s="17">
        <v>43</v>
      </c>
      <c r="X34" s="103">
        <v>287.2</v>
      </c>
      <c r="Y34" s="103">
        <v>146.5</v>
      </c>
      <c r="Z34" s="103">
        <v>99.7</v>
      </c>
      <c r="AA34" s="103">
        <v>76.3</v>
      </c>
      <c r="AB34" s="103">
        <v>62.2</v>
      </c>
      <c r="AC34" s="103">
        <v>52.9</v>
      </c>
      <c r="AD34" s="103">
        <v>46.3</v>
      </c>
      <c r="AE34" s="103">
        <v>41.3</v>
      </c>
      <c r="AF34" s="103">
        <v>37.4</v>
      </c>
      <c r="AG34" s="103">
        <v>34.4</v>
      </c>
      <c r="AH34" s="103">
        <v>31.9</v>
      </c>
      <c r="AI34" s="103">
        <v>29.8</v>
      </c>
      <c r="AJ34" s="103">
        <v>28</v>
      </c>
      <c r="AK34" s="103">
        <v>26.5</v>
      </c>
      <c r="AL34" s="103">
        <v>25.3</v>
      </c>
      <c r="AM34" s="103">
        <v>24.2</v>
      </c>
      <c r="AN34" s="103">
        <v>23.2</v>
      </c>
      <c r="AO34" s="103">
        <v>22.3</v>
      </c>
      <c r="AP34" s="103">
        <v>21.6</v>
      </c>
      <c r="AQ34" s="103">
        <v>20.9</v>
      </c>
    </row>
    <row r="35" spans="1:43" x14ac:dyDescent="0.25">
      <c r="A35" s="17">
        <v>44</v>
      </c>
      <c r="B35" s="103">
        <v>270.60000000000002</v>
      </c>
      <c r="C35" s="103">
        <v>138.1</v>
      </c>
      <c r="D35" s="103">
        <v>93.9</v>
      </c>
      <c r="E35" s="103">
        <v>71.900000000000006</v>
      </c>
      <c r="F35" s="103">
        <v>58.7</v>
      </c>
      <c r="G35" s="103">
        <v>49.9</v>
      </c>
      <c r="H35" s="103">
        <v>43.6</v>
      </c>
      <c r="I35" s="103">
        <v>38.9</v>
      </c>
      <c r="J35" s="103">
        <v>35.299999999999997</v>
      </c>
      <c r="K35" s="103">
        <v>32.4</v>
      </c>
      <c r="L35" s="103">
        <v>30.1</v>
      </c>
      <c r="M35" s="103">
        <v>28.1</v>
      </c>
      <c r="N35" s="103">
        <v>26.5</v>
      </c>
      <c r="O35" s="103">
        <v>25.1</v>
      </c>
      <c r="P35" s="103">
        <v>23.9</v>
      </c>
      <c r="Q35" s="103">
        <v>22.8</v>
      </c>
      <c r="R35" s="103">
        <v>21.9</v>
      </c>
      <c r="S35" s="103">
        <v>21.1</v>
      </c>
      <c r="T35" s="103">
        <v>20.399999999999999</v>
      </c>
      <c r="U35" s="103">
        <v>19.7</v>
      </c>
      <c r="W35" s="17">
        <v>44</v>
      </c>
      <c r="X35" s="103">
        <v>292.2</v>
      </c>
      <c r="Y35" s="103">
        <v>149.1</v>
      </c>
      <c r="Z35" s="103">
        <v>101.4</v>
      </c>
      <c r="AA35" s="103">
        <v>77.599999999999994</v>
      </c>
      <c r="AB35" s="103">
        <v>63.3</v>
      </c>
      <c r="AC35" s="103">
        <v>53.9</v>
      </c>
      <c r="AD35" s="103">
        <v>47.1</v>
      </c>
      <c r="AE35" s="103">
        <v>42</v>
      </c>
      <c r="AF35" s="103">
        <v>38.1</v>
      </c>
      <c r="AG35" s="103">
        <v>35</v>
      </c>
      <c r="AH35" s="103">
        <v>32.5</v>
      </c>
      <c r="AI35" s="103">
        <v>30.3</v>
      </c>
      <c r="AJ35" s="103">
        <v>28.6</v>
      </c>
      <c r="AK35" s="103">
        <v>27.1</v>
      </c>
      <c r="AL35" s="103">
        <v>25.8</v>
      </c>
      <c r="AM35" s="103">
        <v>24.6</v>
      </c>
      <c r="AN35" s="103">
        <v>23.6</v>
      </c>
      <c r="AO35" s="103">
        <v>22.8</v>
      </c>
      <c r="AP35" s="103">
        <v>22</v>
      </c>
      <c r="AQ35" s="103">
        <v>21.3</v>
      </c>
    </row>
    <row r="36" spans="1:43" x14ac:dyDescent="0.25">
      <c r="A36" s="17">
        <v>45</v>
      </c>
      <c r="B36" s="103">
        <v>275.39999999999998</v>
      </c>
      <c r="C36" s="103">
        <v>140.5</v>
      </c>
      <c r="D36" s="103">
        <v>95.6</v>
      </c>
      <c r="E36" s="103">
        <v>73.2</v>
      </c>
      <c r="F36" s="103">
        <v>59.7</v>
      </c>
      <c r="G36" s="103">
        <v>50.8</v>
      </c>
      <c r="H36" s="103">
        <v>44.4</v>
      </c>
      <c r="I36" s="103">
        <v>39.700000000000003</v>
      </c>
      <c r="J36" s="103">
        <v>36</v>
      </c>
      <c r="K36" s="103">
        <v>33</v>
      </c>
      <c r="L36" s="103">
        <v>30.6</v>
      </c>
      <c r="M36" s="103">
        <v>28.6</v>
      </c>
      <c r="N36" s="103">
        <v>27</v>
      </c>
      <c r="O36" s="103">
        <v>25.6</v>
      </c>
      <c r="P36" s="103">
        <v>24.3</v>
      </c>
      <c r="Q36" s="103">
        <v>23.3</v>
      </c>
      <c r="R36" s="103">
        <v>22.3</v>
      </c>
      <c r="S36" s="103">
        <v>21.5</v>
      </c>
      <c r="T36" s="103">
        <v>20.8</v>
      </c>
      <c r="U36" s="103">
        <v>20.100000000000001</v>
      </c>
      <c r="W36" s="17">
        <v>45</v>
      </c>
      <c r="X36" s="103">
        <v>297.2</v>
      </c>
      <c r="Y36" s="103">
        <v>151.69999999999999</v>
      </c>
      <c r="Z36" s="103">
        <v>103.2</v>
      </c>
      <c r="AA36" s="103">
        <v>79</v>
      </c>
      <c r="AB36" s="103">
        <v>64.5</v>
      </c>
      <c r="AC36" s="103">
        <v>54.8</v>
      </c>
      <c r="AD36" s="103">
        <v>47.9</v>
      </c>
      <c r="AE36" s="103">
        <v>42.8</v>
      </c>
      <c r="AF36" s="103">
        <v>38.799999999999997</v>
      </c>
      <c r="AG36" s="103">
        <v>35.6</v>
      </c>
      <c r="AH36" s="103">
        <v>33.1</v>
      </c>
      <c r="AI36" s="103">
        <v>30.9</v>
      </c>
      <c r="AJ36" s="103">
        <v>29.1</v>
      </c>
      <c r="AK36" s="103">
        <v>27.6</v>
      </c>
      <c r="AL36" s="103">
        <v>26.3</v>
      </c>
      <c r="AM36" s="103">
        <v>25.1</v>
      </c>
      <c r="AN36" s="103">
        <v>24.1</v>
      </c>
      <c r="AO36" s="103">
        <v>23.2</v>
      </c>
      <c r="AP36" s="103">
        <v>22.4</v>
      </c>
      <c r="AQ36" s="103">
        <v>21.7</v>
      </c>
    </row>
    <row r="37" spans="1:43" x14ac:dyDescent="0.25">
      <c r="A37" s="17">
        <v>46</v>
      </c>
      <c r="B37" s="103">
        <v>280.2</v>
      </c>
      <c r="C37" s="103">
        <v>143</v>
      </c>
      <c r="D37" s="103">
        <v>97.3</v>
      </c>
      <c r="E37" s="103">
        <v>74.5</v>
      </c>
      <c r="F37" s="103">
        <v>60.8</v>
      </c>
      <c r="G37" s="103">
        <v>51.7</v>
      </c>
      <c r="H37" s="103">
        <v>45.2</v>
      </c>
      <c r="I37" s="103">
        <v>40.4</v>
      </c>
      <c r="J37" s="103">
        <v>36.6</v>
      </c>
      <c r="K37" s="103">
        <v>33.700000000000003</v>
      </c>
      <c r="L37" s="103">
        <v>31.2</v>
      </c>
      <c r="M37" s="103">
        <v>29.2</v>
      </c>
      <c r="N37" s="103">
        <v>27.5</v>
      </c>
      <c r="O37" s="103">
        <v>26.1</v>
      </c>
      <c r="P37" s="103">
        <v>24.8</v>
      </c>
      <c r="Q37" s="103">
        <v>23.7</v>
      </c>
      <c r="R37" s="103">
        <v>22.8</v>
      </c>
      <c r="S37" s="103">
        <v>22</v>
      </c>
      <c r="T37" s="103">
        <v>21.2</v>
      </c>
      <c r="U37" s="103"/>
      <c r="W37" s="17">
        <v>46</v>
      </c>
      <c r="X37" s="103">
        <v>302.3</v>
      </c>
      <c r="Y37" s="103">
        <v>154.30000000000001</v>
      </c>
      <c r="Z37" s="103">
        <v>105</v>
      </c>
      <c r="AA37" s="103">
        <v>80.400000000000006</v>
      </c>
      <c r="AB37" s="103">
        <v>65.599999999999994</v>
      </c>
      <c r="AC37" s="103">
        <v>55.8</v>
      </c>
      <c r="AD37" s="103">
        <v>48.8</v>
      </c>
      <c r="AE37" s="103">
        <v>43.6</v>
      </c>
      <c r="AF37" s="103">
        <v>39.5</v>
      </c>
      <c r="AG37" s="103">
        <v>36.299999999999997</v>
      </c>
      <c r="AH37" s="103">
        <v>33.700000000000003</v>
      </c>
      <c r="AI37" s="103">
        <v>31.5</v>
      </c>
      <c r="AJ37" s="103">
        <v>29.7</v>
      </c>
      <c r="AK37" s="103">
        <v>28.1</v>
      </c>
      <c r="AL37" s="103">
        <v>26.8</v>
      </c>
      <c r="AM37" s="103">
        <v>25.6</v>
      </c>
      <c r="AN37" s="103">
        <v>24.6</v>
      </c>
      <c r="AO37" s="103">
        <v>23.7</v>
      </c>
      <c r="AP37" s="103">
        <v>22.9</v>
      </c>
      <c r="AQ37" s="103"/>
    </row>
    <row r="38" spans="1:43" x14ac:dyDescent="0.25">
      <c r="A38" s="17">
        <v>47</v>
      </c>
      <c r="B38" s="103">
        <v>285.10000000000002</v>
      </c>
      <c r="C38" s="103">
        <v>145.5</v>
      </c>
      <c r="D38" s="103">
        <v>99.1</v>
      </c>
      <c r="E38" s="103">
        <v>75.8</v>
      </c>
      <c r="F38" s="103">
        <v>61.9</v>
      </c>
      <c r="G38" s="103">
        <v>52.7</v>
      </c>
      <c r="H38" s="103">
        <v>46.1</v>
      </c>
      <c r="I38" s="103">
        <v>41.2</v>
      </c>
      <c r="J38" s="103">
        <v>37.299999999999997</v>
      </c>
      <c r="K38" s="103">
        <v>34.299999999999997</v>
      </c>
      <c r="L38" s="103">
        <v>31.8</v>
      </c>
      <c r="M38" s="103">
        <v>29.8</v>
      </c>
      <c r="N38" s="103">
        <v>28.1</v>
      </c>
      <c r="O38" s="103">
        <v>26.6</v>
      </c>
      <c r="P38" s="103">
        <v>25.3</v>
      </c>
      <c r="Q38" s="103">
        <v>24.2</v>
      </c>
      <c r="R38" s="103">
        <v>23.3</v>
      </c>
      <c r="S38" s="103">
        <v>22.4</v>
      </c>
      <c r="T38" s="103"/>
      <c r="U38" s="103"/>
      <c r="W38" s="17">
        <v>47</v>
      </c>
      <c r="X38" s="103">
        <v>307.60000000000002</v>
      </c>
      <c r="Y38" s="103">
        <v>157</v>
      </c>
      <c r="Z38" s="103">
        <v>106.8</v>
      </c>
      <c r="AA38" s="103">
        <v>81.8</v>
      </c>
      <c r="AB38" s="103">
        <v>66.8</v>
      </c>
      <c r="AC38" s="103">
        <v>56.8</v>
      </c>
      <c r="AD38" s="103">
        <v>49.7</v>
      </c>
      <c r="AE38" s="103">
        <v>44.4</v>
      </c>
      <c r="AF38" s="103">
        <v>40.299999999999997</v>
      </c>
      <c r="AG38" s="103">
        <v>37</v>
      </c>
      <c r="AH38" s="103">
        <v>34.299999999999997</v>
      </c>
      <c r="AI38" s="103">
        <v>32.1</v>
      </c>
      <c r="AJ38" s="103">
        <v>30.3</v>
      </c>
      <c r="AK38" s="103">
        <v>28.7</v>
      </c>
      <c r="AL38" s="103">
        <v>27.3</v>
      </c>
      <c r="AM38" s="103">
        <v>26.1</v>
      </c>
      <c r="AN38" s="103">
        <v>25.1</v>
      </c>
      <c r="AO38" s="103">
        <v>24.2</v>
      </c>
      <c r="AP38" s="103"/>
      <c r="AQ38" s="103"/>
    </row>
    <row r="39" spans="1:43" x14ac:dyDescent="0.25">
      <c r="A39" s="17">
        <v>48</v>
      </c>
      <c r="B39" s="103">
        <v>290.2</v>
      </c>
      <c r="C39" s="103">
        <v>148.1</v>
      </c>
      <c r="D39" s="103">
        <v>100.8</v>
      </c>
      <c r="E39" s="103">
        <v>77.2</v>
      </c>
      <c r="F39" s="103">
        <v>63.1</v>
      </c>
      <c r="G39" s="103">
        <v>53.7</v>
      </c>
      <c r="H39" s="103">
        <v>47</v>
      </c>
      <c r="I39" s="103">
        <v>41.9</v>
      </c>
      <c r="J39" s="103">
        <v>38.1</v>
      </c>
      <c r="K39" s="103">
        <v>35</v>
      </c>
      <c r="L39" s="103">
        <v>32.5</v>
      </c>
      <c r="M39" s="103">
        <v>30.4</v>
      </c>
      <c r="N39" s="103">
        <v>28.6</v>
      </c>
      <c r="O39" s="103">
        <v>27.1</v>
      </c>
      <c r="P39" s="103">
        <v>25.8</v>
      </c>
      <c r="Q39" s="103">
        <v>24.7</v>
      </c>
      <c r="R39" s="103">
        <v>23.7</v>
      </c>
      <c r="S39" s="103"/>
      <c r="T39" s="103"/>
      <c r="U39" s="103"/>
      <c r="W39" s="17">
        <v>48</v>
      </c>
      <c r="X39" s="103">
        <v>312.89999999999998</v>
      </c>
      <c r="Y39" s="103">
        <v>159.69999999999999</v>
      </c>
      <c r="Z39" s="103">
        <v>108.7</v>
      </c>
      <c r="AA39" s="103">
        <v>83.3</v>
      </c>
      <c r="AB39" s="103">
        <v>68</v>
      </c>
      <c r="AC39" s="103">
        <v>57.9</v>
      </c>
      <c r="AD39" s="103">
        <v>50.6</v>
      </c>
      <c r="AE39" s="103">
        <v>45.2</v>
      </c>
      <c r="AF39" s="103">
        <v>41</v>
      </c>
      <c r="AG39" s="103">
        <v>37.700000000000003</v>
      </c>
      <c r="AH39" s="103">
        <v>35</v>
      </c>
      <c r="AI39" s="103">
        <v>32.700000000000003</v>
      </c>
      <c r="AJ39" s="103">
        <v>30.9</v>
      </c>
      <c r="AK39" s="103">
        <v>29.2</v>
      </c>
      <c r="AL39" s="103">
        <v>27.9</v>
      </c>
      <c r="AM39" s="103">
        <v>26.7</v>
      </c>
      <c r="AN39" s="103">
        <v>25.6</v>
      </c>
      <c r="AO39" s="103"/>
      <c r="AP39" s="103"/>
      <c r="AQ39" s="103"/>
    </row>
    <row r="40" spans="1:43" x14ac:dyDescent="0.25">
      <c r="A40" s="17">
        <v>49</v>
      </c>
      <c r="B40" s="103">
        <v>295.3</v>
      </c>
      <c r="C40" s="103">
        <v>150.80000000000001</v>
      </c>
      <c r="D40" s="103">
        <v>102.7</v>
      </c>
      <c r="E40" s="103">
        <v>78.599999999999994</v>
      </c>
      <c r="F40" s="103">
        <v>64.2</v>
      </c>
      <c r="G40" s="103">
        <v>54.7</v>
      </c>
      <c r="H40" s="103">
        <v>47.8</v>
      </c>
      <c r="I40" s="103">
        <v>42.7</v>
      </c>
      <c r="J40" s="103">
        <v>38.799999999999997</v>
      </c>
      <c r="K40" s="103">
        <v>35.700000000000003</v>
      </c>
      <c r="L40" s="103">
        <v>33.1</v>
      </c>
      <c r="M40" s="103">
        <v>31</v>
      </c>
      <c r="N40" s="103">
        <v>29.2</v>
      </c>
      <c r="O40" s="103">
        <v>27.7</v>
      </c>
      <c r="P40" s="103">
        <v>26.4</v>
      </c>
      <c r="Q40" s="103">
        <v>25.2</v>
      </c>
      <c r="R40" s="103"/>
      <c r="S40" s="103"/>
      <c r="T40" s="103"/>
      <c r="U40" s="103"/>
      <c r="W40" s="17">
        <v>49</v>
      </c>
      <c r="X40" s="103">
        <v>318.3</v>
      </c>
      <c r="Y40" s="103">
        <v>162.5</v>
      </c>
      <c r="Z40" s="103">
        <v>110.7</v>
      </c>
      <c r="AA40" s="103">
        <v>84.8</v>
      </c>
      <c r="AB40" s="103">
        <v>69.2</v>
      </c>
      <c r="AC40" s="103">
        <v>58.9</v>
      </c>
      <c r="AD40" s="103">
        <v>51.6</v>
      </c>
      <c r="AE40" s="103">
        <v>46.1</v>
      </c>
      <c r="AF40" s="103">
        <v>41.8</v>
      </c>
      <c r="AG40" s="103">
        <v>38.4</v>
      </c>
      <c r="AH40" s="103">
        <v>35.700000000000003</v>
      </c>
      <c r="AI40" s="103">
        <v>33.4</v>
      </c>
      <c r="AJ40" s="103">
        <v>31.5</v>
      </c>
      <c r="AK40" s="103">
        <v>29.8</v>
      </c>
      <c r="AL40" s="103">
        <v>28.4</v>
      </c>
      <c r="AM40" s="103">
        <v>27.2</v>
      </c>
      <c r="AN40" s="103"/>
      <c r="AO40" s="103"/>
      <c r="AP40" s="103"/>
      <c r="AQ40" s="103"/>
    </row>
    <row r="41" spans="1:43" x14ac:dyDescent="0.25">
      <c r="A41" s="17">
        <v>50</v>
      </c>
      <c r="B41" s="103">
        <v>300.5</v>
      </c>
      <c r="C41" s="103">
        <v>153.5</v>
      </c>
      <c r="D41" s="103">
        <v>104.5</v>
      </c>
      <c r="E41" s="103">
        <v>80.099999999999994</v>
      </c>
      <c r="F41" s="103">
        <v>65.400000000000006</v>
      </c>
      <c r="G41" s="103">
        <v>55.7</v>
      </c>
      <c r="H41" s="103">
        <v>48.7</v>
      </c>
      <c r="I41" s="103">
        <v>43.6</v>
      </c>
      <c r="J41" s="103">
        <v>39.5</v>
      </c>
      <c r="K41" s="103">
        <v>36.4</v>
      </c>
      <c r="L41" s="103">
        <v>33.700000000000003</v>
      </c>
      <c r="M41" s="103">
        <v>31.6</v>
      </c>
      <c r="N41" s="103">
        <v>29.8</v>
      </c>
      <c r="O41" s="103">
        <v>28.2</v>
      </c>
      <c r="P41" s="103">
        <v>26.9</v>
      </c>
      <c r="Q41" s="103"/>
      <c r="R41" s="103"/>
      <c r="S41" s="103"/>
      <c r="T41" s="103"/>
      <c r="U41" s="103"/>
      <c r="W41" s="17">
        <v>50</v>
      </c>
      <c r="X41" s="103">
        <v>323.8</v>
      </c>
      <c r="Y41" s="103">
        <v>165.4</v>
      </c>
      <c r="Z41" s="103">
        <v>112.6</v>
      </c>
      <c r="AA41" s="103">
        <v>86.3</v>
      </c>
      <c r="AB41" s="103">
        <v>70.5</v>
      </c>
      <c r="AC41" s="103">
        <v>60</v>
      </c>
      <c r="AD41" s="103">
        <v>52.5</v>
      </c>
      <c r="AE41" s="103">
        <v>46.9</v>
      </c>
      <c r="AF41" s="103">
        <v>42.6</v>
      </c>
      <c r="AG41" s="103">
        <v>39.200000000000003</v>
      </c>
      <c r="AH41" s="103">
        <v>36.4</v>
      </c>
      <c r="AI41" s="103">
        <v>34</v>
      </c>
      <c r="AJ41" s="103">
        <v>32.1</v>
      </c>
      <c r="AK41" s="103">
        <v>30.4</v>
      </c>
      <c r="AL41" s="103">
        <v>29</v>
      </c>
      <c r="AM41" s="103"/>
      <c r="AN41" s="103"/>
      <c r="AO41" s="103"/>
      <c r="AP41" s="103"/>
      <c r="AQ41" s="103"/>
    </row>
    <row r="42" spans="1:43" x14ac:dyDescent="0.25">
      <c r="A42" s="17">
        <v>51</v>
      </c>
      <c r="B42" s="103">
        <v>305.8</v>
      </c>
      <c r="C42" s="103">
        <v>156.19999999999999</v>
      </c>
      <c r="D42" s="103">
        <v>106.4</v>
      </c>
      <c r="E42" s="103">
        <v>81.5</v>
      </c>
      <c r="F42" s="103">
        <v>66.599999999999994</v>
      </c>
      <c r="G42" s="103">
        <v>56.7</v>
      </c>
      <c r="H42" s="103">
        <v>49.7</v>
      </c>
      <c r="I42" s="103">
        <v>44.4</v>
      </c>
      <c r="J42" s="103">
        <v>40.299999999999997</v>
      </c>
      <c r="K42" s="103">
        <v>37.1</v>
      </c>
      <c r="L42" s="103">
        <v>34.4</v>
      </c>
      <c r="M42" s="103">
        <v>32.200000000000003</v>
      </c>
      <c r="N42" s="103">
        <v>30.4</v>
      </c>
      <c r="O42" s="103">
        <v>28.8</v>
      </c>
      <c r="P42" s="103"/>
      <c r="Q42" s="103"/>
      <c r="R42" s="103"/>
      <c r="S42" s="103"/>
      <c r="T42" s="103"/>
      <c r="U42" s="103"/>
      <c r="W42" s="17">
        <v>51</v>
      </c>
      <c r="X42" s="103">
        <v>329.3</v>
      </c>
      <c r="Y42" s="103">
        <v>168.2</v>
      </c>
      <c r="Z42" s="103">
        <v>114.6</v>
      </c>
      <c r="AA42" s="103">
        <v>87.8</v>
      </c>
      <c r="AB42" s="103">
        <v>71.8</v>
      </c>
      <c r="AC42" s="103">
        <v>61.1</v>
      </c>
      <c r="AD42" s="103">
        <v>53.5</v>
      </c>
      <c r="AE42" s="103">
        <v>47.8</v>
      </c>
      <c r="AF42" s="103">
        <v>43.4</v>
      </c>
      <c r="AG42" s="103">
        <v>39.9</v>
      </c>
      <c r="AH42" s="103">
        <v>37.1</v>
      </c>
      <c r="AI42" s="103">
        <v>34.700000000000003</v>
      </c>
      <c r="AJ42" s="103">
        <v>32.700000000000003</v>
      </c>
      <c r="AK42" s="103">
        <v>31</v>
      </c>
      <c r="AL42" s="103"/>
      <c r="AM42" s="103"/>
      <c r="AN42" s="103"/>
      <c r="AO42" s="103"/>
      <c r="AP42" s="103"/>
      <c r="AQ42" s="103"/>
    </row>
    <row r="43" spans="1:43" x14ac:dyDescent="0.25">
      <c r="A43" s="17">
        <v>52</v>
      </c>
      <c r="B43" s="103">
        <v>311.2</v>
      </c>
      <c r="C43" s="103">
        <v>159</v>
      </c>
      <c r="D43" s="103">
        <v>108.3</v>
      </c>
      <c r="E43" s="103">
        <v>83</v>
      </c>
      <c r="F43" s="103">
        <v>67.900000000000006</v>
      </c>
      <c r="G43" s="103">
        <v>57.8</v>
      </c>
      <c r="H43" s="103">
        <v>50.6</v>
      </c>
      <c r="I43" s="103">
        <v>45.3</v>
      </c>
      <c r="J43" s="103">
        <v>41.1</v>
      </c>
      <c r="K43" s="103">
        <v>37.799999999999997</v>
      </c>
      <c r="L43" s="103">
        <v>35.1</v>
      </c>
      <c r="M43" s="103">
        <v>32.9</v>
      </c>
      <c r="N43" s="103">
        <v>31</v>
      </c>
      <c r="O43" s="103"/>
      <c r="P43" s="103"/>
      <c r="Q43" s="103"/>
      <c r="R43" s="103"/>
      <c r="S43" s="103"/>
      <c r="T43" s="103"/>
      <c r="U43" s="103"/>
      <c r="W43" s="17">
        <v>52</v>
      </c>
      <c r="X43" s="103">
        <v>335</v>
      </c>
      <c r="Y43" s="103">
        <v>171.2</v>
      </c>
      <c r="Z43" s="103">
        <v>116.6</v>
      </c>
      <c r="AA43" s="103">
        <v>89.4</v>
      </c>
      <c r="AB43" s="103">
        <v>73.099999999999994</v>
      </c>
      <c r="AC43" s="103">
        <v>62.2</v>
      </c>
      <c r="AD43" s="103">
        <v>54.5</v>
      </c>
      <c r="AE43" s="103">
        <v>48.7</v>
      </c>
      <c r="AF43" s="103">
        <v>44.2</v>
      </c>
      <c r="AG43" s="103">
        <v>40.700000000000003</v>
      </c>
      <c r="AH43" s="103">
        <v>37.799999999999997</v>
      </c>
      <c r="AI43" s="103">
        <v>35.4</v>
      </c>
      <c r="AJ43" s="103">
        <v>33.4</v>
      </c>
      <c r="AK43" s="103"/>
      <c r="AL43" s="103"/>
      <c r="AM43" s="103"/>
      <c r="AN43" s="103"/>
      <c r="AO43" s="103"/>
      <c r="AP43" s="103"/>
      <c r="AQ43" s="103"/>
    </row>
    <row r="44" spans="1:43" x14ac:dyDescent="0.25">
      <c r="A44" s="17">
        <v>53</v>
      </c>
      <c r="B44" s="103">
        <v>316.7</v>
      </c>
      <c r="C44" s="103">
        <v>161.9</v>
      </c>
      <c r="D44" s="103">
        <v>110.3</v>
      </c>
      <c r="E44" s="103">
        <v>84.6</v>
      </c>
      <c r="F44" s="103">
        <v>69.099999999999994</v>
      </c>
      <c r="G44" s="103">
        <v>58.9</v>
      </c>
      <c r="H44" s="103">
        <v>51.6</v>
      </c>
      <c r="I44" s="103">
        <v>46.1</v>
      </c>
      <c r="J44" s="103">
        <v>41.9</v>
      </c>
      <c r="K44" s="103">
        <v>38.5</v>
      </c>
      <c r="L44" s="103">
        <v>35.799999999999997</v>
      </c>
      <c r="M44" s="103">
        <v>33.5</v>
      </c>
      <c r="N44" s="103"/>
      <c r="O44" s="103"/>
      <c r="P44" s="103"/>
      <c r="Q44" s="103"/>
      <c r="R44" s="103"/>
      <c r="S44" s="103"/>
      <c r="T44" s="103"/>
      <c r="U44" s="103"/>
      <c r="W44" s="17">
        <v>53</v>
      </c>
      <c r="X44" s="103">
        <v>340.8</v>
      </c>
      <c r="Y44" s="103">
        <v>174.2</v>
      </c>
      <c r="Z44" s="103">
        <v>118.7</v>
      </c>
      <c r="AA44" s="103">
        <v>91</v>
      </c>
      <c r="AB44" s="103">
        <v>74.400000000000006</v>
      </c>
      <c r="AC44" s="103">
        <v>63.4</v>
      </c>
      <c r="AD44" s="103">
        <v>55.5</v>
      </c>
      <c r="AE44" s="103">
        <v>49.6</v>
      </c>
      <c r="AF44" s="103">
        <v>45.1</v>
      </c>
      <c r="AG44" s="103">
        <v>41.5</v>
      </c>
      <c r="AH44" s="103">
        <v>38.5</v>
      </c>
      <c r="AI44" s="103">
        <v>36.1</v>
      </c>
      <c r="AJ44" s="103"/>
      <c r="AK44" s="103"/>
      <c r="AL44" s="103"/>
      <c r="AM44" s="103"/>
      <c r="AN44" s="103"/>
      <c r="AO44" s="103"/>
      <c r="AP44" s="103"/>
      <c r="AQ44" s="103"/>
    </row>
    <row r="45" spans="1:43" x14ac:dyDescent="0.25">
      <c r="A45" s="17">
        <v>54</v>
      </c>
      <c r="B45" s="103">
        <v>322.39999999999998</v>
      </c>
      <c r="C45" s="103">
        <v>164.8</v>
      </c>
      <c r="D45" s="103">
        <v>112.3</v>
      </c>
      <c r="E45" s="103">
        <v>86.1</v>
      </c>
      <c r="F45" s="103">
        <v>70.400000000000006</v>
      </c>
      <c r="G45" s="103">
        <v>60</v>
      </c>
      <c r="H45" s="103">
        <v>52.6</v>
      </c>
      <c r="I45" s="103">
        <v>47</v>
      </c>
      <c r="J45" s="103">
        <v>42.7</v>
      </c>
      <c r="K45" s="103">
        <v>39.299999999999997</v>
      </c>
      <c r="L45" s="103">
        <v>36.5</v>
      </c>
      <c r="M45" s="103"/>
      <c r="N45" s="103"/>
      <c r="O45" s="103"/>
      <c r="P45" s="103"/>
      <c r="Q45" s="103"/>
      <c r="R45" s="103"/>
      <c r="S45" s="103"/>
      <c r="T45" s="103"/>
      <c r="U45" s="103"/>
      <c r="W45" s="17">
        <v>54</v>
      </c>
      <c r="X45" s="103">
        <v>346.7</v>
      </c>
      <c r="Y45" s="103">
        <v>177.2</v>
      </c>
      <c r="Z45" s="103">
        <v>120.8</v>
      </c>
      <c r="AA45" s="103">
        <v>92.6</v>
      </c>
      <c r="AB45" s="103">
        <v>75.7</v>
      </c>
      <c r="AC45" s="103">
        <v>64.5</v>
      </c>
      <c r="AD45" s="103">
        <v>56.5</v>
      </c>
      <c r="AE45" s="103">
        <v>50.6</v>
      </c>
      <c r="AF45" s="103">
        <v>46</v>
      </c>
      <c r="AG45" s="103">
        <v>42.3</v>
      </c>
      <c r="AH45" s="103">
        <v>39.299999999999997</v>
      </c>
      <c r="AI45" s="103"/>
      <c r="AJ45" s="103"/>
      <c r="AK45" s="103"/>
      <c r="AL45" s="103"/>
      <c r="AM45" s="103"/>
      <c r="AN45" s="103"/>
      <c r="AO45" s="103"/>
      <c r="AP45" s="103"/>
      <c r="AQ45" s="103"/>
    </row>
    <row r="46" spans="1:43" x14ac:dyDescent="0.25">
      <c r="A46" s="17">
        <v>55</v>
      </c>
      <c r="B46" s="103">
        <v>328.2</v>
      </c>
      <c r="C46" s="103">
        <v>167.8</v>
      </c>
      <c r="D46" s="103">
        <v>114.4</v>
      </c>
      <c r="E46" s="103">
        <v>87.7</v>
      </c>
      <c r="F46" s="103">
        <v>71.8</v>
      </c>
      <c r="G46" s="103">
        <v>61.1</v>
      </c>
      <c r="H46" s="103">
        <v>53.6</v>
      </c>
      <c r="I46" s="103">
        <v>47.9</v>
      </c>
      <c r="J46" s="103">
        <v>43.6</v>
      </c>
      <c r="K46" s="103">
        <v>40.1</v>
      </c>
      <c r="L46" s="103"/>
      <c r="M46" s="103"/>
      <c r="N46" s="103"/>
      <c r="O46" s="103"/>
      <c r="P46" s="103"/>
      <c r="Q46" s="103"/>
      <c r="R46" s="103"/>
      <c r="S46" s="103"/>
      <c r="T46" s="103"/>
      <c r="U46" s="103"/>
      <c r="W46" s="17">
        <v>55</v>
      </c>
      <c r="X46" s="103">
        <v>352.7</v>
      </c>
      <c r="Y46" s="103">
        <v>180.3</v>
      </c>
      <c r="Z46" s="103">
        <v>122.9</v>
      </c>
      <c r="AA46" s="103">
        <v>94.3</v>
      </c>
      <c r="AB46" s="103">
        <v>77.099999999999994</v>
      </c>
      <c r="AC46" s="103">
        <v>65.7</v>
      </c>
      <c r="AD46" s="103">
        <v>57.6</v>
      </c>
      <c r="AE46" s="103">
        <v>51.5</v>
      </c>
      <c r="AF46" s="103">
        <v>46.8</v>
      </c>
      <c r="AG46" s="103">
        <v>43.1</v>
      </c>
      <c r="AH46" s="103"/>
      <c r="AI46" s="103"/>
      <c r="AJ46" s="103"/>
      <c r="AK46" s="103"/>
      <c r="AL46" s="103"/>
      <c r="AM46" s="103"/>
      <c r="AN46" s="103"/>
      <c r="AO46" s="103"/>
      <c r="AP46" s="103"/>
      <c r="AQ46" s="103"/>
    </row>
    <row r="47" spans="1:43" x14ac:dyDescent="0.25">
      <c r="A47" s="17">
        <v>56</v>
      </c>
      <c r="B47" s="103">
        <v>334</v>
      </c>
      <c r="C47" s="103">
        <v>170.8</v>
      </c>
      <c r="D47" s="103">
        <v>116.5</v>
      </c>
      <c r="E47" s="103">
        <v>89.4</v>
      </c>
      <c r="F47" s="103">
        <v>73.099999999999994</v>
      </c>
      <c r="G47" s="103">
        <v>62.3</v>
      </c>
      <c r="H47" s="103">
        <v>54.6</v>
      </c>
      <c r="I47" s="103">
        <v>48.9</v>
      </c>
      <c r="J47" s="103">
        <v>44.4</v>
      </c>
      <c r="K47" s="103"/>
      <c r="L47" s="103"/>
      <c r="M47" s="103"/>
      <c r="N47" s="103"/>
      <c r="O47" s="103"/>
      <c r="P47" s="103"/>
      <c r="Q47" s="103"/>
      <c r="R47" s="103"/>
      <c r="S47" s="103"/>
      <c r="T47" s="103"/>
      <c r="U47" s="103"/>
      <c r="W47" s="17">
        <v>56</v>
      </c>
      <c r="X47" s="103">
        <v>358.8</v>
      </c>
      <c r="Y47" s="103">
        <v>183.5</v>
      </c>
      <c r="Z47" s="103">
        <v>125.1</v>
      </c>
      <c r="AA47" s="103">
        <v>96</v>
      </c>
      <c r="AB47" s="103">
        <v>78.5</v>
      </c>
      <c r="AC47" s="103">
        <v>66.900000000000006</v>
      </c>
      <c r="AD47" s="103">
        <v>58.7</v>
      </c>
      <c r="AE47" s="103">
        <v>52.5</v>
      </c>
      <c r="AF47" s="103">
        <v>47.7</v>
      </c>
      <c r="AG47" s="103"/>
      <c r="AH47" s="103"/>
      <c r="AI47" s="103"/>
      <c r="AJ47" s="103"/>
      <c r="AK47" s="103"/>
      <c r="AL47" s="103"/>
      <c r="AM47" s="103"/>
      <c r="AN47" s="103"/>
      <c r="AO47" s="103"/>
      <c r="AP47" s="103"/>
      <c r="AQ47" s="103"/>
    </row>
    <row r="48" spans="1:43" x14ac:dyDescent="0.25">
      <c r="A48" s="17">
        <v>57</v>
      </c>
      <c r="B48" s="103">
        <v>340</v>
      </c>
      <c r="C48" s="103">
        <v>173.9</v>
      </c>
      <c r="D48" s="103">
        <v>118.6</v>
      </c>
      <c r="E48" s="103">
        <v>91</v>
      </c>
      <c r="F48" s="103">
        <v>74.5</v>
      </c>
      <c r="G48" s="103">
        <v>63.5</v>
      </c>
      <c r="H48" s="103">
        <v>55.7</v>
      </c>
      <c r="I48" s="103">
        <v>49.8</v>
      </c>
      <c r="J48" s="103"/>
      <c r="K48" s="103"/>
      <c r="L48" s="103"/>
      <c r="M48" s="103"/>
      <c r="N48" s="103"/>
      <c r="O48" s="103"/>
      <c r="P48" s="103"/>
      <c r="Q48" s="103"/>
      <c r="R48" s="103"/>
      <c r="S48" s="103"/>
      <c r="T48" s="103"/>
      <c r="U48" s="103"/>
      <c r="W48" s="17">
        <v>57</v>
      </c>
      <c r="X48" s="103">
        <v>365</v>
      </c>
      <c r="Y48" s="103">
        <v>186.7</v>
      </c>
      <c r="Z48" s="103">
        <v>127.3</v>
      </c>
      <c r="AA48" s="103">
        <v>97.7</v>
      </c>
      <c r="AB48" s="103">
        <v>80</v>
      </c>
      <c r="AC48" s="103">
        <v>68.2</v>
      </c>
      <c r="AD48" s="103">
        <v>59.8</v>
      </c>
      <c r="AE48" s="103">
        <v>53.5</v>
      </c>
      <c r="AF48" s="103"/>
      <c r="AG48" s="103"/>
      <c r="AH48" s="103"/>
      <c r="AI48" s="103"/>
      <c r="AJ48" s="103"/>
      <c r="AK48" s="103"/>
      <c r="AL48" s="103"/>
      <c r="AM48" s="103"/>
      <c r="AN48" s="103"/>
      <c r="AO48" s="103"/>
      <c r="AP48" s="103"/>
      <c r="AQ48" s="103"/>
    </row>
    <row r="49" spans="1:43" x14ac:dyDescent="0.25">
      <c r="A49" s="17">
        <v>58</v>
      </c>
      <c r="B49" s="103">
        <v>346.1</v>
      </c>
      <c r="C49" s="103">
        <v>177.1</v>
      </c>
      <c r="D49" s="103">
        <v>120.8</v>
      </c>
      <c r="E49" s="103">
        <v>92.7</v>
      </c>
      <c r="F49" s="103">
        <v>75.900000000000006</v>
      </c>
      <c r="G49" s="103">
        <v>64.7</v>
      </c>
      <c r="H49" s="103">
        <v>56.8</v>
      </c>
      <c r="I49" s="103"/>
      <c r="J49" s="103"/>
      <c r="K49" s="103"/>
      <c r="L49" s="103"/>
      <c r="M49" s="103"/>
      <c r="N49" s="103"/>
      <c r="O49" s="103"/>
      <c r="P49" s="103"/>
      <c r="Q49" s="103"/>
      <c r="R49" s="103"/>
      <c r="S49" s="103"/>
      <c r="T49" s="103"/>
      <c r="U49" s="103"/>
      <c r="W49" s="17">
        <v>58</v>
      </c>
      <c r="X49" s="103">
        <v>371.3</v>
      </c>
      <c r="Y49" s="103">
        <v>190</v>
      </c>
      <c r="Z49" s="103">
        <v>129.6</v>
      </c>
      <c r="AA49" s="103">
        <v>99.5</v>
      </c>
      <c r="AB49" s="103">
        <v>81.400000000000006</v>
      </c>
      <c r="AC49" s="103">
        <v>69.400000000000006</v>
      </c>
      <c r="AD49" s="103">
        <v>60.9</v>
      </c>
      <c r="AE49" s="103"/>
      <c r="AF49" s="103"/>
      <c r="AG49" s="103"/>
      <c r="AH49" s="103"/>
      <c r="AI49" s="103"/>
      <c r="AJ49" s="103"/>
      <c r="AK49" s="103"/>
      <c r="AL49" s="103"/>
      <c r="AM49" s="103"/>
      <c r="AN49" s="103"/>
      <c r="AO49" s="103"/>
      <c r="AP49" s="103"/>
      <c r="AQ49" s="103"/>
    </row>
    <row r="50" spans="1:43" x14ac:dyDescent="0.25">
      <c r="A50" s="17">
        <v>59</v>
      </c>
      <c r="B50" s="103">
        <v>352.4</v>
      </c>
      <c r="C50" s="103">
        <v>180.4</v>
      </c>
      <c r="D50" s="103">
        <v>123.1</v>
      </c>
      <c r="E50" s="103">
        <v>94.5</v>
      </c>
      <c r="F50" s="103">
        <v>77.400000000000006</v>
      </c>
      <c r="G50" s="103">
        <v>66</v>
      </c>
      <c r="H50" s="103"/>
      <c r="I50" s="103"/>
      <c r="J50" s="103"/>
      <c r="K50" s="103"/>
      <c r="L50" s="103"/>
      <c r="M50" s="103"/>
      <c r="N50" s="103"/>
      <c r="O50" s="103"/>
      <c r="P50" s="103"/>
      <c r="Q50" s="103"/>
      <c r="R50" s="103"/>
      <c r="S50" s="103"/>
      <c r="T50" s="103"/>
      <c r="U50" s="103"/>
      <c r="W50" s="17">
        <v>59</v>
      </c>
      <c r="X50" s="103">
        <v>377.7</v>
      </c>
      <c r="Y50" s="103">
        <v>193.3</v>
      </c>
      <c r="Z50" s="103">
        <v>131.9</v>
      </c>
      <c r="AA50" s="103">
        <v>101.3</v>
      </c>
      <c r="AB50" s="103">
        <v>82.9</v>
      </c>
      <c r="AC50" s="103">
        <v>70.7</v>
      </c>
      <c r="AD50" s="103"/>
      <c r="AE50" s="103"/>
      <c r="AF50" s="103"/>
      <c r="AG50" s="103"/>
      <c r="AH50" s="103"/>
      <c r="AI50" s="103"/>
      <c r="AJ50" s="103"/>
      <c r="AK50" s="103"/>
      <c r="AL50" s="103"/>
      <c r="AM50" s="103"/>
      <c r="AN50" s="103"/>
      <c r="AO50" s="103"/>
      <c r="AP50" s="103"/>
      <c r="AQ50" s="103"/>
    </row>
    <row r="51" spans="1:43" x14ac:dyDescent="0.25">
      <c r="A51" s="17">
        <v>60</v>
      </c>
      <c r="B51" s="103">
        <v>358.9</v>
      </c>
      <c r="C51" s="103">
        <v>183.7</v>
      </c>
      <c r="D51" s="103">
        <v>125.4</v>
      </c>
      <c r="E51" s="103">
        <v>96.3</v>
      </c>
      <c r="F51" s="103">
        <v>78.8</v>
      </c>
      <c r="G51" s="103"/>
      <c r="H51" s="103"/>
      <c r="I51" s="103"/>
      <c r="J51" s="103"/>
      <c r="K51" s="103"/>
      <c r="L51" s="103"/>
      <c r="M51" s="103"/>
      <c r="N51" s="103"/>
      <c r="O51" s="103"/>
      <c r="P51" s="103"/>
      <c r="Q51" s="103"/>
      <c r="R51" s="103"/>
      <c r="S51" s="103"/>
      <c r="T51" s="103"/>
      <c r="U51" s="103"/>
      <c r="W51" s="17">
        <v>60</v>
      </c>
      <c r="X51" s="103">
        <v>384.3</v>
      </c>
      <c r="Y51" s="103">
        <v>196.8</v>
      </c>
      <c r="Z51" s="103">
        <v>134.30000000000001</v>
      </c>
      <c r="AA51" s="103">
        <v>103.1</v>
      </c>
      <c r="AB51" s="103">
        <v>84.5</v>
      </c>
      <c r="AC51" s="103"/>
      <c r="AD51" s="103"/>
      <c r="AE51" s="103"/>
      <c r="AF51" s="103"/>
      <c r="AG51" s="103"/>
      <c r="AH51" s="103"/>
      <c r="AI51" s="103"/>
      <c r="AJ51" s="103"/>
      <c r="AK51" s="103"/>
      <c r="AL51" s="103"/>
      <c r="AM51" s="103"/>
      <c r="AN51" s="103"/>
      <c r="AO51" s="103"/>
      <c r="AP51" s="103"/>
      <c r="AQ51" s="103"/>
    </row>
    <row r="52" spans="1:43" x14ac:dyDescent="0.25">
      <c r="A52" s="17">
        <v>61</v>
      </c>
      <c r="B52" s="103">
        <v>365.5</v>
      </c>
      <c r="C52" s="103">
        <v>187.2</v>
      </c>
      <c r="D52" s="103">
        <v>127.8</v>
      </c>
      <c r="E52" s="103">
        <v>98.1</v>
      </c>
      <c r="F52" s="103"/>
      <c r="G52" s="103"/>
      <c r="H52" s="103"/>
      <c r="I52" s="103"/>
      <c r="J52" s="103"/>
      <c r="K52" s="103"/>
      <c r="L52" s="103"/>
      <c r="M52" s="103"/>
      <c r="N52" s="103"/>
      <c r="O52" s="103"/>
      <c r="P52" s="103"/>
      <c r="Q52" s="103"/>
      <c r="R52" s="103"/>
      <c r="S52" s="103"/>
      <c r="T52" s="103"/>
      <c r="U52" s="103"/>
      <c r="W52" s="17">
        <v>61</v>
      </c>
      <c r="X52" s="103">
        <v>391.2</v>
      </c>
      <c r="Y52" s="103">
        <v>200.3</v>
      </c>
      <c r="Z52" s="103">
        <v>136.69999999999999</v>
      </c>
      <c r="AA52" s="103">
        <v>105</v>
      </c>
      <c r="AB52" s="103"/>
      <c r="AC52" s="103"/>
      <c r="AD52" s="103"/>
      <c r="AE52" s="103"/>
      <c r="AF52" s="103"/>
      <c r="AG52" s="103"/>
      <c r="AH52" s="103"/>
      <c r="AI52" s="103"/>
      <c r="AJ52" s="103"/>
      <c r="AK52" s="103"/>
      <c r="AL52" s="103"/>
      <c r="AM52" s="103"/>
      <c r="AN52" s="103"/>
      <c r="AO52" s="103"/>
      <c r="AP52" s="103"/>
      <c r="AQ52" s="103"/>
    </row>
    <row r="53" spans="1:43" x14ac:dyDescent="0.25">
      <c r="A53" s="17">
        <v>62</v>
      </c>
      <c r="B53" s="103">
        <v>372.4</v>
      </c>
      <c r="C53" s="103">
        <v>190.8</v>
      </c>
      <c r="D53" s="103">
        <v>130.30000000000001</v>
      </c>
      <c r="E53" s="103"/>
      <c r="F53" s="103"/>
      <c r="G53" s="103"/>
      <c r="H53" s="103"/>
      <c r="I53" s="103"/>
      <c r="J53" s="103"/>
      <c r="K53" s="103"/>
      <c r="L53" s="103"/>
      <c r="M53" s="103"/>
      <c r="N53" s="103"/>
      <c r="O53" s="103"/>
      <c r="P53" s="103"/>
      <c r="Q53" s="103"/>
      <c r="R53" s="103"/>
      <c r="S53" s="103"/>
      <c r="T53" s="103"/>
      <c r="U53" s="103"/>
      <c r="W53" s="17">
        <v>62</v>
      </c>
      <c r="X53" s="103">
        <v>398.2</v>
      </c>
      <c r="Y53" s="103">
        <v>203.9</v>
      </c>
      <c r="Z53" s="103">
        <v>139.30000000000001</v>
      </c>
      <c r="AA53" s="103"/>
      <c r="AB53" s="103"/>
      <c r="AC53" s="103"/>
      <c r="AD53" s="103"/>
      <c r="AE53" s="103"/>
      <c r="AF53" s="103"/>
      <c r="AG53" s="103"/>
      <c r="AH53" s="103"/>
      <c r="AI53" s="103"/>
      <c r="AJ53" s="103"/>
      <c r="AK53" s="103"/>
      <c r="AL53" s="103"/>
      <c r="AM53" s="103"/>
      <c r="AN53" s="103"/>
      <c r="AO53" s="103"/>
      <c r="AP53" s="103"/>
      <c r="AQ53" s="103"/>
    </row>
    <row r="54" spans="1:43" x14ac:dyDescent="0.25">
      <c r="A54" s="17">
        <v>63</v>
      </c>
      <c r="B54" s="104">
        <v>379.7</v>
      </c>
      <c r="C54" s="104">
        <v>194.5</v>
      </c>
      <c r="D54" s="104"/>
      <c r="E54" s="104"/>
      <c r="F54" s="104"/>
      <c r="G54" s="104"/>
      <c r="H54" s="104"/>
      <c r="I54" s="104"/>
      <c r="J54" s="104"/>
      <c r="K54" s="104"/>
      <c r="L54" s="104"/>
      <c r="M54" s="104"/>
      <c r="N54" s="104"/>
      <c r="O54" s="104"/>
      <c r="P54" s="104"/>
      <c r="Q54" s="104"/>
      <c r="R54" s="104"/>
      <c r="S54" s="104"/>
      <c r="T54" s="104"/>
      <c r="U54" s="104"/>
      <c r="W54" s="17">
        <v>63</v>
      </c>
      <c r="X54" s="104">
        <v>405.6</v>
      </c>
      <c r="Y54" s="104">
        <v>207.8</v>
      </c>
      <c r="Z54" s="104"/>
      <c r="AA54" s="104"/>
      <c r="AB54" s="104"/>
      <c r="AC54" s="104"/>
      <c r="AD54" s="104"/>
      <c r="AE54" s="104"/>
      <c r="AF54" s="104"/>
      <c r="AG54" s="104"/>
      <c r="AH54" s="104"/>
      <c r="AI54" s="104"/>
      <c r="AJ54" s="104"/>
      <c r="AK54" s="104"/>
      <c r="AL54" s="104"/>
      <c r="AM54" s="104"/>
      <c r="AN54" s="104"/>
      <c r="AO54" s="104"/>
      <c r="AP54" s="104"/>
      <c r="AQ54" s="104"/>
    </row>
    <row r="55" spans="1:43" x14ac:dyDescent="0.25">
      <c r="A55" s="17">
        <v>64</v>
      </c>
      <c r="B55" s="20">
        <v>387.3</v>
      </c>
      <c r="C55" s="20"/>
      <c r="D55" s="20"/>
      <c r="E55" s="20"/>
      <c r="F55" s="20"/>
      <c r="G55" s="20"/>
      <c r="H55" s="20"/>
      <c r="I55" s="20"/>
      <c r="J55" s="20"/>
      <c r="K55" s="20"/>
      <c r="L55" s="20"/>
      <c r="M55" s="20"/>
      <c r="N55" s="20"/>
      <c r="O55" s="20"/>
      <c r="P55" s="20"/>
      <c r="Q55" s="20"/>
      <c r="R55" s="20"/>
      <c r="S55" s="20"/>
      <c r="T55" s="20"/>
      <c r="U55" s="20"/>
      <c r="W55" s="17">
        <v>64</v>
      </c>
      <c r="X55" s="103">
        <v>413.3</v>
      </c>
      <c r="Y55" s="103"/>
      <c r="Z55" s="103"/>
      <c r="AA55" s="103"/>
      <c r="AB55" s="103"/>
      <c r="AC55" s="103"/>
      <c r="AD55" s="103"/>
      <c r="AE55" s="103"/>
      <c r="AF55" s="103"/>
      <c r="AG55" s="103"/>
      <c r="AH55" s="103"/>
      <c r="AI55" s="103"/>
      <c r="AJ55" s="103"/>
      <c r="AK55" s="103"/>
      <c r="AL55" s="103"/>
      <c r="AM55" s="103"/>
      <c r="AN55" s="103"/>
      <c r="AO55" s="103"/>
      <c r="AP55" s="103"/>
      <c r="AQ55" s="103"/>
    </row>
    <row r="56" spans="1:43" x14ac:dyDescent="0.25">
      <c r="A56" s="17"/>
      <c r="B56" s="20"/>
      <c r="C56" s="20"/>
      <c r="D56" s="20"/>
      <c r="E56" s="20"/>
      <c r="F56" s="20"/>
      <c r="G56" s="20"/>
      <c r="H56" s="20"/>
      <c r="I56" s="20"/>
      <c r="J56" s="20"/>
      <c r="K56" s="20"/>
      <c r="L56" s="20"/>
      <c r="M56" s="20"/>
      <c r="N56" s="20"/>
      <c r="O56" s="20"/>
      <c r="P56" s="20"/>
      <c r="Q56" s="20"/>
      <c r="R56" s="20"/>
      <c r="S56" s="20"/>
      <c r="T56" s="20"/>
      <c r="U56" s="20"/>
    </row>
    <row r="57" spans="1:43" x14ac:dyDescent="0.25">
      <c r="A57" s="17"/>
      <c r="B57" s="20"/>
      <c r="C57" s="20"/>
      <c r="D57" s="20"/>
      <c r="E57" s="20"/>
      <c r="F57" s="20"/>
      <c r="G57" s="20"/>
      <c r="H57" s="20"/>
      <c r="I57" s="20"/>
      <c r="J57" s="20"/>
      <c r="K57" s="20"/>
      <c r="L57" s="20"/>
      <c r="M57" s="20"/>
      <c r="N57" s="20"/>
      <c r="O57" s="20"/>
      <c r="P57" s="20"/>
      <c r="Q57" s="20"/>
      <c r="R57" s="20"/>
      <c r="S57" s="20"/>
      <c r="T57" s="20"/>
      <c r="U57" s="20"/>
    </row>
  </sheetData>
  <mergeCells count="2">
    <mergeCell ref="B5:U5"/>
    <mergeCell ref="X5:AQ5"/>
  </mergeCells>
  <conditionalFormatting sqref="U1:U2">
    <cfRule type="expression" dxfId="13" priority="1" stopIfTrue="1">
      <formula>MOD(ROW(),2)=0</formula>
    </cfRule>
    <cfRule type="expression" dxfId="12" priority="2" stopIfTrue="1">
      <formula>MOD(ROW(),2)&lt;&gt;0</formula>
    </cfRule>
  </conditionalFormatting>
  <conditionalFormatting sqref="V1">
    <cfRule type="expression" dxfId="11" priority="3" stopIfTrue="1">
      <formula>MOD(ROW(),2)=0</formula>
    </cfRule>
    <cfRule type="expression" dxfId="10" priority="4" stopIfTrue="1">
      <formula>MOD(ROW(),2)&lt;&gt;0</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A1:AQ57"/>
  <sheetViews>
    <sheetView topLeftCell="P1" workbookViewId="0">
      <selection activeCell="U1" sqref="U1:V2"/>
    </sheetView>
  </sheetViews>
  <sheetFormatPr defaultColWidth="9.140625" defaultRowHeight="15" x14ac:dyDescent="0.25"/>
  <cols>
    <col min="1" max="1" width="14.28515625" style="15" customWidth="1"/>
    <col min="2" max="3" width="8.85546875" style="15" customWidth="1"/>
    <col min="4" max="4" width="9.140625" style="15"/>
    <col min="5" max="5" width="8.85546875" style="15" customWidth="1"/>
    <col min="6" max="21" width="9.140625" style="15"/>
    <col min="22" max="22" width="14.140625" style="15" bestFit="1" customWidth="1"/>
    <col min="23" max="23" width="14.28515625" style="15" customWidth="1"/>
    <col min="24" max="16384" width="9.140625" style="15"/>
  </cols>
  <sheetData>
    <row r="1" spans="1:43" ht="51.75" x14ac:dyDescent="0.25">
      <c r="U1" s="112" t="s">
        <v>140</v>
      </c>
      <c r="V1" s="114">
        <v>46204</v>
      </c>
    </row>
    <row r="2" spans="1:43" ht="39" x14ac:dyDescent="0.25">
      <c r="A2" s="16" t="s">
        <v>40</v>
      </c>
      <c r="U2" s="112" t="s">
        <v>142</v>
      </c>
      <c r="V2" s="112" t="s">
        <v>143</v>
      </c>
      <c r="W2" s="16" t="s">
        <v>40</v>
      </c>
    </row>
    <row r="3" spans="1:43" ht="21" x14ac:dyDescent="0.35">
      <c r="A3" s="16" t="s">
        <v>68</v>
      </c>
      <c r="J3" s="111" t="s">
        <v>128</v>
      </c>
      <c r="W3" s="16" t="s">
        <v>69</v>
      </c>
      <c r="AC3" s="111" t="s">
        <v>129</v>
      </c>
    </row>
    <row r="4" spans="1:43" ht="15.75" thickBot="1" x14ac:dyDescent="0.3"/>
    <row r="5" spans="1:43" ht="51" customHeight="1" thickBot="1" x14ac:dyDescent="0.3">
      <c r="A5" s="18" t="s">
        <v>63</v>
      </c>
      <c r="B5" s="222" t="s">
        <v>41</v>
      </c>
      <c r="C5" s="222"/>
      <c r="D5" s="222"/>
      <c r="E5" s="222"/>
      <c r="F5" s="222"/>
      <c r="G5" s="222"/>
      <c r="H5" s="222"/>
      <c r="I5" s="222"/>
      <c r="J5" s="222"/>
      <c r="K5" s="222"/>
      <c r="L5" s="222"/>
      <c r="M5" s="222"/>
      <c r="N5" s="222"/>
      <c r="O5" s="222"/>
      <c r="P5" s="222"/>
      <c r="Q5" s="222"/>
      <c r="R5" s="222"/>
      <c r="S5" s="222"/>
      <c r="T5" s="222"/>
      <c r="U5" s="222"/>
      <c r="W5" s="18" t="s">
        <v>63</v>
      </c>
      <c r="X5" s="222" t="s">
        <v>41</v>
      </c>
      <c r="Y5" s="222"/>
      <c r="Z5" s="222"/>
      <c r="AA5" s="222"/>
      <c r="AB5" s="222"/>
      <c r="AC5" s="222"/>
      <c r="AD5" s="222"/>
      <c r="AE5" s="222"/>
      <c r="AF5" s="222"/>
      <c r="AG5" s="222"/>
      <c r="AH5" s="222"/>
      <c r="AI5" s="222"/>
      <c r="AJ5" s="222"/>
      <c r="AK5" s="222"/>
      <c r="AL5" s="222"/>
      <c r="AM5" s="222"/>
      <c r="AN5" s="222"/>
      <c r="AO5" s="222"/>
      <c r="AP5" s="222"/>
      <c r="AQ5" s="222"/>
    </row>
    <row r="6" spans="1:43" ht="39" customHeight="1" thickBot="1" x14ac:dyDescent="0.3">
      <c r="A6" s="70" t="s">
        <v>64</v>
      </c>
      <c r="B6" s="19">
        <v>1</v>
      </c>
      <c r="C6" s="19">
        <v>2</v>
      </c>
      <c r="D6" s="19">
        <v>3</v>
      </c>
      <c r="E6" s="19">
        <v>4</v>
      </c>
      <c r="F6" s="19">
        <v>5</v>
      </c>
      <c r="G6" s="19">
        <v>6</v>
      </c>
      <c r="H6" s="19">
        <v>7</v>
      </c>
      <c r="I6" s="19">
        <v>8</v>
      </c>
      <c r="J6" s="19">
        <v>9</v>
      </c>
      <c r="K6" s="19">
        <v>10</v>
      </c>
      <c r="L6" s="19">
        <v>11</v>
      </c>
      <c r="M6" s="19">
        <v>12</v>
      </c>
      <c r="N6" s="19">
        <v>13</v>
      </c>
      <c r="O6" s="19">
        <v>14</v>
      </c>
      <c r="P6" s="19">
        <v>15</v>
      </c>
      <c r="Q6" s="19">
        <v>16</v>
      </c>
      <c r="R6" s="19">
        <v>17</v>
      </c>
      <c r="S6" s="19">
        <v>18</v>
      </c>
      <c r="T6" s="19">
        <v>19</v>
      </c>
      <c r="U6" s="19">
        <v>20</v>
      </c>
      <c r="W6" s="70" t="s">
        <v>64</v>
      </c>
      <c r="X6" s="19">
        <v>1</v>
      </c>
      <c r="Y6" s="19">
        <v>2</v>
      </c>
      <c r="Z6" s="19">
        <v>3</v>
      </c>
      <c r="AA6" s="19">
        <v>4</v>
      </c>
      <c r="AB6" s="19">
        <v>5</v>
      </c>
      <c r="AC6" s="19">
        <v>6</v>
      </c>
      <c r="AD6" s="19">
        <v>7</v>
      </c>
      <c r="AE6" s="19">
        <v>8</v>
      </c>
      <c r="AF6" s="19">
        <v>9</v>
      </c>
      <c r="AG6" s="19">
        <v>10</v>
      </c>
      <c r="AH6" s="19">
        <v>11</v>
      </c>
      <c r="AI6" s="19">
        <v>12</v>
      </c>
      <c r="AJ6" s="19">
        <v>13</v>
      </c>
      <c r="AK6" s="19">
        <v>14</v>
      </c>
      <c r="AL6" s="19">
        <v>15</v>
      </c>
      <c r="AM6" s="19">
        <v>16</v>
      </c>
      <c r="AN6" s="19">
        <v>17</v>
      </c>
      <c r="AO6" s="19">
        <v>18</v>
      </c>
      <c r="AP6" s="19">
        <v>19</v>
      </c>
      <c r="AQ6" s="19">
        <v>20</v>
      </c>
    </row>
    <row r="7" spans="1:43" x14ac:dyDescent="0.25">
      <c r="A7" s="17">
        <v>16</v>
      </c>
      <c r="B7" s="20"/>
      <c r="C7" s="20"/>
      <c r="D7" s="20"/>
      <c r="E7" s="20"/>
      <c r="F7" s="20"/>
      <c r="G7" s="20"/>
      <c r="H7" s="20"/>
      <c r="I7" s="20"/>
      <c r="J7" s="20"/>
      <c r="K7" s="20"/>
      <c r="L7" s="20"/>
      <c r="M7" s="20"/>
      <c r="N7" s="20"/>
      <c r="O7" s="20"/>
      <c r="P7" s="20"/>
      <c r="Q7" s="20"/>
      <c r="R7" s="20"/>
      <c r="S7" s="20"/>
      <c r="T7" s="20"/>
      <c r="U7" s="20"/>
      <c r="W7" s="17">
        <v>16</v>
      </c>
      <c r="X7" s="20"/>
      <c r="Y7" s="20"/>
      <c r="Z7" s="20"/>
      <c r="AA7" s="20"/>
      <c r="AB7" s="20"/>
      <c r="AC7" s="20"/>
      <c r="AD7" s="20"/>
      <c r="AE7" s="20"/>
      <c r="AF7" s="20"/>
      <c r="AG7" s="20"/>
      <c r="AH7" s="20"/>
      <c r="AI7" s="20"/>
      <c r="AJ7" s="20"/>
      <c r="AK7" s="20"/>
      <c r="AL7" s="20"/>
      <c r="AM7" s="20"/>
      <c r="AN7" s="20"/>
      <c r="AO7" s="20"/>
      <c r="AP7" s="20"/>
      <c r="AQ7" s="20"/>
    </row>
    <row r="8" spans="1:43" x14ac:dyDescent="0.25">
      <c r="A8" s="17">
        <v>17</v>
      </c>
      <c r="B8" s="20"/>
      <c r="C8" s="20"/>
      <c r="D8" s="20"/>
      <c r="E8" s="20"/>
      <c r="F8" s="20"/>
      <c r="G8" s="20"/>
      <c r="H8" s="20"/>
      <c r="I8" s="20"/>
      <c r="J8" s="20"/>
      <c r="K8" s="20"/>
      <c r="L8" s="20"/>
      <c r="M8" s="20"/>
      <c r="N8" s="20"/>
      <c r="O8" s="20"/>
      <c r="P8" s="20"/>
      <c r="Q8" s="20"/>
      <c r="R8" s="20"/>
      <c r="S8" s="20"/>
      <c r="T8" s="20"/>
      <c r="U8" s="20"/>
      <c r="W8" s="17">
        <v>17</v>
      </c>
      <c r="X8" s="20"/>
      <c r="Y8" s="20"/>
      <c r="Z8" s="20"/>
      <c r="AA8" s="20"/>
      <c r="AB8" s="20"/>
      <c r="AC8" s="20"/>
      <c r="AD8" s="20"/>
      <c r="AE8" s="20"/>
      <c r="AF8" s="20"/>
      <c r="AG8" s="20"/>
      <c r="AH8" s="20"/>
      <c r="AI8" s="20"/>
      <c r="AJ8" s="20"/>
      <c r="AK8" s="20"/>
      <c r="AL8" s="20"/>
      <c r="AM8" s="20"/>
      <c r="AN8" s="20"/>
      <c r="AO8" s="20"/>
      <c r="AP8" s="20"/>
      <c r="AQ8" s="20"/>
    </row>
    <row r="9" spans="1:43" x14ac:dyDescent="0.25">
      <c r="A9" s="17">
        <v>18</v>
      </c>
      <c r="B9" s="20"/>
      <c r="C9" s="20"/>
      <c r="D9" s="20"/>
      <c r="E9" s="20"/>
      <c r="F9" s="20"/>
      <c r="G9" s="20"/>
      <c r="H9" s="20"/>
      <c r="I9" s="20"/>
      <c r="J9" s="20"/>
      <c r="K9" s="20"/>
      <c r="L9" s="20"/>
      <c r="M9" s="20"/>
      <c r="N9" s="20"/>
      <c r="O9" s="20"/>
      <c r="P9" s="20"/>
      <c r="Q9" s="20"/>
      <c r="R9" s="20"/>
      <c r="S9" s="20"/>
      <c r="T9" s="20"/>
      <c r="U9" s="20"/>
      <c r="W9" s="17">
        <v>18</v>
      </c>
      <c r="X9" s="20"/>
      <c r="Y9" s="20"/>
      <c r="Z9" s="20"/>
      <c r="AA9" s="20"/>
      <c r="AB9" s="20"/>
      <c r="AC9" s="20"/>
      <c r="AD9" s="20"/>
      <c r="AE9" s="20"/>
      <c r="AF9" s="20"/>
      <c r="AG9" s="20"/>
      <c r="AH9" s="20"/>
      <c r="AI9" s="20"/>
      <c r="AJ9" s="20"/>
      <c r="AK9" s="20"/>
      <c r="AL9" s="20"/>
      <c r="AM9" s="20"/>
      <c r="AN9" s="20"/>
      <c r="AO9" s="20"/>
      <c r="AP9" s="20"/>
      <c r="AQ9" s="20"/>
    </row>
    <row r="10" spans="1:43" x14ac:dyDescent="0.25">
      <c r="A10" s="17">
        <v>19</v>
      </c>
      <c r="B10" s="20"/>
      <c r="C10" s="20"/>
      <c r="D10" s="20"/>
      <c r="E10" s="20"/>
      <c r="F10" s="20"/>
      <c r="G10" s="20"/>
      <c r="H10" s="20"/>
      <c r="I10" s="20"/>
      <c r="J10" s="20"/>
      <c r="K10" s="20"/>
      <c r="L10" s="20"/>
      <c r="M10" s="20"/>
      <c r="N10" s="20"/>
      <c r="O10" s="20"/>
      <c r="P10" s="20"/>
      <c r="Q10" s="20"/>
      <c r="R10" s="20"/>
      <c r="S10" s="20"/>
      <c r="T10" s="20"/>
      <c r="U10" s="20"/>
      <c r="W10" s="17">
        <v>19</v>
      </c>
      <c r="X10" s="20"/>
      <c r="Y10" s="20"/>
      <c r="Z10" s="20"/>
      <c r="AA10" s="20"/>
      <c r="AB10" s="20"/>
      <c r="AC10" s="20"/>
      <c r="AD10" s="20"/>
      <c r="AE10" s="20"/>
      <c r="AF10" s="20"/>
      <c r="AG10" s="20"/>
      <c r="AH10" s="20"/>
      <c r="AI10" s="20"/>
      <c r="AJ10" s="20"/>
      <c r="AK10" s="20"/>
      <c r="AL10" s="20"/>
      <c r="AM10" s="20"/>
      <c r="AN10" s="20"/>
      <c r="AO10" s="20"/>
      <c r="AP10" s="20"/>
      <c r="AQ10" s="20"/>
    </row>
    <row r="11" spans="1:43" x14ac:dyDescent="0.25">
      <c r="A11" s="17">
        <v>20</v>
      </c>
      <c r="B11" s="103">
        <v>184.8</v>
      </c>
      <c r="C11" s="103">
        <v>94.2</v>
      </c>
      <c r="D11" s="103">
        <v>64.099999999999994</v>
      </c>
      <c r="E11" s="103">
        <v>49</v>
      </c>
      <c r="F11" s="103">
        <v>40</v>
      </c>
      <c r="G11" s="103">
        <v>33.9</v>
      </c>
      <c r="H11" s="103">
        <v>29.6</v>
      </c>
      <c r="I11" s="103">
        <v>26.4</v>
      </c>
      <c r="J11" s="103">
        <v>23.9</v>
      </c>
      <c r="K11" s="103">
        <v>22</v>
      </c>
      <c r="L11" s="103">
        <v>20.3</v>
      </c>
      <c r="M11" s="103">
        <v>19</v>
      </c>
      <c r="N11" s="103">
        <v>17.8</v>
      </c>
      <c r="O11" s="103">
        <v>16.899999999999999</v>
      </c>
      <c r="P11" s="103">
        <v>16</v>
      </c>
      <c r="Q11" s="103">
        <v>15.3</v>
      </c>
      <c r="R11" s="103">
        <v>14.7</v>
      </c>
      <c r="S11" s="103">
        <v>14.1</v>
      </c>
      <c r="T11" s="103">
        <v>13.6</v>
      </c>
      <c r="U11" s="103">
        <v>13.1</v>
      </c>
      <c r="W11" s="17">
        <v>20</v>
      </c>
      <c r="X11" s="103">
        <v>170.3</v>
      </c>
      <c r="Y11" s="103">
        <v>86.8</v>
      </c>
      <c r="Z11" s="103">
        <v>59</v>
      </c>
      <c r="AA11" s="103">
        <v>45.1</v>
      </c>
      <c r="AB11" s="103">
        <v>36.799999999999997</v>
      </c>
      <c r="AC11" s="103">
        <v>31.3</v>
      </c>
      <c r="AD11" s="103">
        <v>27.3</v>
      </c>
      <c r="AE11" s="103">
        <v>24.4</v>
      </c>
      <c r="AF11" s="103">
        <v>22.1</v>
      </c>
      <c r="AG11" s="103">
        <v>20.2</v>
      </c>
      <c r="AH11" s="103">
        <v>18.7</v>
      </c>
      <c r="AI11" s="103">
        <v>17.5</v>
      </c>
      <c r="AJ11" s="103">
        <v>16.399999999999999</v>
      </c>
      <c r="AK11" s="103">
        <v>15.5</v>
      </c>
      <c r="AL11" s="103">
        <v>14.8</v>
      </c>
      <c r="AM11" s="103">
        <v>14.1</v>
      </c>
      <c r="AN11" s="103">
        <v>13.5</v>
      </c>
      <c r="AO11" s="103">
        <v>13</v>
      </c>
      <c r="AP11" s="103">
        <v>12.5</v>
      </c>
      <c r="AQ11" s="103">
        <v>12.1</v>
      </c>
    </row>
    <row r="12" spans="1:43" x14ac:dyDescent="0.25">
      <c r="A12" s="17">
        <v>21</v>
      </c>
      <c r="B12" s="103">
        <v>188.2</v>
      </c>
      <c r="C12" s="103">
        <v>95.9</v>
      </c>
      <c r="D12" s="103">
        <v>65.2</v>
      </c>
      <c r="E12" s="103">
        <v>49.9</v>
      </c>
      <c r="F12" s="103">
        <v>40.700000000000003</v>
      </c>
      <c r="G12" s="103">
        <v>34.6</v>
      </c>
      <c r="H12" s="103">
        <v>30.2</v>
      </c>
      <c r="I12" s="103">
        <v>26.9</v>
      </c>
      <c r="J12" s="103">
        <v>24.4</v>
      </c>
      <c r="K12" s="103">
        <v>22.4</v>
      </c>
      <c r="L12" s="103">
        <v>20.7</v>
      </c>
      <c r="M12" s="103">
        <v>19.3</v>
      </c>
      <c r="N12" s="103">
        <v>18.2</v>
      </c>
      <c r="O12" s="103">
        <v>17.2</v>
      </c>
      <c r="P12" s="103">
        <v>16.3</v>
      </c>
      <c r="Q12" s="103">
        <v>15.6</v>
      </c>
      <c r="R12" s="103">
        <v>14.9</v>
      </c>
      <c r="S12" s="103">
        <v>14.4</v>
      </c>
      <c r="T12" s="103">
        <v>13.8</v>
      </c>
      <c r="U12" s="103">
        <v>13.4</v>
      </c>
      <c r="W12" s="17">
        <v>21</v>
      </c>
      <c r="X12" s="103">
        <v>173.4</v>
      </c>
      <c r="Y12" s="103">
        <v>88.4</v>
      </c>
      <c r="Z12" s="103">
        <v>60.1</v>
      </c>
      <c r="AA12" s="103">
        <v>46</v>
      </c>
      <c r="AB12" s="103">
        <v>37.5</v>
      </c>
      <c r="AC12" s="103">
        <v>31.8</v>
      </c>
      <c r="AD12" s="103">
        <v>27.8</v>
      </c>
      <c r="AE12" s="103">
        <v>24.8</v>
      </c>
      <c r="AF12" s="103">
        <v>22.5</v>
      </c>
      <c r="AG12" s="103">
        <v>20.6</v>
      </c>
      <c r="AH12" s="103">
        <v>19.100000000000001</v>
      </c>
      <c r="AI12" s="103">
        <v>17.8</v>
      </c>
      <c r="AJ12" s="103">
        <v>16.7</v>
      </c>
      <c r="AK12" s="103">
        <v>15.8</v>
      </c>
      <c r="AL12" s="103">
        <v>15</v>
      </c>
      <c r="AM12" s="103">
        <v>14.4</v>
      </c>
      <c r="AN12" s="103">
        <v>13.8</v>
      </c>
      <c r="AO12" s="103">
        <v>13.2</v>
      </c>
      <c r="AP12" s="103">
        <v>12.7</v>
      </c>
      <c r="AQ12" s="103">
        <v>12.3</v>
      </c>
    </row>
    <row r="13" spans="1:43" x14ac:dyDescent="0.25">
      <c r="A13" s="17">
        <v>22</v>
      </c>
      <c r="B13" s="103">
        <v>191.6</v>
      </c>
      <c r="C13" s="103">
        <v>97.7</v>
      </c>
      <c r="D13" s="103">
        <v>66.400000000000006</v>
      </c>
      <c r="E13" s="103">
        <v>50.8</v>
      </c>
      <c r="F13" s="103">
        <v>41.4</v>
      </c>
      <c r="G13" s="103">
        <v>35.200000000000003</v>
      </c>
      <c r="H13" s="103">
        <v>30.7</v>
      </c>
      <c r="I13" s="103">
        <v>27.4</v>
      </c>
      <c r="J13" s="103">
        <v>24.8</v>
      </c>
      <c r="K13" s="103">
        <v>22.8</v>
      </c>
      <c r="L13" s="103">
        <v>21.1</v>
      </c>
      <c r="M13" s="103">
        <v>19.7</v>
      </c>
      <c r="N13" s="103">
        <v>18.5</v>
      </c>
      <c r="O13" s="103">
        <v>17.5</v>
      </c>
      <c r="P13" s="103">
        <v>16.600000000000001</v>
      </c>
      <c r="Q13" s="103">
        <v>15.9</v>
      </c>
      <c r="R13" s="103">
        <v>15.2</v>
      </c>
      <c r="S13" s="103">
        <v>14.6</v>
      </c>
      <c r="T13" s="103">
        <v>14.1</v>
      </c>
      <c r="U13" s="103">
        <v>13.6</v>
      </c>
      <c r="W13" s="17">
        <v>22</v>
      </c>
      <c r="X13" s="103">
        <v>176.5</v>
      </c>
      <c r="Y13" s="103">
        <v>90</v>
      </c>
      <c r="Z13" s="103">
        <v>61.2</v>
      </c>
      <c r="AA13" s="103">
        <v>46.8</v>
      </c>
      <c r="AB13" s="103">
        <v>38.200000000000003</v>
      </c>
      <c r="AC13" s="103">
        <v>32.4</v>
      </c>
      <c r="AD13" s="103">
        <v>28.3</v>
      </c>
      <c r="AE13" s="103">
        <v>25.2</v>
      </c>
      <c r="AF13" s="103">
        <v>22.9</v>
      </c>
      <c r="AG13" s="103">
        <v>21</v>
      </c>
      <c r="AH13" s="103">
        <v>19.399999999999999</v>
      </c>
      <c r="AI13" s="103">
        <v>18.100000000000001</v>
      </c>
      <c r="AJ13" s="103">
        <v>17</v>
      </c>
      <c r="AK13" s="103">
        <v>16.100000000000001</v>
      </c>
      <c r="AL13" s="103">
        <v>15.3</v>
      </c>
      <c r="AM13" s="103">
        <v>14.6</v>
      </c>
      <c r="AN13" s="103">
        <v>14</v>
      </c>
      <c r="AO13" s="103">
        <v>13.5</v>
      </c>
      <c r="AP13" s="103">
        <v>13</v>
      </c>
      <c r="AQ13" s="103">
        <v>12.5</v>
      </c>
    </row>
    <row r="14" spans="1:43" x14ac:dyDescent="0.25">
      <c r="A14" s="17">
        <v>23</v>
      </c>
      <c r="B14" s="103">
        <v>195</v>
      </c>
      <c r="C14" s="103">
        <v>99.4</v>
      </c>
      <c r="D14" s="103">
        <v>67.599999999999994</v>
      </c>
      <c r="E14" s="103">
        <v>51.7</v>
      </c>
      <c r="F14" s="103">
        <v>42.2</v>
      </c>
      <c r="G14" s="103">
        <v>35.799999999999997</v>
      </c>
      <c r="H14" s="103">
        <v>31.3</v>
      </c>
      <c r="I14" s="103">
        <v>27.9</v>
      </c>
      <c r="J14" s="103">
        <v>25.3</v>
      </c>
      <c r="K14" s="103">
        <v>23.2</v>
      </c>
      <c r="L14" s="103">
        <v>21.5</v>
      </c>
      <c r="M14" s="103">
        <v>20</v>
      </c>
      <c r="N14" s="103">
        <v>18.8</v>
      </c>
      <c r="O14" s="103">
        <v>17.8</v>
      </c>
      <c r="P14" s="103">
        <v>16.899999999999999</v>
      </c>
      <c r="Q14" s="103">
        <v>16.2</v>
      </c>
      <c r="R14" s="103">
        <v>15.5</v>
      </c>
      <c r="S14" s="103">
        <v>14.9</v>
      </c>
      <c r="T14" s="103">
        <v>14.3</v>
      </c>
      <c r="U14" s="103">
        <v>13.9</v>
      </c>
      <c r="W14" s="17">
        <v>23</v>
      </c>
      <c r="X14" s="103">
        <v>179.7</v>
      </c>
      <c r="Y14" s="103">
        <v>91.6</v>
      </c>
      <c r="Z14" s="103">
        <v>62.3</v>
      </c>
      <c r="AA14" s="103">
        <v>47.6</v>
      </c>
      <c r="AB14" s="103">
        <v>38.799999999999997</v>
      </c>
      <c r="AC14" s="103">
        <v>33</v>
      </c>
      <c r="AD14" s="103">
        <v>28.8</v>
      </c>
      <c r="AE14" s="103">
        <v>25.7</v>
      </c>
      <c r="AF14" s="103">
        <v>23.3</v>
      </c>
      <c r="AG14" s="103">
        <v>21.3</v>
      </c>
      <c r="AH14" s="103">
        <v>19.8</v>
      </c>
      <c r="AI14" s="103">
        <v>18.5</v>
      </c>
      <c r="AJ14" s="103">
        <v>17.399999999999999</v>
      </c>
      <c r="AK14" s="103">
        <v>16.399999999999999</v>
      </c>
      <c r="AL14" s="103">
        <v>15.6</v>
      </c>
      <c r="AM14" s="103">
        <v>14.9</v>
      </c>
      <c r="AN14" s="103">
        <v>14.3</v>
      </c>
      <c r="AO14" s="103">
        <v>13.7</v>
      </c>
      <c r="AP14" s="103">
        <v>13.2</v>
      </c>
      <c r="AQ14" s="103">
        <v>12.8</v>
      </c>
    </row>
    <row r="15" spans="1:43" x14ac:dyDescent="0.25">
      <c r="A15" s="17">
        <v>24</v>
      </c>
      <c r="B15" s="103">
        <v>198.5</v>
      </c>
      <c r="C15" s="103">
        <v>101.2</v>
      </c>
      <c r="D15" s="103">
        <v>68.8</v>
      </c>
      <c r="E15" s="103">
        <v>52.6</v>
      </c>
      <c r="F15" s="103">
        <v>42.9</v>
      </c>
      <c r="G15" s="103">
        <v>36.5</v>
      </c>
      <c r="H15" s="103">
        <v>31.9</v>
      </c>
      <c r="I15" s="103">
        <v>28.4</v>
      </c>
      <c r="J15" s="103">
        <v>25.7</v>
      </c>
      <c r="K15" s="103">
        <v>23.6</v>
      </c>
      <c r="L15" s="103">
        <v>21.8</v>
      </c>
      <c r="M15" s="103">
        <v>20.399999999999999</v>
      </c>
      <c r="N15" s="103">
        <v>19.2</v>
      </c>
      <c r="O15" s="103">
        <v>18.100000000000001</v>
      </c>
      <c r="P15" s="103">
        <v>17.2</v>
      </c>
      <c r="Q15" s="103">
        <v>16.399999999999999</v>
      </c>
      <c r="R15" s="103">
        <v>15.8</v>
      </c>
      <c r="S15" s="103">
        <v>15.1</v>
      </c>
      <c r="T15" s="103">
        <v>14.6</v>
      </c>
      <c r="U15" s="103">
        <v>14.1</v>
      </c>
      <c r="W15" s="17">
        <v>24</v>
      </c>
      <c r="X15" s="103">
        <v>182.9</v>
      </c>
      <c r="Y15" s="103">
        <v>93.3</v>
      </c>
      <c r="Z15" s="103">
        <v>63.4</v>
      </c>
      <c r="AA15" s="103">
        <v>48.5</v>
      </c>
      <c r="AB15" s="103">
        <v>39.5</v>
      </c>
      <c r="AC15" s="103">
        <v>33.6</v>
      </c>
      <c r="AD15" s="103">
        <v>29.3</v>
      </c>
      <c r="AE15" s="103">
        <v>26.2</v>
      </c>
      <c r="AF15" s="103">
        <v>23.7</v>
      </c>
      <c r="AG15" s="103">
        <v>21.7</v>
      </c>
      <c r="AH15" s="103">
        <v>20.100000000000001</v>
      </c>
      <c r="AI15" s="103">
        <v>18.8</v>
      </c>
      <c r="AJ15" s="103">
        <v>17.7</v>
      </c>
      <c r="AK15" s="103">
        <v>16.7</v>
      </c>
      <c r="AL15" s="103">
        <v>15.9</v>
      </c>
      <c r="AM15" s="103">
        <v>15.2</v>
      </c>
      <c r="AN15" s="103">
        <v>14.5</v>
      </c>
      <c r="AO15" s="103">
        <v>14</v>
      </c>
      <c r="AP15" s="103">
        <v>13.5</v>
      </c>
      <c r="AQ15" s="103">
        <v>13</v>
      </c>
    </row>
    <row r="16" spans="1:43" x14ac:dyDescent="0.25">
      <c r="A16" s="17">
        <v>25</v>
      </c>
      <c r="B16" s="103">
        <v>202.1</v>
      </c>
      <c r="C16" s="103">
        <v>103</v>
      </c>
      <c r="D16" s="103">
        <v>70.099999999999994</v>
      </c>
      <c r="E16" s="103">
        <v>53.6</v>
      </c>
      <c r="F16" s="103">
        <v>43.7</v>
      </c>
      <c r="G16" s="103">
        <v>37.1</v>
      </c>
      <c r="H16" s="103">
        <v>32.4</v>
      </c>
      <c r="I16" s="103">
        <v>28.9</v>
      </c>
      <c r="J16" s="103">
        <v>26.2</v>
      </c>
      <c r="K16" s="103">
        <v>24</v>
      </c>
      <c r="L16" s="103">
        <v>22.2</v>
      </c>
      <c r="M16" s="103">
        <v>20.8</v>
      </c>
      <c r="N16" s="103">
        <v>19.5</v>
      </c>
      <c r="O16" s="103">
        <v>18.5</v>
      </c>
      <c r="P16" s="103">
        <v>17.5</v>
      </c>
      <c r="Q16" s="103">
        <v>16.7</v>
      </c>
      <c r="R16" s="103">
        <v>16</v>
      </c>
      <c r="S16" s="103">
        <v>15.4</v>
      </c>
      <c r="T16" s="103">
        <v>14.9</v>
      </c>
      <c r="U16" s="103">
        <v>14.4</v>
      </c>
      <c r="W16" s="17">
        <v>25</v>
      </c>
      <c r="X16" s="103">
        <v>186.2</v>
      </c>
      <c r="Y16" s="103">
        <v>94.9</v>
      </c>
      <c r="Z16" s="103">
        <v>64.5</v>
      </c>
      <c r="AA16" s="103">
        <v>49.4</v>
      </c>
      <c r="AB16" s="103">
        <v>40.299999999999997</v>
      </c>
      <c r="AC16" s="103">
        <v>34.200000000000003</v>
      </c>
      <c r="AD16" s="103">
        <v>29.9</v>
      </c>
      <c r="AE16" s="103">
        <v>26.6</v>
      </c>
      <c r="AF16" s="103">
        <v>24.1</v>
      </c>
      <c r="AG16" s="103">
        <v>22.1</v>
      </c>
      <c r="AH16" s="103">
        <v>20.5</v>
      </c>
      <c r="AI16" s="103">
        <v>19.100000000000001</v>
      </c>
      <c r="AJ16" s="103">
        <v>18</v>
      </c>
      <c r="AK16" s="103">
        <v>17</v>
      </c>
      <c r="AL16" s="103">
        <v>16.2</v>
      </c>
      <c r="AM16" s="103">
        <v>15.4</v>
      </c>
      <c r="AN16" s="103">
        <v>14.8</v>
      </c>
      <c r="AO16" s="103">
        <v>14.2</v>
      </c>
      <c r="AP16" s="103">
        <v>13.7</v>
      </c>
      <c r="AQ16" s="103">
        <v>13.2</v>
      </c>
    </row>
    <row r="17" spans="1:43" x14ac:dyDescent="0.25">
      <c r="A17" s="17">
        <v>26</v>
      </c>
      <c r="B17" s="103">
        <v>205.7</v>
      </c>
      <c r="C17" s="103">
        <v>104.9</v>
      </c>
      <c r="D17" s="103">
        <v>71.3</v>
      </c>
      <c r="E17" s="103">
        <v>54.5</v>
      </c>
      <c r="F17" s="103">
        <v>44.5</v>
      </c>
      <c r="G17" s="103">
        <v>37.799999999999997</v>
      </c>
      <c r="H17" s="103">
        <v>33</v>
      </c>
      <c r="I17" s="103">
        <v>29.4</v>
      </c>
      <c r="J17" s="103">
        <v>26.7</v>
      </c>
      <c r="K17" s="103">
        <v>24.4</v>
      </c>
      <c r="L17" s="103">
        <v>22.6</v>
      </c>
      <c r="M17" s="103">
        <v>21.1</v>
      </c>
      <c r="N17" s="103">
        <v>19.899999999999999</v>
      </c>
      <c r="O17" s="103">
        <v>18.8</v>
      </c>
      <c r="P17" s="103">
        <v>17.899999999999999</v>
      </c>
      <c r="Q17" s="103">
        <v>17.100000000000001</v>
      </c>
      <c r="R17" s="103">
        <v>16.3</v>
      </c>
      <c r="S17" s="103">
        <v>15.7</v>
      </c>
      <c r="T17" s="103">
        <v>15.1</v>
      </c>
      <c r="U17" s="103">
        <v>14.6</v>
      </c>
      <c r="W17" s="17">
        <v>26</v>
      </c>
      <c r="X17" s="103">
        <v>189.5</v>
      </c>
      <c r="Y17" s="103">
        <v>96.6</v>
      </c>
      <c r="Z17" s="103">
        <v>65.7</v>
      </c>
      <c r="AA17" s="103">
        <v>50.2</v>
      </c>
      <c r="AB17" s="103">
        <v>41</v>
      </c>
      <c r="AC17" s="103">
        <v>34.799999999999997</v>
      </c>
      <c r="AD17" s="103">
        <v>30.4</v>
      </c>
      <c r="AE17" s="103">
        <v>27.1</v>
      </c>
      <c r="AF17" s="103">
        <v>24.6</v>
      </c>
      <c r="AG17" s="103">
        <v>22.5</v>
      </c>
      <c r="AH17" s="103">
        <v>20.9</v>
      </c>
      <c r="AI17" s="103">
        <v>19.5</v>
      </c>
      <c r="AJ17" s="103">
        <v>18.3</v>
      </c>
      <c r="AK17" s="103">
        <v>17.3</v>
      </c>
      <c r="AL17" s="103">
        <v>16.5</v>
      </c>
      <c r="AM17" s="103">
        <v>15.7</v>
      </c>
      <c r="AN17" s="103">
        <v>15.1</v>
      </c>
      <c r="AO17" s="103">
        <v>14.5</v>
      </c>
      <c r="AP17" s="103">
        <v>14</v>
      </c>
      <c r="AQ17" s="103">
        <v>13.5</v>
      </c>
    </row>
    <row r="18" spans="1:43" x14ac:dyDescent="0.25">
      <c r="A18" s="17">
        <v>27</v>
      </c>
      <c r="B18" s="103">
        <v>209.4</v>
      </c>
      <c r="C18" s="103">
        <v>106.8</v>
      </c>
      <c r="D18" s="103">
        <v>72.599999999999994</v>
      </c>
      <c r="E18" s="103">
        <v>55.5</v>
      </c>
      <c r="F18" s="103">
        <v>45.3</v>
      </c>
      <c r="G18" s="103">
        <v>38.5</v>
      </c>
      <c r="H18" s="103">
        <v>33.6</v>
      </c>
      <c r="I18" s="103">
        <v>30</v>
      </c>
      <c r="J18" s="103">
        <v>27.1</v>
      </c>
      <c r="K18" s="103">
        <v>24.9</v>
      </c>
      <c r="L18" s="103">
        <v>23</v>
      </c>
      <c r="M18" s="103">
        <v>21.5</v>
      </c>
      <c r="N18" s="103">
        <v>20.2</v>
      </c>
      <c r="O18" s="103">
        <v>19.100000000000001</v>
      </c>
      <c r="P18" s="103">
        <v>18.2</v>
      </c>
      <c r="Q18" s="103">
        <v>17.399999999999999</v>
      </c>
      <c r="R18" s="103">
        <v>16.600000000000001</v>
      </c>
      <c r="S18" s="103">
        <v>16</v>
      </c>
      <c r="T18" s="103">
        <v>15.4</v>
      </c>
      <c r="U18" s="103">
        <v>14.9</v>
      </c>
      <c r="W18" s="17">
        <v>27</v>
      </c>
      <c r="X18" s="103">
        <v>192.9</v>
      </c>
      <c r="Y18" s="103">
        <v>98.4</v>
      </c>
      <c r="Z18" s="103">
        <v>66.900000000000006</v>
      </c>
      <c r="AA18" s="103">
        <v>51.1</v>
      </c>
      <c r="AB18" s="103">
        <v>41.7</v>
      </c>
      <c r="AC18" s="103">
        <v>35.4</v>
      </c>
      <c r="AD18" s="103">
        <v>31</v>
      </c>
      <c r="AE18" s="103">
        <v>27.6</v>
      </c>
      <c r="AF18" s="103">
        <v>25</v>
      </c>
      <c r="AG18" s="103">
        <v>22.9</v>
      </c>
      <c r="AH18" s="103">
        <v>21.2</v>
      </c>
      <c r="AI18" s="103">
        <v>19.8</v>
      </c>
      <c r="AJ18" s="103">
        <v>18.600000000000001</v>
      </c>
      <c r="AK18" s="103">
        <v>17.600000000000001</v>
      </c>
      <c r="AL18" s="103">
        <v>16.8</v>
      </c>
      <c r="AM18" s="103">
        <v>16</v>
      </c>
      <c r="AN18" s="103">
        <v>15.3</v>
      </c>
      <c r="AO18" s="103">
        <v>14.7</v>
      </c>
      <c r="AP18" s="103">
        <v>14.2</v>
      </c>
      <c r="AQ18" s="103">
        <v>13.7</v>
      </c>
    </row>
    <row r="19" spans="1:43" x14ac:dyDescent="0.25">
      <c r="A19" s="17">
        <v>28</v>
      </c>
      <c r="B19" s="103">
        <v>213.1</v>
      </c>
      <c r="C19" s="103">
        <v>108.7</v>
      </c>
      <c r="D19" s="103">
        <v>73.900000000000006</v>
      </c>
      <c r="E19" s="103">
        <v>56.5</v>
      </c>
      <c r="F19" s="103">
        <v>46.1</v>
      </c>
      <c r="G19" s="103">
        <v>39.1</v>
      </c>
      <c r="H19" s="103">
        <v>34.200000000000003</v>
      </c>
      <c r="I19" s="103">
        <v>30.5</v>
      </c>
      <c r="J19" s="103">
        <v>27.6</v>
      </c>
      <c r="K19" s="103">
        <v>25.3</v>
      </c>
      <c r="L19" s="103">
        <v>23.5</v>
      </c>
      <c r="M19" s="103">
        <v>21.9</v>
      </c>
      <c r="N19" s="103">
        <v>20.6</v>
      </c>
      <c r="O19" s="103">
        <v>19.5</v>
      </c>
      <c r="P19" s="103">
        <v>18.5</v>
      </c>
      <c r="Q19" s="103">
        <v>17.7</v>
      </c>
      <c r="R19" s="103">
        <v>16.899999999999999</v>
      </c>
      <c r="S19" s="103">
        <v>16.3</v>
      </c>
      <c r="T19" s="103">
        <v>15.7</v>
      </c>
      <c r="U19" s="103">
        <v>15.2</v>
      </c>
      <c r="W19" s="17">
        <v>28</v>
      </c>
      <c r="X19" s="103">
        <v>196.3</v>
      </c>
      <c r="Y19" s="103">
        <v>100.1</v>
      </c>
      <c r="Z19" s="103">
        <v>68.099999999999994</v>
      </c>
      <c r="AA19" s="103">
        <v>52.1</v>
      </c>
      <c r="AB19" s="103">
        <v>42.5</v>
      </c>
      <c r="AC19" s="103">
        <v>36.1</v>
      </c>
      <c r="AD19" s="103">
        <v>31.5</v>
      </c>
      <c r="AE19" s="103">
        <v>28.1</v>
      </c>
      <c r="AF19" s="103">
        <v>25.5</v>
      </c>
      <c r="AG19" s="103">
        <v>23.3</v>
      </c>
      <c r="AH19" s="103">
        <v>21.6</v>
      </c>
      <c r="AI19" s="103">
        <v>20.2</v>
      </c>
      <c r="AJ19" s="103">
        <v>19</v>
      </c>
      <c r="AK19" s="103">
        <v>17.899999999999999</v>
      </c>
      <c r="AL19" s="103">
        <v>17.100000000000001</v>
      </c>
      <c r="AM19" s="103">
        <v>16.3</v>
      </c>
      <c r="AN19" s="103">
        <v>15.6</v>
      </c>
      <c r="AO19" s="103">
        <v>15</v>
      </c>
      <c r="AP19" s="103">
        <v>14.5</v>
      </c>
      <c r="AQ19" s="103">
        <v>14</v>
      </c>
    </row>
    <row r="20" spans="1:43" x14ac:dyDescent="0.25">
      <c r="A20" s="17">
        <v>29</v>
      </c>
      <c r="B20" s="103">
        <v>216.9</v>
      </c>
      <c r="C20" s="103">
        <v>110.6</v>
      </c>
      <c r="D20" s="103">
        <v>75.2</v>
      </c>
      <c r="E20" s="103">
        <v>57.5</v>
      </c>
      <c r="F20" s="103">
        <v>46.9</v>
      </c>
      <c r="G20" s="103">
        <v>39.799999999999997</v>
      </c>
      <c r="H20" s="103">
        <v>34.799999999999997</v>
      </c>
      <c r="I20" s="103">
        <v>31</v>
      </c>
      <c r="J20" s="103">
        <v>28.1</v>
      </c>
      <c r="K20" s="103">
        <v>25.8</v>
      </c>
      <c r="L20" s="103">
        <v>23.9</v>
      </c>
      <c r="M20" s="103">
        <v>22.3</v>
      </c>
      <c r="N20" s="103">
        <v>21</v>
      </c>
      <c r="O20" s="103">
        <v>19.8</v>
      </c>
      <c r="P20" s="103">
        <v>18.8</v>
      </c>
      <c r="Q20" s="103">
        <v>18</v>
      </c>
      <c r="R20" s="103">
        <v>17.2</v>
      </c>
      <c r="S20" s="103">
        <v>16.600000000000001</v>
      </c>
      <c r="T20" s="103">
        <v>16</v>
      </c>
      <c r="U20" s="103">
        <v>15.5</v>
      </c>
      <c r="W20" s="17">
        <v>29</v>
      </c>
      <c r="X20" s="103">
        <v>199.8</v>
      </c>
      <c r="Y20" s="103">
        <v>101.9</v>
      </c>
      <c r="Z20" s="103">
        <v>69.3</v>
      </c>
      <c r="AA20" s="103">
        <v>53</v>
      </c>
      <c r="AB20" s="103">
        <v>43.2</v>
      </c>
      <c r="AC20" s="103">
        <v>36.700000000000003</v>
      </c>
      <c r="AD20" s="103">
        <v>32.1</v>
      </c>
      <c r="AE20" s="103">
        <v>28.6</v>
      </c>
      <c r="AF20" s="103">
        <v>25.9</v>
      </c>
      <c r="AG20" s="103">
        <v>23.8</v>
      </c>
      <c r="AH20" s="103">
        <v>22</v>
      </c>
      <c r="AI20" s="103">
        <v>20.5</v>
      </c>
      <c r="AJ20" s="103">
        <v>19.3</v>
      </c>
      <c r="AK20" s="103">
        <v>18.3</v>
      </c>
      <c r="AL20" s="103">
        <v>17.399999999999999</v>
      </c>
      <c r="AM20" s="103">
        <v>16.600000000000001</v>
      </c>
      <c r="AN20" s="103">
        <v>15.9</v>
      </c>
      <c r="AO20" s="103">
        <v>15.3</v>
      </c>
      <c r="AP20" s="103">
        <v>14.7</v>
      </c>
      <c r="AQ20" s="103">
        <v>14.2</v>
      </c>
    </row>
    <row r="21" spans="1:43" x14ac:dyDescent="0.25">
      <c r="A21" s="17">
        <v>30</v>
      </c>
      <c r="B21" s="103">
        <v>220.7</v>
      </c>
      <c r="C21" s="103">
        <v>112.6</v>
      </c>
      <c r="D21" s="103">
        <v>76.5</v>
      </c>
      <c r="E21" s="103">
        <v>58.5</v>
      </c>
      <c r="F21" s="103">
        <v>47.7</v>
      </c>
      <c r="G21" s="103">
        <v>40.6</v>
      </c>
      <c r="H21" s="103">
        <v>35.4</v>
      </c>
      <c r="I21" s="103">
        <v>31.6</v>
      </c>
      <c r="J21" s="103">
        <v>28.6</v>
      </c>
      <c r="K21" s="103">
        <v>26.3</v>
      </c>
      <c r="L21" s="103">
        <v>24.3</v>
      </c>
      <c r="M21" s="103">
        <v>22.7</v>
      </c>
      <c r="N21" s="103">
        <v>21.3</v>
      </c>
      <c r="O21" s="103">
        <v>20.2</v>
      </c>
      <c r="P21" s="103">
        <v>19.2</v>
      </c>
      <c r="Q21" s="103">
        <v>18.3</v>
      </c>
      <c r="R21" s="103">
        <v>17.600000000000001</v>
      </c>
      <c r="S21" s="103">
        <v>16.899999999999999</v>
      </c>
      <c r="T21" s="103">
        <v>16.3</v>
      </c>
      <c r="U21" s="103">
        <v>15.7</v>
      </c>
      <c r="W21" s="17">
        <v>30</v>
      </c>
      <c r="X21" s="103">
        <v>203.4</v>
      </c>
      <c r="Y21" s="103">
        <v>103.7</v>
      </c>
      <c r="Z21" s="103">
        <v>70.5</v>
      </c>
      <c r="AA21" s="103">
        <v>53.9</v>
      </c>
      <c r="AB21" s="103">
        <v>44</v>
      </c>
      <c r="AC21" s="103">
        <v>37.4</v>
      </c>
      <c r="AD21" s="103">
        <v>32.6</v>
      </c>
      <c r="AE21" s="103">
        <v>29.1</v>
      </c>
      <c r="AF21" s="103">
        <v>26.4</v>
      </c>
      <c r="AG21" s="103">
        <v>24.2</v>
      </c>
      <c r="AH21" s="103">
        <v>22.4</v>
      </c>
      <c r="AI21" s="103">
        <v>20.9</v>
      </c>
      <c r="AJ21" s="103">
        <v>19.7</v>
      </c>
      <c r="AK21" s="103">
        <v>18.600000000000001</v>
      </c>
      <c r="AL21" s="103">
        <v>17.7</v>
      </c>
      <c r="AM21" s="103">
        <v>16.899999999999999</v>
      </c>
      <c r="AN21" s="103">
        <v>16.2</v>
      </c>
      <c r="AO21" s="103">
        <v>15.6</v>
      </c>
      <c r="AP21" s="103">
        <v>15</v>
      </c>
      <c r="AQ21" s="103">
        <v>14.5</v>
      </c>
    </row>
    <row r="22" spans="1:43" x14ac:dyDescent="0.25">
      <c r="A22" s="17">
        <v>31</v>
      </c>
      <c r="B22" s="103">
        <v>224.7</v>
      </c>
      <c r="C22" s="103">
        <v>114.6</v>
      </c>
      <c r="D22" s="103">
        <v>77.900000000000006</v>
      </c>
      <c r="E22" s="103">
        <v>59.6</v>
      </c>
      <c r="F22" s="103">
        <v>48.6</v>
      </c>
      <c r="G22" s="103">
        <v>41.3</v>
      </c>
      <c r="H22" s="103">
        <v>36.1</v>
      </c>
      <c r="I22" s="103">
        <v>32.200000000000003</v>
      </c>
      <c r="J22" s="103">
        <v>29.1</v>
      </c>
      <c r="K22" s="103">
        <v>26.7</v>
      </c>
      <c r="L22" s="103">
        <v>24.7</v>
      </c>
      <c r="M22" s="103">
        <v>23.1</v>
      </c>
      <c r="N22" s="103">
        <v>21.7</v>
      </c>
      <c r="O22" s="103">
        <v>20.6</v>
      </c>
      <c r="P22" s="103">
        <v>19.5</v>
      </c>
      <c r="Q22" s="103">
        <v>18.7</v>
      </c>
      <c r="R22" s="103">
        <v>17.899999999999999</v>
      </c>
      <c r="S22" s="103">
        <v>17.2</v>
      </c>
      <c r="T22" s="103">
        <v>16.600000000000001</v>
      </c>
      <c r="U22" s="103">
        <v>16</v>
      </c>
      <c r="W22" s="17">
        <v>31</v>
      </c>
      <c r="X22" s="103">
        <v>207</v>
      </c>
      <c r="Y22" s="103">
        <v>105.6</v>
      </c>
      <c r="Z22" s="103">
        <v>71.8</v>
      </c>
      <c r="AA22" s="103">
        <v>54.9</v>
      </c>
      <c r="AB22" s="103">
        <v>44.8</v>
      </c>
      <c r="AC22" s="103">
        <v>38</v>
      </c>
      <c r="AD22" s="103">
        <v>33.200000000000003</v>
      </c>
      <c r="AE22" s="103">
        <v>29.6</v>
      </c>
      <c r="AF22" s="103">
        <v>26.8</v>
      </c>
      <c r="AG22" s="103">
        <v>24.6</v>
      </c>
      <c r="AH22" s="103">
        <v>22.8</v>
      </c>
      <c r="AI22" s="103">
        <v>21.3</v>
      </c>
      <c r="AJ22" s="103">
        <v>20</v>
      </c>
      <c r="AK22" s="103">
        <v>18.899999999999999</v>
      </c>
      <c r="AL22" s="103">
        <v>18</v>
      </c>
      <c r="AM22" s="103">
        <v>17.2</v>
      </c>
      <c r="AN22" s="103">
        <v>16.5</v>
      </c>
      <c r="AO22" s="103">
        <v>15.8</v>
      </c>
      <c r="AP22" s="103">
        <v>15.3</v>
      </c>
      <c r="AQ22" s="103">
        <v>14.8</v>
      </c>
    </row>
    <row r="23" spans="1:43" x14ac:dyDescent="0.25">
      <c r="A23" s="17">
        <v>32</v>
      </c>
      <c r="B23" s="103">
        <v>228.6</v>
      </c>
      <c r="C23" s="103">
        <v>116.6</v>
      </c>
      <c r="D23" s="103">
        <v>79.3</v>
      </c>
      <c r="E23" s="103">
        <v>60.6</v>
      </c>
      <c r="F23" s="103">
        <v>49.5</v>
      </c>
      <c r="G23" s="103">
        <v>42</v>
      </c>
      <c r="H23" s="103">
        <v>36.700000000000003</v>
      </c>
      <c r="I23" s="103">
        <v>32.700000000000003</v>
      </c>
      <c r="J23" s="103">
        <v>29.7</v>
      </c>
      <c r="K23" s="103">
        <v>27.2</v>
      </c>
      <c r="L23" s="103">
        <v>25.2</v>
      </c>
      <c r="M23" s="103">
        <v>23.5</v>
      </c>
      <c r="N23" s="103">
        <v>22.1</v>
      </c>
      <c r="O23" s="103">
        <v>20.9</v>
      </c>
      <c r="P23" s="103">
        <v>19.899999999999999</v>
      </c>
      <c r="Q23" s="103">
        <v>19</v>
      </c>
      <c r="R23" s="103">
        <v>18.2</v>
      </c>
      <c r="S23" s="103">
        <v>17.5</v>
      </c>
      <c r="T23" s="103">
        <v>16.899999999999999</v>
      </c>
      <c r="U23" s="103">
        <v>16.3</v>
      </c>
      <c r="W23" s="17">
        <v>32</v>
      </c>
      <c r="X23" s="103">
        <v>210.7</v>
      </c>
      <c r="Y23" s="103">
        <v>107.4</v>
      </c>
      <c r="Z23" s="103">
        <v>73</v>
      </c>
      <c r="AA23" s="103">
        <v>55.9</v>
      </c>
      <c r="AB23" s="103">
        <v>45.6</v>
      </c>
      <c r="AC23" s="103">
        <v>38.700000000000003</v>
      </c>
      <c r="AD23" s="103">
        <v>33.799999999999997</v>
      </c>
      <c r="AE23" s="103">
        <v>30.2</v>
      </c>
      <c r="AF23" s="103">
        <v>27.3</v>
      </c>
      <c r="AG23" s="103">
        <v>25.1</v>
      </c>
      <c r="AH23" s="103">
        <v>23.2</v>
      </c>
      <c r="AI23" s="103">
        <v>21.7</v>
      </c>
      <c r="AJ23" s="103">
        <v>20.399999999999999</v>
      </c>
      <c r="AK23" s="103">
        <v>19.3</v>
      </c>
      <c r="AL23" s="103">
        <v>18.3</v>
      </c>
      <c r="AM23" s="103">
        <v>17.5</v>
      </c>
      <c r="AN23" s="103">
        <v>16.8</v>
      </c>
      <c r="AO23" s="103">
        <v>16.100000000000001</v>
      </c>
      <c r="AP23" s="103">
        <v>15.6</v>
      </c>
      <c r="AQ23" s="103">
        <v>15</v>
      </c>
    </row>
    <row r="24" spans="1:43" x14ac:dyDescent="0.25">
      <c r="A24" s="17">
        <v>33</v>
      </c>
      <c r="B24" s="103">
        <v>232.7</v>
      </c>
      <c r="C24" s="103">
        <v>118.7</v>
      </c>
      <c r="D24" s="103">
        <v>80.7</v>
      </c>
      <c r="E24" s="103">
        <v>61.7</v>
      </c>
      <c r="F24" s="103">
        <v>50.3</v>
      </c>
      <c r="G24" s="103">
        <v>42.8</v>
      </c>
      <c r="H24" s="103">
        <v>37.4</v>
      </c>
      <c r="I24" s="103">
        <v>33.299999999999997</v>
      </c>
      <c r="J24" s="103">
        <v>30.2</v>
      </c>
      <c r="K24" s="103">
        <v>27.7</v>
      </c>
      <c r="L24" s="103">
        <v>25.6</v>
      </c>
      <c r="M24" s="103">
        <v>23.9</v>
      </c>
      <c r="N24" s="103">
        <v>22.5</v>
      </c>
      <c r="O24" s="103">
        <v>21.3</v>
      </c>
      <c r="P24" s="103">
        <v>20.2</v>
      </c>
      <c r="Q24" s="103">
        <v>19.3</v>
      </c>
      <c r="R24" s="103">
        <v>18.5</v>
      </c>
      <c r="S24" s="103">
        <v>17.8</v>
      </c>
      <c r="T24" s="103">
        <v>17.2</v>
      </c>
      <c r="U24" s="103">
        <v>16.600000000000001</v>
      </c>
      <c r="W24" s="17">
        <v>33</v>
      </c>
      <c r="X24" s="103">
        <v>214.4</v>
      </c>
      <c r="Y24" s="103">
        <v>109.3</v>
      </c>
      <c r="Z24" s="103">
        <v>74.3</v>
      </c>
      <c r="AA24" s="103">
        <v>56.9</v>
      </c>
      <c r="AB24" s="103">
        <v>46.4</v>
      </c>
      <c r="AC24" s="103">
        <v>39.4</v>
      </c>
      <c r="AD24" s="103">
        <v>34.4</v>
      </c>
      <c r="AE24" s="103">
        <v>30.7</v>
      </c>
      <c r="AF24" s="103">
        <v>27.8</v>
      </c>
      <c r="AG24" s="103">
        <v>25.5</v>
      </c>
      <c r="AH24" s="103">
        <v>23.6</v>
      </c>
      <c r="AI24" s="103">
        <v>22.1</v>
      </c>
      <c r="AJ24" s="103">
        <v>20.8</v>
      </c>
      <c r="AK24" s="103">
        <v>19.600000000000001</v>
      </c>
      <c r="AL24" s="103">
        <v>18.7</v>
      </c>
      <c r="AM24" s="103">
        <v>17.8</v>
      </c>
      <c r="AN24" s="103">
        <v>17.100000000000001</v>
      </c>
      <c r="AO24" s="103">
        <v>16.399999999999999</v>
      </c>
      <c r="AP24" s="103">
        <v>15.8</v>
      </c>
      <c r="AQ24" s="103">
        <v>15.3</v>
      </c>
    </row>
    <row r="25" spans="1:43" x14ac:dyDescent="0.25">
      <c r="A25" s="17">
        <v>34</v>
      </c>
      <c r="B25" s="103">
        <v>236.8</v>
      </c>
      <c r="C25" s="103">
        <v>120.8</v>
      </c>
      <c r="D25" s="103">
        <v>82.1</v>
      </c>
      <c r="E25" s="103">
        <v>62.8</v>
      </c>
      <c r="F25" s="103">
        <v>51.2</v>
      </c>
      <c r="G25" s="103">
        <v>43.5</v>
      </c>
      <c r="H25" s="103">
        <v>38</v>
      </c>
      <c r="I25" s="103">
        <v>33.9</v>
      </c>
      <c r="J25" s="103">
        <v>30.7</v>
      </c>
      <c r="K25" s="103">
        <v>28.2</v>
      </c>
      <c r="L25" s="103">
        <v>26.1</v>
      </c>
      <c r="M25" s="103">
        <v>24.4</v>
      </c>
      <c r="N25" s="103">
        <v>22.9</v>
      </c>
      <c r="O25" s="103">
        <v>21.7</v>
      </c>
      <c r="P25" s="103">
        <v>20.6</v>
      </c>
      <c r="Q25" s="103">
        <v>19.7</v>
      </c>
      <c r="R25" s="103">
        <v>18.899999999999999</v>
      </c>
      <c r="S25" s="103">
        <v>18.100000000000001</v>
      </c>
      <c r="T25" s="103">
        <v>17.5</v>
      </c>
      <c r="U25" s="103">
        <v>16.899999999999999</v>
      </c>
      <c r="W25" s="17">
        <v>34</v>
      </c>
      <c r="X25" s="103">
        <v>218.2</v>
      </c>
      <c r="Y25" s="103">
        <v>111.3</v>
      </c>
      <c r="Z25" s="103">
        <v>75.7</v>
      </c>
      <c r="AA25" s="103">
        <v>57.9</v>
      </c>
      <c r="AB25" s="103">
        <v>47.2</v>
      </c>
      <c r="AC25" s="103">
        <v>40.1</v>
      </c>
      <c r="AD25" s="103">
        <v>35</v>
      </c>
      <c r="AE25" s="103">
        <v>31.3</v>
      </c>
      <c r="AF25" s="103">
        <v>28.3</v>
      </c>
      <c r="AG25" s="103">
        <v>26</v>
      </c>
      <c r="AH25" s="103">
        <v>24.1</v>
      </c>
      <c r="AI25" s="103">
        <v>22.5</v>
      </c>
      <c r="AJ25" s="103">
        <v>21.1</v>
      </c>
      <c r="AK25" s="103">
        <v>20</v>
      </c>
      <c r="AL25" s="103">
        <v>19</v>
      </c>
      <c r="AM25" s="103">
        <v>18.100000000000001</v>
      </c>
      <c r="AN25" s="103">
        <v>17.399999999999999</v>
      </c>
      <c r="AO25" s="103">
        <v>16.7</v>
      </c>
      <c r="AP25" s="103">
        <v>16.100000000000001</v>
      </c>
      <c r="AQ25" s="103">
        <v>15.6</v>
      </c>
    </row>
    <row r="26" spans="1:43" x14ac:dyDescent="0.25">
      <c r="A26" s="17">
        <v>35</v>
      </c>
      <c r="B26" s="103">
        <v>240.9</v>
      </c>
      <c r="C26" s="103">
        <v>122.9</v>
      </c>
      <c r="D26" s="103">
        <v>83.6</v>
      </c>
      <c r="E26" s="103">
        <v>63.9</v>
      </c>
      <c r="F26" s="103">
        <v>52.1</v>
      </c>
      <c r="G26" s="103">
        <v>44.3</v>
      </c>
      <c r="H26" s="103">
        <v>38.700000000000003</v>
      </c>
      <c r="I26" s="103">
        <v>34.5</v>
      </c>
      <c r="J26" s="103">
        <v>31.3</v>
      </c>
      <c r="K26" s="103">
        <v>28.7</v>
      </c>
      <c r="L26" s="103">
        <v>26.6</v>
      </c>
      <c r="M26" s="103">
        <v>24.8</v>
      </c>
      <c r="N26" s="103">
        <v>23.3</v>
      </c>
      <c r="O26" s="103">
        <v>22.1</v>
      </c>
      <c r="P26" s="103">
        <v>21</v>
      </c>
      <c r="Q26" s="103">
        <v>20</v>
      </c>
      <c r="R26" s="103">
        <v>19.2</v>
      </c>
      <c r="S26" s="103">
        <v>18.5</v>
      </c>
      <c r="T26" s="103">
        <v>17.8</v>
      </c>
      <c r="U26" s="103">
        <v>17.3</v>
      </c>
      <c r="W26" s="17">
        <v>35</v>
      </c>
      <c r="X26" s="103">
        <v>222</v>
      </c>
      <c r="Y26" s="103">
        <v>113.2</v>
      </c>
      <c r="Z26" s="103">
        <v>77</v>
      </c>
      <c r="AA26" s="103">
        <v>58.9</v>
      </c>
      <c r="AB26" s="103">
        <v>48</v>
      </c>
      <c r="AC26" s="103">
        <v>40.799999999999997</v>
      </c>
      <c r="AD26" s="103">
        <v>35.700000000000003</v>
      </c>
      <c r="AE26" s="103">
        <v>31.8</v>
      </c>
      <c r="AF26" s="103">
        <v>28.8</v>
      </c>
      <c r="AG26" s="103">
        <v>26.4</v>
      </c>
      <c r="AH26" s="103">
        <v>24.5</v>
      </c>
      <c r="AI26" s="103">
        <v>22.9</v>
      </c>
      <c r="AJ26" s="103">
        <v>21.5</v>
      </c>
      <c r="AK26" s="103">
        <v>20.3</v>
      </c>
      <c r="AL26" s="103">
        <v>19.3</v>
      </c>
      <c r="AM26" s="103">
        <v>18.5</v>
      </c>
      <c r="AN26" s="103">
        <v>17.7</v>
      </c>
      <c r="AO26" s="103">
        <v>17</v>
      </c>
      <c r="AP26" s="103">
        <v>16.399999999999999</v>
      </c>
      <c r="AQ26" s="103">
        <v>15.9</v>
      </c>
    </row>
    <row r="27" spans="1:43" x14ac:dyDescent="0.25">
      <c r="A27" s="17">
        <v>36</v>
      </c>
      <c r="B27" s="103">
        <v>245.2</v>
      </c>
      <c r="C27" s="103">
        <v>125</v>
      </c>
      <c r="D27" s="103">
        <v>85</v>
      </c>
      <c r="E27" s="103">
        <v>65</v>
      </c>
      <c r="F27" s="103">
        <v>53.1</v>
      </c>
      <c r="G27" s="103">
        <v>45.1</v>
      </c>
      <c r="H27" s="103">
        <v>39.4</v>
      </c>
      <c r="I27" s="103">
        <v>35.1</v>
      </c>
      <c r="J27" s="103">
        <v>31.8</v>
      </c>
      <c r="K27" s="103">
        <v>29.2</v>
      </c>
      <c r="L27" s="103">
        <v>27</v>
      </c>
      <c r="M27" s="103">
        <v>25.3</v>
      </c>
      <c r="N27" s="103">
        <v>23.8</v>
      </c>
      <c r="O27" s="103">
        <v>22.5</v>
      </c>
      <c r="P27" s="103">
        <v>21.4</v>
      </c>
      <c r="Q27" s="103">
        <v>20.399999999999999</v>
      </c>
      <c r="R27" s="103">
        <v>19.600000000000001</v>
      </c>
      <c r="S27" s="103">
        <v>18.8</v>
      </c>
      <c r="T27" s="103">
        <v>18.2</v>
      </c>
      <c r="U27" s="103">
        <v>17.600000000000001</v>
      </c>
      <c r="W27" s="17">
        <v>36</v>
      </c>
      <c r="X27" s="103">
        <v>226</v>
      </c>
      <c r="Y27" s="103">
        <v>115.3</v>
      </c>
      <c r="Z27" s="103">
        <v>78.400000000000006</v>
      </c>
      <c r="AA27" s="103">
        <v>59.9</v>
      </c>
      <c r="AB27" s="103">
        <v>48.9</v>
      </c>
      <c r="AC27" s="103">
        <v>41.5</v>
      </c>
      <c r="AD27" s="103">
        <v>36.299999999999997</v>
      </c>
      <c r="AE27" s="103">
        <v>32.4</v>
      </c>
      <c r="AF27" s="103">
        <v>29.3</v>
      </c>
      <c r="AG27" s="103">
        <v>26.9</v>
      </c>
      <c r="AH27" s="103">
        <v>24.9</v>
      </c>
      <c r="AI27" s="103">
        <v>23.3</v>
      </c>
      <c r="AJ27" s="103">
        <v>21.9</v>
      </c>
      <c r="AK27" s="103">
        <v>20.7</v>
      </c>
      <c r="AL27" s="103">
        <v>19.7</v>
      </c>
      <c r="AM27" s="103">
        <v>18.8</v>
      </c>
      <c r="AN27" s="103">
        <v>18</v>
      </c>
      <c r="AO27" s="103">
        <v>17.399999999999999</v>
      </c>
      <c r="AP27" s="103">
        <v>16.7</v>
      </c>
      <c r="AQ27" s="103">
        <v>16.2</v>
      </c>
    </row>
    <row r="28" spans="1:43" x14ac:dyDescent="0.25">
      <c r="A28" s="17">
        <v>37</v>
      </c>
      <c r="B28" s="103">
        <v>249.5</v>
      </c>
      <c r="C28" s="103">
        <v>127.2</v>
      </c>
      <c r="D28" s="103">
        <v>86.5</v>
      </c>
      <c r="E28" s="103">
        <v>66.2</v>
      </c>
      <c r="F28" s="103">
        <v>54</v>
      </c>
      <c r="G28" s="103">
        <v>45.9</v>
      </c>
      <c r="H28" s="103">
        <v>40.1</v>
      </c>
      <c r="I28" s="103">
        <v>35.799999999999997</v>
      </c>
      <c r="J28" s="103">
        <v>32.4</v>
      </c>
      <c r="K28" s="103">
        <v>29.7</v>
      </c>
      <c r="L28" s="103">
        <v>27.5</v>
      </c>
      <c r="M28" s="103">
        <v>25.7</v>
      </c>
      <c r="N28" s="103">
        <v>24.2</v>
      </c>
      <c r="O28" s="103">
        <v>22.9</v>
      </c>
      <c r="P28" s="103">
        <v>21.8</v>
      </c>
      <c r="Q28" s="103">
        <v>20.8</v>
      </c>
      <c r="R28" s="103">
        <v>19.899999999999999</v>
      </c>
      <c r="S28" s="103">
        <v>19.2</v>
      </c>
      <c r="T28" s="103">
        <v>18.5</v>
      </c>
      <c r="U28" s="103">
        <v>17.899999999999999</v>
      </c>
      <c r="W28" s="17">
        <v>37</v>
      </c>
      <c r="X28" s="103">
        <v>230</v>
      </c>
      <c r="Y28" s="103">
        <v>117.3</v>
      </c>
      <c r="Z28" s="103">
        <v>79.8</v>
      </c>
      <c r="AA28" s="103">
        <v>61</v>
      </c>
      <c r="AB28" s="103">
        <v>49.8</v>
      </c>
      <c r="AC28" s="103">
        <v>42.3</v>
      </c>
      <c r="AD28" s="103">
        <v>37</v>
      </c>
      <c r="AE28" s="103">
        <v>33</v>
      </c>
      <c r="AF28" s="103">
        <v>29.9</v>
      </c>
      <c r="AG28" s="103">
        <v>27.4</v>
      </c>
      <c r="AH28" s="103">
        <v>25.4</v>
      </c>
      <c r="AI28" s="103">
        <v>23.7</v>
      </c>
      <c r="AJ28" s="103">
        <v>22.3</v>
      </c>
      <c r="AK28" s="103">
        <v>21.1</v>
      </c>
      <c r="AL28" s="103">
        <v>20.100000000000001</v>
      </c>
      <c r="AM28" s="103">
        <v>19.2</v>
      </c>
      <c r="AN28" s="103">
        <v>18.399999999999999</v>
      </c>
      <c r="AO28" s="103">
        <v>17.7</v>
      </c>
      <c r="AP28" s="103">
        <v>17.100000000000001</v>
      </c>
      <c r="AQ28" s="103">
        <v>16.5</v>
      </c>
    </row>
    <row r="29" spans="1:43" x14ac:dyDescent="0.25">
      <c r="A29" s="17">
        <v>38</v>
      </c>
      <c r="B29" s="103">
        <v>253.9</v>
      </c>
      <c r="C29" s="103">
        <v>129.5</v>
      </c>
      <c r="D29" s="103">
        <v>88</v>
      </c>
      <c r="E29" s="103">
        <v>67.3</v>
      </c>
      <c r="F29" s="103">
        <v>54.9</v>
      </c>
      <c r="G29" s="103">
        <v>46.7</v>
      </c>
      <c r="H29" s="103">
        <v>40.799999999999997</v>
      </c>
      <c r="I29" s="103">
        <v>36.4</v>
      </c>
      <c r="J29" s="103">
        <v>33</v>
      </c>
      <c r="K29" s="103">
        <v>30.3</v>
      </c>
      <c r="L29" s="103">
        <v>28</v>
      </c>
      <c r="M29" s="103">
        <v>26.2</v>
      </c>
      <c r="N29" s="103">
        <v>24.6</v>
      </c>
      <c r="O29" s="103">
        <v>23.3</v>
      </c>
      <c r="P29" s="103">
        <v>22.2</v>
      </c>
      <c r="Q29" s="103">
        <v>21.2</v>
      </c>
      <c r="R29" s="103">
        <v>20.3</v>
      </c>
      <c r="S29" s="103">
        <v>19.5</v>
      </c>
      <c r="T29" s="103">
        <v>18.899999999999999</v>
      </c>
      <c r="U29" s="103">
        <v>18.3</v>
      </c>
      <c r="W29" s="17">
        <v>38</v>
      </c>
      <c r="X29" s="103">
        <v>234</v>
      </c>
      <c r="Y29" s="103">
        <v>119.4</v>
      </c>
      <c r="Z29" s="103">
        <v>81.2</v>
      </c>
      <c r="AA29" s="103">
        <v>62.1</v>
      </c>
      <c r="AB29" s="103">
        <v>50.7</v>
      </c>
      <c r="AC29" s="103">
        <v>43</v>
      </c>
      <c r="AD29" s="103">
        <v>37.6</v>
      </c>
      <c r="AE29" s="103">
        <v>33.6</v>
      </c>
      <c r="AF29" s="103">
        <v>30.4</v>
      </c>
      <c r="AG29" s="103">
        <v>27.9</v>
      </c>
      <c r="AH29" s="103">
        <v>25.8</v>
      </c>
      <c r="AI29" s="103">
        <v>24.1</v>
      </c>
      <c r="AJ29" s="103">
        <v>22.7</v>
      </c>
      <c r="AK29" s="103">
        <v>21.5</v>
      </c>
      <c r="AL29" s="103">
        <v>20.399999999999999</v>
      </c>
      <c r="AM29" s="103">
        <v>19.5</v>
      </c>
      <c r="AN29" s="103">
        <v>18.7</v>
      </c>
      <c r="AO29" s="103">
        <v>18</v>
      </c>
      <c r="AP29" s="103">
        <v>17.399999999999999</v>
      </c>
      <c r="AQ29" s="103">
        <v>16.8</v>
      </c>
    </row>
    <row r="30" spans="1:43" x14ac:dyDescent="0.25">
      <c r="A30" s="17">
        <v>39</v>
      </c>
      <c r="B30" s="103">
        <v>258.3</v>
      </c>
      <c r="C30" s="103">
        <v>131.80000000000001</v>
      </c>
      <c r="D30" s="103">
        <v>89.6</v>
      </c>
      <c r="E30" s="103">
        <v>68.5</v>
      </c>
      <c r="F30" s="103">
        <v>55.9</v>
      </c>
      <c r="G30" s="103">
        <v>47.5</v>
      </c>
      <c r="H30" s="103">
        <v>41.5</v>
      </c>
      <c r="I30" s="103">
        <v>37</v>
      </c>
      <c r="J30" s="103">
        <v>33.6</v>
      </c>
      <c r="K30" s="103">
        <v>30.8</v>
      </c>
      <c r="L30" s="103">
        <v>28.5</v>
      </c>
      <c r="M30" s="103">
        <v>26.7</v>
      </c>
      <c r="N30" s="103">
        <v>25.1</v>
      </c>
      <c r="O30" s="103">
        <v>23.7</v>
      </c>
      <c r="P30" s="103">
        <v>22.6</v>
      </c>
      <c r="Q30" s="103">
        <v>21.6</v>
      </c>
      <c r="R30" s="103">
        <v>20.7</v>
      </c>
      <c r="S30" s="103">
        <v>19.899999999999999</v>
      </c>
      <c r="T30" s="103">
        <v>19.2</v>
      </c>
      <c r="U30" s="103">
        <v>18.600000000000001</v>
      </c>
      <c r="W30" s="17">
        <v>39</v>
      </c>
      <c r="X30" s="103">
        <v>238.2</v>
      </c>
      <c r="Y30" s="103">
        <v>121.5</v>
      </c>
      <c r="Z30" s="103">
        <v>82.6</v>
      </c>
      <c r="AA30" s="103">
        <v>63.2</v>
      </c>
      <c r="AB30" s="103">
        <v>51.6</v>
      </c>
      <c r="AC30" s="103">
        <v>43.8</v>
      </c>
      <c r="AD30" s="103">
        <v>38.299999999999997</v>
      </c>
      <c r="AE30" s="103">
        <v>34.200000000000003</v>
      </c>
      <c r="AF30" s="103">
        <v>31</v>
      </c>
      <c r="AG30" s="103">
        <v>28.4</v>
      </c>
      <c r="AH30" s="103">
        <v>26.3</v>
      </c>
      <c r="AI30" s="103">
        <v>24.6</v>
      </c>
      <c r="AJ30" s="103">
        <v>23.1</v>
      </c>
      <c r="AK30" s="103">
        <v>21.9</v>
      </c>
      <c r="AL30" s="103">
        <v>20.8</v>
      </c>
      <c r="AM30" s="103">
        <v>19.899999999999999</v>
      </c>
      <c r="AN30" s="103">
        <v>19.100000000000001</v>
      </c>
      <c r="AO30" s="103">
        <v>18.399999999999999</v>
      </c>
      <c r="AP30" s="103">
        <v>17.7</v>
      </c>
      <c r="AQ30" s="103">
        <v>17.2</v>
      </c>
    </row>
    <row r="31" spans="1:43" x14ac:dyDescent="0.25">
      <c r="A31" s="17">
        <v>40</v>
      </c>
      <c r="B31" s="103">
        <v>262.8</v>
      </c>
      <c r="C31" s="103">
        <v>134.1</v>
      </c>
      <c r="D31" s="103">
        <v>91.2</v>
      </c>
      <c r="E31" s="103">
        <v>69.7</v>
      </c>
      <c r="F31" s="103">
        <v>56.9</v>
      </c>
      <c r="G31" s="103">
        <v>48.4</v>
      </c>
      <c r="H31" s="103">
        <v>42.3</v>
      </c>
      <c r="I31" s="103">
        <v>37.700000000000003</v>
      </c>
      <c r="J31" s="103">
        <v>34.200000000000003</v>
      </c>
      <c r="K31" s="103">
        <v>31.4</v>
      </c>
      <c r="L31" s="103">
        <v>29.1</v>
      </c>
      <c r="M31" s="103">
        <v>27.2</v>
      </c>
      <c r="N31" s="103">
        <v>25.6</v>
      </c>
      <c r="O31" s="103">
        <v>24.2</v>
      </c>
      <c r="P31" s="103">
        <v>23</v>
      </c>
      <c r="Q31" s="103">
        <v>22</v>
      </c>
      <c r="R31" s="103">
        <v>21.1</v>
      </c>
      <c r="S31" s="103">
        <v>20.3</v>
      </c>
      <c r="T31" s="103">
        <v>19.600000000000001</v>
      </c>
      <c r="U31" s="103">
        <v>19</v>
      </c>
      <c r="W31" s="17">
        <v>40</v>
      </c>
      <c r="X31" s="103">
        <v>242.4</v>
      </c>
      <c r="Y31" s="103">
        <v>123.6</v>
      </c>
      <c r="Z31" s="103">
        <v>84.1</v>
      </c>
      <c r="AA31" s="103">
        <v>64.3</v>
      </c>
      <c r="AB31" s="103">
        <v>52.5</v>
      </c>
      <c r="AC31" s="103">
        <v>44.6</v>
      </c>
      <c r="AD31" s="103">
        <v>39</v>
      </c>
      <c r="AE31" s="103">
        <v>34.799999999999997</v>
      </c>
      <c r="AF31" s="103">
        <v>31.5</v>
      </c>
      <c r="AG31" s="103">
        <v>28.9</v>
      </c>
      <c r="AH31" s="103">
        <v>26.8</v>
      </c>
      <c r="AI31" s="103">
        <v>25</v>
      </c>
      <c r="AJ31" s="103">
        <v>23.6</v>
      </c>
      <c r="AK31" s="103">
        <v>22.3</v>
      </c>
      <c r="AL31" s="103">
        <v>21.2</v>
      </c>
      <c r="AM31" s="103">
        <v>20.3</v>
      </c>
      <c r="AN31" s="103">
        <v>19.399999999999999</v>
      </c>
      <c r="AO31" s="103">
        <v>18.7</v>
      </c>
      <c r="AP31" s="103">
        <v>18.100000000000001</v>
      </c>
      <c r="AQ31" s="103">
        <v>17.5</v>
      </c>
    </row>
    <row r="32" spans="1:43" x14ac:dyDescent="0.25">
      <c r="A32" s="17">
        <v>41</v>
      </c>
      <c r="B32" s="103">
        <v>267.39999999999998</v>
      </c>
      <c r="C32" s="103">
        <v>136.4</v>
      </c>
      <c r="D32" s="103">
        <v>92.8</v>
      </c>
      <c r="E32" s="103">
        <v>71</v>
      </c>
      <c r="F32" s="103">
        <v>57.9</v>
      </c>
      <c r="G32" s="103">
        <v>49.2</v>
      </c>
      <c r="H32" s="103">
        <v>43</v>
      </c>
      <c r="I32" s="103">
        <v>38.4</v>
      </c>
      <c r="J32" s="103">
        <v>34.799999999999997</v>
      </c>
      <c r="K32" s="103">
        <v>31.9</v>
      </c>
      <c r="L32" s="103">
        <v>29.6</v>
      </c>
      <c r="M32" s="103">
        <v>27.7</v>
      </c>
      <c r="N32" s="103">
        <v>26</v>
      </c>
      <c r="O32" s="103">
        <v>24.6</v>
      </c>
      <c r="P32" s="103">
        <v>23.4</v>
      </c>
      <c r="Q32" s="103">
        <v>22.4</v>
      </c>
      <c r="R32" s="103">
        <v>21.5</v>
      </c>
      <c r="S32" s="103">
        <v>20.7</v>
      </c>
      <c r="T32" s="103">
        <v>20</v>
      </c>
      <c r="U32" s="103">
        <v>19.3</v>
      </c>
      <c r="W32" s="17">
        <v>41</v>
      </c>
      <c r="X32" s="103">
        <v>246.7</v>
      </c>
      <c r="Y32" s="103">
        <v>125.8</v>
      </c>
      <c r="Z32" s="103">
        <v>85.6</v>
      </c>
      <c r="AA32" s="103">
        <v>65.5</v>
      </c>
      <c r="AB32" s="103">
        <v>53.4</v>
      </c>
      <c r="AC32" s="103">
        <v>45.4</v>
      </c>
      <c r="AD32" s="103">
        <v>39.700000000000003</v>
      </c>
      <c r="AE32" s="103">
        <v>35.4</v>
      </c>
      <c r="AF32" s="103">
        <v>32.1</v>
      </c>
      <c r="AG32" s="103">
        <v>29.5</v>
      </c>
      <c r="AH32" s="103">
        <v>27.3</v>
      </c>
      <c r="AI32" s="103">
        <v>25.5</v>
      </c>
      <c r="AJ32" s="103">
        <v>24</v>
      </c>
      <c r="AK32" s="103">
        <v>22.7</v>
      </c>
      <c r="AL32" s="103">
        <v>21.6</v>
      </c>
      <c r="AM32" s="103">
        <v>20.7</v>
      </c>
      <c r="AN32" s="103">
        <v>19.8</v>
      </c>
      <c r="AO32" s="103">
        <v>19.100000000000001</v>
      </c>
      <c r="AP32" s="103">
        <v>18.399999999999999</v>
      </c>
      <c r="AQ32" s="103">
        <v>17.8</v>
      </c>
    </row>
    <row r="33" spans="1:43" x14ac:dyDescent="0.25">
      <c r="A33" s="17">
        <v>42</v>
      </c>
      <c r="B33" s="103">
        <v>272.10000000000002</v>
      </c>
      <c r="C33" s="103">
        <v>138.80000000000001</v>
      </c>
      <c r="D33" s="103">
        <v>94.4</v>
      </c>
      <c r="E33" s="103">
        <v>72.2</v>
      </c>
      <c r="F33" s="103">
        <v>59</v>
      </c>
      <c r="G33" s="103">
        <v>50.1</v>
      </c>
      <c r="H33" s="103">
        <v>43.8</v>
      </c>
      <c r="I33" s="103">
        <v>39.1</v>
      </c>
      <c r="J33" s="103">
        <v>35.4</v>
      </c>
      <c r="K33" s="103">
        <v>32.5</v>
      </c>
      <c r="L33" s="103">
        <v>30.1</v>
      </c>
      <c r="M33" s="103">
        <v>28.2</v>
      </c>
      <c r="N33" s="103">
        <v>26.5</v>
      </c>
      <c r="O33" s="103">
        <v>25.1</v>
      </c>
      <c r="P33" s="103">
        <v>23.9</v>
      </c>
      <c r="Q33" s="103">
        <v>22.8</v>
      </c>
      <c r="R33" s="103">
        <v>21.9</v>
      </c>
      <c r="S33" s="103">
        <v>21.1</v>
      </c>
      <c r="T33" s="103">
        <v>20.399999999999999</v>
      </c>
      <c r="U33" s="103">
        <v>19.7</v>
      </c>
      <c r="W33" s="17">
        <v>42</v>
      </c>
      <c r="X33" s="103">
        <v>251.1</v>
      </c>
      <c r="Y33" s="103">
        <v>128.1</v>
      </c>
      <c r="Z33" s="103">
        <v>87.1</v>
      </c>
      <c r="AA33" s="103">
        <v>66.7</v>
      </c>
      <c r="AB33" s="103">
        <v>54.4</v>
      </c>
      <c r="AC33" s="103">
        <v>46.2</v>
      </c>
      <c r="AD33" s="103">
        <v>40.4</v>
      </c>
      <c r="AE33" s="103">
        <v>36.1</v>
      </c>
      <c r="AF33" s="103">
        <v>32.700000000000003</v>
      </c>
      <c r="AG33" s="103">
        <v>30</v>
      </c>
      <c r="AH33" s="103">
        <v>27.8</v>
      </c>
      <c r="AI33" s="103">
        <v>26</v>
      </c>
      <c r="AJ33" s="103">
        <v>24.5</v>
      </c>
      <c r="AK33" s="103">
        <v>23.2</v>
      </c>
      <c r="AL33" s="103">
        <v>22</v>
      </c>
      <c r="AM33" s="103">
        <v>21.1</v>
      </c>
      <c r="AN33" s="103">
        <v>20.2</v>
      </c>
      <c r="AO33" s="103">
        <v>19.5</v>
      </c>
      <c r="AP33" s="103">
        <v>18.8</v>
      </c>
      <c r="AQ33" s="103">
        <v>18.2</v>
      </c>
    </row>
    <row r="34" spans="1:43" x14ac:dyDescent="0.25">
      <c r="A34" s="17">
        <v>43</v>
      </c>
      <c r="B34" s="103">
        <v>276.89999999999998</v>
      </c>
      <c r="C34" s="103">
        <v>141.30000000000001</v>
      </c>
      <c r="D34" s="103">
        <v>96.1</v>
      </c>
      <c r="E34" s="103">
        <v>73.5</v>
      </c>
      <c r="F34" s="103">
        <v>60</v>
      </c>
      <c r="G34" s="103">
        <v>51</v>
      </c>
      <c r="H34" s="103">
        <v>44.6</v>
      </c>
      <c r="I34" s="103">
        <v>39.799999999999997</v>
      </c>
      <c r="J34" s="103">
        <v>36.1</v>
      </c>
      <c r="K34" s="103">
        <v>33.1</v>
      </c>
      <c r="L34" s="103">
        <v>30.7</v>
      </c>
      <c r="M34" s="103">
        <v>28.7</v>
      </c>
      <c r="N34" s="103">
        <v>27</v>
      </c>
      <c r="O34" s="103">
        <v>25.6</v>
      </c>
      <c r="P34" s="103">
        <v>24.4</v>
      </c>
      <c r="Q34" s="103">
        <v>23.3</v>
      </c>
      <c r="R34" s="103">
        <v>22.3</v>
      </c>
      <c r="S34" s="103">
        <v>21.5</v>
      </c>
      <c r="T34" s="103">
        <v>20.8</v>
      </c>
      <c r="U34" s="103">
        <v>20.100000000000001</v>
      </c>
      <c r="W34" s="17">
        <v>43</v>
      </c>
      <c r="X34" s="103">
        <v>255.5</v>
      </c>
      <c r="Y34" s="103">
        <v>130.4</v>
      </c>
      <c r="Z34" s="103">
        <v>88.7</v>
      </c>
      <c r="AA34" s="103">
        <v>67.8</v>
      </c>
      <c r="AB34" s="103">
        <v>55.4</v>
      </c>
      <c r="AC34" s="103">
        <v>47.1</v>
      </c>
      <c r="AD34" s="103">
        <v>41.2</v>
      </c>
      <c r="AE34" s="103">
        <v>36.700000000000003</v>
      </c>
      <c r="AF34" s="103">
        <v>33.299999999999997</v>
      </c>
      <c r="AG34" s="103">
        <v>30.6</v>
      </c>
      <c r="AH34" s="103">
        <v>28.3</v>
      </c>
      <c r="AI34" s="103">
        <v>26.5</v>
      </c>
      <c r="AJ34" s="103">
        <v>24.9</v>
      </c>
      <c r="AK34" s="103">
        <v>23.6</v>
      </c>
      <c r="AL34" s="103">
        <v>22.5</v>
      </c>
      <c r="AM34" s="103">
        <v>21.5</v>
      </c>
      <c r="AN34" s="103">
        <v>20.6</v>
      </c>
      <c r="AO34" s="103">
        <v>19.899999999999999</v>
      </c>
      <c r="AP34" s="103">
        <v>19.2</v>
      </c>
      <c r="AQ34" s="103">
        <v>18.600000000000001</v>
      </c>
    </row>
    <row r="35" spans="1:43" x14ac:dyDescent="0.25">
      <c r="A35" s="17">
        <v>44</v>
      </c>
      <c r="B35" s="103">
        <v>281.7</v>
      </c>
      <c r="C35" s="103">
        <v>143.69999999999999</v>
      </c>
      <c r="D35" s="103">
        <v>97.8</v>
      </c>
      <c r="E35" s="103">
        <v>74.8</v>
      </c>
      <c r="F35" s="103">
        <v>61.1</v>
      </c>
      <c r="G35" s="103">
        <v>51.9</v>
      </c>
      <c r="H35" s="103">
        <v>45.4</v>
      </c>
      <c r="I35" s="103">
        <v>40.5</v>
      </c>
      <c r="J35" s="103">
        <v>36.799999999999997</v>
      </c>
      <c r="K35" s="103">
        <v>33.700000000000003</v>
      </c>
      <c r="L35" s="103">
        <v>31.3</v>
      </c>
      <c r="M35" s="103">
        <v>29.3</v>
      </c>
      <c r="N35" s="103">
        <v>27.5</v>
      </c>
      <c r="O35" s="103">
        <v>26.1</v>
      </c>
      <c r="P35" s="103">
        <v>24.8</v>
      </c>
      <c r="Q35" s="103">
        <v>23.7</v>
      </c>
      <c r="R35" s="103">
        <v>22.8</v>
      </c>
      <c r="S35" s="103">
        <v>21.9</v>
      </c>
      <c r="T35" s="103">
        <v>21.2</v>
      </c>
      <c r="U35" s="103">
        <v>20.5</v>
      </c>
      <c r="W35" s="17">
        <v>44</v>
      </c>
      <c r="X35" s="103">
        <v>260</v>
      </c>
      <c r="Y35" s="103">
        <v>132.69999999999999</v>
      </c>
      <c r="Z35" s="103">
        <v>90.3</v>
      </c>
      <c r="AA35" s="103">
        <v>69.099999999999994</v>
      </c>
      <c r="AB35" s="103">
        <v>56.4</v>
      </c>
      <c r="AC35" s="103">
        <v>47.9</v>
      </c>
      <c r="AD35" s="103">
        <v>41.9</v>
      </c>
      <c r="AE35" s="103">
        <v>37.4</v>
      </c>
      <c r="AF35" s="103">
        <v>33.9</v>
      </c>
      <c r="AG35" s="103">
        <v>31.1</v>
      </c>
      <c r="AH35" s="103">
        <v>28.9</v>
      </c>
      <c r="AI35" s="103">
        <v>27</v>
      </c>
      <c r="AJ35" s="103">
        <v>25.4</v>
      </c>
      <c r="AK35" s="103">
        <v>24.1</v>
      </c>
      <c r="AL35" s="103">
        <v>22.9</v>
      </c>
      <c r="AM35" s="103">
        <v>21.9</v>
      </c>
      <c r="AN35" s="103">
        <v>21</v>
      </c>
      <c r="AO35" s="103">
        <v>20.3</v>
      </c>
      <c r="AP35" s="103">
        <v>19.600000000000001</v>
      </c>
      <c r="AQ35" s="103">
        <v>19</v>
      </c>
    </row>
    <row r="36" spans="1:43" x14ac:dyDescent="0.25">
      <c r="A36" s="17">
        <v>45</v>
      </c>
      <c r="B36" s="103">
        <v>286.5</v>
      </c>
      <c r="C36" s="103">
        <v>146.19999999999999</v>
      </c>
      <c r="D36" s="103">
        <v>99.5</v>
      </c>
      <c r="E36" s="103">
        <v>76.099999999999994</v>
      </c>
      <c r="F36" s="103">
        <v>62.2</v>
      </c>
      <c r="G36" s="103">
        <v>52.9</v>
      </c>
      <c r="H36" s="103">
        <v>46.2</v>
      </c>
      <c r="I36" s="103">
        <v>41.3</v>
      </c>
      <c r="J36" s="103">
        <v>37.4</v>
      </c>
      <c r="K36" s="103">
        <v>34.4</v>
      </c>
      <c r="L36" s="103">
        <v>31.9</v>
      </c>
      <c r="M36" s="103">
        <v>29.8</v>
      </c>
      <c r="N36" s="103">
        <v>28.1</v>
      </c>
      <c r="O36" s="103">
        <v>26.6</v>
      </c>
      <c r="P36" s="103">
        <v>25.3</v>
      </c>
      <c r="Q36" s="103">
        <v>24.2</v>
      </c>
      <c r="R36" s="103">
        <v>23.2</v>
      </c>
      <c r="S36" s="103">
        <v>22.4</v>
      </c>
      <c r="T36" s="103">
        <v>21.6</v>
      </c>
      <c r="U36" s="103">
        <v>21</v>
      </c>
      <c r="W36" s="17">
        <v>45</v>
      </c>
      <c r="X36" s="103">
        <v>264.60000000000002</v>
      </c>
      <c r="Y36" s="103">
        <v>135</v>
      </c>
      <c r="Z36" s="103">
        <v>91.9</v>
      </c>
      <c r="AA36" s="103">
        <v>70.3</v>
      </c>
      <c r="AB36" s="103">
        <v>57.4</v>
      </c>
      <c r="AC36" s="103">
        <v>48.8</v>
      </c>
      <c r="AD36" s="103">
        <v>42.7</v>
      </c>
      <c r="AE36" s="103">
        <v>38.1</v>
      </c>
      <c r="AF36" s="103">
        <v>34.6</v>
      </c>
      <c r="AG36" s="103">
        <v>31.7</v>
      </c>
      <c r="AH36" s="103">
        <v>29.4</v>
      </c>
      <c r="AI36" s="103">
        <v>27.5</v>
      </c>
      <c r="AJ36" s="103">
        <v>25.9</v>
      </c>
      <c r="AK36" s="103">
        <v>24.6</v>
      </c>
      <c r="AL36" s="103">
        <v>23.4</v>
      </c>
      <c r="AM36" s="103">
        <v>22.4</v>
      </c>
      <c r="AN36" s="103">
        <v>21.5</v>
      </c>
      <c r="AO36" s="103">
        <v>20.7</v>
      </c>
      <c r="AP36" s="103">
        <v>20</v>
      </c>
      <c r="AQ36" s="103">
        <v>19.399999999999999</v>
      </c>
    </row>
    <row r="37" spans="1:43" x14ac:dyDescent="0.25">
      <c r="A37" s="17">
        <v>46</v>
      </c>
      <c r="B37" s="103">
        <v>291.39999999999998</v>
      </c>
      <c r="C37" s="103">
        <v>148.69999999999999</v>
      </c>
      <c r="D37" s="103">
        <v>101.2</v>
      </c>
      <c r="E37" s="103">
        <v>77.5</v>
      </c>
      <c r="F37" s="103">
        <v>63.3</v>
      </c>
      <c r="G37" s="103">
        <v>53.8</v>
      </c>
      <c r="H37" s="103">
        <v>47.1</v>
      </c>
      <c r="I37" s="103">
        <v>42</v>
      </c>
      <c r="J37" s="103">
        <v>38.1</v>
      </c>
      <c r="K37" s="103">
        <v>35</v>
      </c>
      <c r="L37" s="103">
        <v>32.5</v>
      </c>
      <c r="M37" s="103">
        <v>30.4</v>
      </c>
      <c r="N37" s="103">
        <v>28.6</v>
      </c>
      <c r="O37" s="103">
        <v>27.1</v>
      </c>
      <c r="P37" s="103">
        <v>25.8</v>
      </c>
      <c r="Q37" s="103">
        <v>24.7</v>
      </c>
      <c r="R37" s="103">
        <v>23.7</v>
      </c>
      <c r="S37" s="103">
        <v>22.8</v>
      </c>
      <c r="T37" s="103">
        <v>22.1</v>
      </c>
      <c r="U37" s="103">
        <v>21.4</v>
      </c>
      <c r="W37" s="17">
        <v>46</v>
      </c>
      <c r="X37" s="103">
        <v>269.2</v>
      </c>
      <c r="Y37" s="103">
        <v>137.4</v>
      </c>
      <c r="Z37" s="103">
        <v>93.5</v>
      </c>
      <c r="AA37" s="103">
        <v>71.599999999999994</v>
      </c>
      <c r="AB37" s="103">
        <v>58.4</v>
      </c>
      <c r="AC37" s="103">
        <v>49.7</v>
      </c>
      <c r="AD37" s="103">
        <v>43.5</v>
      </c>
      <c r="AE37" s="103">
        <v>38.799999999999997</v>
      </c>
      <c r="AF37" s="103">
        <v>35.200000000000003</v>
      </c>
      <c r="AG37" s="103">
        <v>32.299999999999997</v>
      </c>
      <c r="AH37" s="103">
        <v>30</v>
      </c>
      <c r="AI37" s="103">
        <v>28.1</v>
      </c>
      <c r="AJ37" s="103">
        <v>26.4</v>
      </c>
      <c r="AK37" s="103">
        <v>25</v>
      </c>
      <c r="AL37" s="103">
        <v>23.8</v>
      </c>
      <c r="AM37" s="103">
        <v>22.8</v>
      </c>
      <c r="AN37" s="103">
        <v>21.9</v>
      </c>
      <c r="AO37" s="103">
        <v>21.1</v>
      </c>
      <c r="AP37" s="103">
        <v>20.399999999999999</v>
      </c>
      <c r="AQ37" s="103">
        <v>19.8</v>
      </c>
    </row>
    <row r="38" spans="1:43" x14ac:dyDescent="0.25">
      <c r="A38" s="17">
        <v>47</v>
      </c>
      <c r="B38" s="103">
        <v>296.39999999999998</v>
      </c>
      <c r="C38" s="103">
        <v>151.30000000000001</v>
      </c>
      <c r="D38" s="103">
        <v>103</v>
      </c>
      <c r="E38" s="103">
        <v>78.8</v>
      </c>
      <c r="F38" s="103">
        <v>64.400000000000006</v>
      </c>
      <c r="G38" s="103">
        <v>54.8</v>
      </c>
      <c r="H38" s="103">
        <v>47.9</v>
      </c>
      <c r="I38" s="103">
        <v>42.8</v>
      </c>
      <c r="J38" s="103">
        <v>38.799999999999997</v>
      </c>
      <c r="K38" s="103">
        <v>35.700000000000003</v>
      </c>
      <c r="L38" s="103">
        <v>33.1</v>
      </c>
      <c r="M38" s="103">
        <v>31</v>
      </c>
      <c r="N38" s="103">
        <v>29.2</v>
      </c>
      <c r="O38" s="103">
        <v>27.6</v>
      </c>
      <c r="P38" s="103">
        <v>26.3</v>
      </c>
      <c r="Q38" s="103">
        <v>25.2</v>
      </c>
      <c r="R38" s="103">
        <v>24.2</v>
      </c>
      <c r="S38" s="103">
        <v>23.3</v>
      </c>
      <c r="T38" s="103">
        <v>22.5</v>
      </c>
      <c r="U38" s="103"/>
      <c r="W38" s="17">
        <v>47</v>
      </c>
      <c r="X38" s="103">
        <v>273.8</v>
      </c>
      <c r="Y38" s="103">
        <v>139.80000000000001</v>
      </c>
      <c r="Z38" s="103">
        <v>95.1</v>
      </c>
      <c r="AA38" s="103">
        <v>72.8</v>
      </c>
      <c r="AB38" s="103">
        <v>59.5</v>
      </c>
      <c r="AC38" s="103">
        <v>50.6</v>
      </c>
      <c r="AD38" s="103">
        <v>44.3</v>
      </c>
      <c r="AE38" s="103">
        <v>39.5</v>
      </c>
      <c r="AF38" s="103">
        <v>35.9</v>
      </c>
      <c r="AG38" s="103">
        <v>32.9</v>
      </c>
      <c r="AH38" s="103">
        <v>30.6</v>
      </c>
      <c r="AI38" s="103">
        <v>28.6</v>
      </c>
      <c r="AJ38" s="103">
        <v>26.9</v>
      </c>
      <c r="AK38" s="103">
        <v>25.5</v>
      </c>
      <c r="AL38" s="103">
        <v>24.3</v>
      </c>
      <c r="AM38" s="103">
        <v>23.3</v>
      </c>
      <c r="AN38" s="103">
        <v>22.3</v>
      </c>
      <c r="AO38" s="103">
        <v>21.5</v>
      </c>
      <c r="AP38" s="103">
        <v>20.8</v>
      </c>
      <c r="AQ38" s="103"/>
    </row>
    <row r="39" spans="1:43" x14ac:dyDescent="0.25">
      <c r="A39" s="17">
        <v>48</v>
      </c>
      <c r="B39" s="103">
        <v>301.39999999999998</v>
      </c>
      <c r="C39" s="103">
        <v>153.9</v>
      </c>
      <c r="D39" s="103">
        <v>104.7</v>
      </c>
      <c r="E39" s="103">
        <v>80.2</v>
      </c>
      <c r="F39" s="103">
        <v>65.5</v>
      </c>
      <c r="G39" s="103">
        <v>55.7</v>
      </c>
      <c r="H39" s="103">
        <v>48.8</v>
      </c>
      <c r="I39" s="103">
        <v>43.6</v>
      </c>
      <c r="J39" s="103">
        <v>39.5</v>
      </c>
      <c r="K39" s="103">
        <v>36.299999999999997</v>
      </c>
      <c r="L39" s="103">
        <v>33.700000000000003</v>
      </c>
      <c r="M39" s="103">
        <v>31.5</v>
      </c>
      <c r="N39" s="103">
        <v>29.7</v>
      </c>
      <c r="O39" s="103">
        <v>28.2</v>
      </c>
      <c r="P39" s="103">
        <v>26.8</v>
      </c>
      <c r="Q39" s="103">
        <v>25.7</v>
      </c>
      <c r="R39" s="103">
        <v>24.7</v>
      </c>
      <c r="S39" s="103">
        <v>23.8</v>
      </c>
      <c r="T39" s="103"/>
      <c r="U39" s="103"/>
      <c r="W39" s="17">
        <v>48</v>
      </c>
      <c r="X39" s="103">
        <v>278.60000000000002</v>
      </c>
      <c r="Y39" s="103">
        <v>142.19999999999999</v>
      </c>
      <c r="Z39" s="103">
        <v>96.8</v>
      </c>
      <c r="AA39" s="103">
        <v>74.099999999999994</v>
      </c>
      <c r="AB39" s="103">
        <v>60.5</v>
      </c>
      <c r="AC39" s="103">
        <v>51.5</v>
      </c>
      <c r="AD39" s="103">
        <v>45.1</v>
      </c>
      <c r="AE39" s="103">
        <v>40.299999999999997</v>
      </c>
      <c r="AF39" s="103">
        <v>36.5</v>
      </c>
      <c r="AG39" s="103">
        <v>33.6</v>
      </c>
      <c r="AH39" s="103">
        <v>31.2</v>
      </c>
      <c r="AI39" s="103">
        <v>29.2</v>
      </c>
      <c r="AJ39" s="103">
        <v>27.5</v>
      </c>
      <c r="AK39" s="103">
        <v>26</v>
      </c>
      <c r="AL39" s="103">
        <v>24.8</v>
      </c>
      <c r="AM39" s="103">
        <v>23.7</v>
      </c>
      <c r="AN39" s="103">
        <v>22.8</v>
      </c>
      <c r="AO39" s="103">
        <v>22</v>
      </c>
      <c r="AP39" s="103"/>
      <c r="AQ39" s="103"/>
    </row>
    <row r="40" spans="1:43" x14ac:dyDescent="0.25">
      <c r="A40" s="17">
        <v>49</v>
      </c>
      <c r="B40" s="103">
        <v>306.5</v>
      </c>
      <c r="C40" s="103">
        <v>156.5</v>
      </c>
      <c r="D40" s="103">
        <v>106.6</v>
      </c>
      <c r="E40" s="103">
        <v>81.599999999999994</v>
      </c>
      <c r="F40" s="103">
        <v>66.7</v>
      </c>
      <c r="G40" s="103">
        <v>56.7</v>
      </c>
      <c r="H40" s="103">
        <v>49.7</v>
      </c>
      <c r="I40" s="103">
        <v>44.4</v>
      </c>
      <c r="J40" s="103">
        <v>40.299999999999997</v>
      </c>
      <c r="K40" s="103">
        <v>37</v>
      </c>
      <c r="L40" s="103">
        <v>34.4</v>
      </c>
      <c r="M40" s="103">
        <v>32.200000000000003</v>
      </c>
      <c r="N40" s="103">
        <v>30.3</v>
      </c>
      <c r="O40" s="103">
        <v>28.7</v>
      </c>
      <c r="P40" s="103">
        <v>27.4</v>
      </c>
      <c r="Q40" s="103">
        <v>26.2</v>
      </c>
      <c r="R40" s="103">
        <v>25.2</v>
      </c>
      <c r="S40" s="103"/>
      <c r="T40" s="103"/>
      <c r="U40" s="103"/>
      <c r="W40" s="17">
        <v>49</v>
      </c>
      <c r="X40" s="103">
        <v>283.39999999999998</v>
      </c>
      <c r="Y40" s="103">
        <v>144.69999999999999</v>
      </c>
      <c r="Z40" s="103">
        <v>98.5</v>
      </c>
      <c r="AA40" s="103">
        <v>75.5</v>
      </c>
      <c r="AB40" s="103">
        <v>61.6</v>
      </c>
      <c r="AC40" s="103">
        <v>52.5</v>
      </c>
      <c r="AD40" s="103">
        <v>45.9</v>
      </c>
      <c r="AE40" s="103">
        <v>41</v>
      </c>
      <c r="AF40" s="103">
        <v>37.200000000000003</v>
      </c>
      <c r="AG40" s="103">
        <v>34.200000000000003</v>
      </c>
      <c r="AH40" s="103">
        <v>31.8</v>
      </c>
      <c r="AI40" s="103">
        <v>29.7</v>
      </c>
      <c r="AJ40" s="103">
        <v>28</v>
      </c>
      <c r="AK40" s="103">
        <v>26.6</v>
      </c>
      <c r="AL40" s="103">
        <v>25.3</v>
      </c>
      <c r="AM40" s="103">
        <v>24.2</v>
      </c>
      <c r="AN40" s="103">
        <v>23.3</v>
      </c>
      <c r="AO40" s="103"/>
      <c r="AP40" s="103"/>
      <c r="AQ40" s="103"/>
    </row>
    <row r="41" spans="1:43" x14ac:dyDescent="0.25">
      <c r="A41" s="17">
        <v>50</v>
      </c>
      <c r="B41" s="103">
        <v>311.7</v>
      </c>
      <c r="C41" s="103">
        <v>159.19999999999999</v>
      </c>
      <c r="D41" s="103">
        <v>108.4</v>
      </c>
      <c r="E41" s="103">
        <v>83</v>
      </c>
      <c r="F41" s="103">
        <v>67.900000000000006</v>
      </c>
      <c r="G41" s="103">
        <v>57.8</v>
      </c>
      <c r="H41" s="103">
        <v>50.6</v>
      </c>
      <c r="I41" s="103">
        <v>45.2</v>
      </c>
      <c r="J41" s="103">
        <v>41</v>
      </c>
      <c r="K41" s="103">
        <v>37.700000000000003</v>
      </c>
      <c r="L41" s="103">
        <v>35</v>
      </c>
      <c r="M41" s="103">
        <v>32.799999999999997</v>
      </c>
      <c r="N41" s="103">
        <v>30.9</v>
      </c>
      <c r="O41" s="103">
        <v>29.3</v>
      </c>
      <c r="P41" s="103">
        <v>27.9</v>
      </c>
      <c r="Q41" s="103">
        <v>26.7</v>
      </c>
      <c r="R41" s="103"/>
      <c r="S41" s="103"/>
      <c r="T41" s="103"/>
      <c r="U41" s="103"/>
      <c r="W41" s="17">
        <v>50</v>
      </c>
      <c r="X41" s="103">
        <v>288.3</v>
      </c>
      <c r="Y41" s="103">
        <v>147.19999999999999</v>
      </c>
      <c r="Z41" s="103">
        <v>100.3</v>
      </c>
      <c r="AA41" s="103">
        <v>76.8</v>
      </c>
      <c r="AB41" s="103">
        <v>62.8</v>
      </c>
      <c r="AC41" s="103">
        <v>53.4</v>
      </c>
      <c r="AD41" s="103">
        <v>46.8</v>
      </c>
      <c r="AE41" s="103">
        <v>41.8</v>
      </c>
      <c r="AF41" s="103">
        <v>37.9</v>
      </c>
      <c r="AG41" s="103">
        <v>34.9</v>
      </c>
      <c r="AH41" s="103">
        <v>32.4</v>
      </c>
      <c r="AI41" s="103">
        <v>30.3</v>
      </c>
      <c r="AJ41" s="103">
        <v>28.6</v>
      </c>
      <c r="AK41" s="103">
        <v>27.1</v>
      </c>
      <c r="AL41" s="103">
        <v>25.8</v>
      </c>
      <c r="AM41" s="103">
        <v>24.7</v>
      </c>
      <c r="AN41" s="103"/>
      <c r="AO41" s="103"/>
      <c r="AP41" s="103"/>
      <c r="AQ41" s="103"/>
    </row>
    <row r="42" spans="1:43" x14ac:dyDescent="0.25">
      <c r="A42" s="17">
        <v>51</v>
      </c>
      <c r="B42" s="103">
        <v>317</v>
      </c>
      <c r="C42" s="103">
        <v>161.9</v>
      </c>
      <c r="D42" s="103">
        <v>110.3</v>
      </c>
      <c r="E42" s="103">
        <v>84.5</v>
      </c>
      <c r="F42" s="103">
        <v>69.099999999999994</v>
      </c>
      <c r="G42" s="103">
        <v>58.8</v>
      </c>
      <c r="H42" s="103">
        <v>51.5</v>
      </c>
      <c r="I42" s="103">
        <v>46</v>
      </c>
      <c r="J42" s="103">
        <v>41.8</v>
      </c>
      <c r="K42" s="103">
        <v>38.4</v>
      </c>
      <c r="L42" s="103">
        <v>35.700000000000003</v>
      </c>
      <c r="M42" s="103">
        <v>33.4</v>
      </c>
      <c r="N42" s="103">
        <v>31.5</v>
      </c>
      <c r="O42" s="103">
        <v>29.9</v>
      </c>
      <c r="P42" s="103">
        <v>28.5</v>
      </c>
      <c r="Q42" s="103"/>
      <c r="R42" s="103"/>
      <c r="S42" s="103"/>
      <c r="T42" s="103"/>
      <c r="U42" s="103"/>
      <c r="W42" s="17">
        <v>51</v>
      </c>
      <c r="X42" s="103">
        <v>293.3</v>
      </c>
      <c r="Y42" s="103">
        <v>149.80000000000001</v>
      </c>
      <c r="Z42" s="103">
        <v>102.1</v>
      </c>
      <c r="AA42" s="103">
        <v>78.2</v>
      </c>
      <c r="AB42" s="103">
        <v>63.9</v>
      </c>
      <c r="AC42" s="103">
        <v>54.4</v>
      </c>
      <c r="AD42" s="103">
        <v>47.6</v>
      </c>
      <c r="AE42" s="103">
        <v>42.6</v>
      </c>
      <c r="AF42" s="103">
        <v>38.700000000000003</v>
      </c>
      <c r="AG42" s="103">
        <v>35.5</v>
      </c>
      <c r="AH42" s="103">
        <v>33</v>
      </c>
      <c r="AI42" s="103">
        <v>30.9</v>
      </c>
      <c r="AJ42" s="103">
        <v>29.1</v>
      </c>
      <c r="AK42" s="103">
        <v>27.6</v>
      </c>
      <c r="AL42" s="103">
        <v>26.3</v>
      </c>
      <c r="AM42" s="103"/>
      <c r="AN42" s="103"/>
      <c r="AO42" s="103"/>
      <c r="AP42" s="103"/>
      <c r="AQ42" s="103"/>
    </row>
    <row r="43" spans="1:43" x14ac:dyDescent="0.25">
      <c r="A43" s="17">
        <v>52</v>
      </c>
      <c r="B43" s="103">
        <v>322.3</v>
      </c>
      <c r="C43" s="103">
        <v>164.7</v>
      </c>
      <c r="D43" s="103">
        <v>112.2</v>
      </c>
      <c r="E43" s="103">
        <v>86</v>
      </c>
      <c r="F43" s="103">
        <v>70.3</v>
      </c>
      <c r="G43" s="103">
        <v>59.9</v>
      </c>
      <c r="H43" s="103">
        <v>52.4</v>
      </c>
      <c r="I43" s="103">
        <v>46.9</v>
      </c>
      <c r="J43" s="103">
        <v>42.6</v>
      </c>
      <c r="K43" s="103">
        <v>39.1</v>
      </c>
      <c r="L43" s="103">
        <v>36.4</v>
      </c>
      <c r="M43" s="103">
        <v>34</v>
      </c>
      <c r="N43" s="103">
        <v>32.1</v>
      </c>
      <c r="O43" s="103">
        <v>30.5</v>
      </c>
      <c r="P43" s="103"/>
      <c r="Q43" s="103"/>
      <c r="R43" s="103"/>
      <c r="S43" s="103"/>
      <c r="T43" s="103"/>
      <c r="U43" s="103"/>
      <c r="W43" s="17">
        <v>52</v>
      </c>
      <c r="X43" s="103">
        <v>298.39999999999998</v>
      </c>
      <c r="Y43" s="103">
        <v>152.5</v>
      </c>
      <c r="Z43" s="103">
        <v>103.9</v>
      </c>
      <c r="AA43" s="103">
        <v>79.599999999999994</v>
      </c>
      <c r="AB43" s="103">
        <v>65.099999999999994</v>
      </c>
      <c r="AC43" s="103">
        <v>55.4</v>
      </c>
      <c r="AD43" s="103">
        <v>48.5</v>
      </c>
      <c r="AE43" s="103">
        <v>43.4</v>
      </c>
      <c r="AF43" s="103">
        <v>39.4</v>
      </c>
      <c r="AG43" s="103">
        <v>36.200000000000003</v>
      </c>
      <c r="AH43" s="103">
        <v>33.700000000000003</v>
      </c>
      <c r="AI43" s="103">
        <v>31.5</v>
      </c>
      <c r="AJ43" s="103">
        <v>29.7</v>
      </c>
      <c r="AK43" s="103">
        <v>28.2</v>
      </c>
      <c r="AL43" s="103"/>
      <c r="AM43" s="103"/>
      <c r="AN43" s="103"/>
      <c r="AO43" s="103"/>
      <c r="AP43" s="103"/>
      <c r="AQ43" s="103"/>
    </row>
    <row r="44" spans="1:43" x14ac:dyDescent="0.25">
      <c r="A44" s="17">
        <v>53</v>
      </c>
      <c r="B44" s="103">
        <v>327.8</v>
      </c>
      <c r="C44" s="103">
        <v>167.5</v>
      </c>
      <c r="D44" s="103">
        <v>114.1</v>
      </c>
      <c r="E44" s="103">
        <v>87.5</v>
      </c>
      <c r="F44" s="103">
        <v>71.5</v>
      </c>
      <c r="G44" s="103">
        <v>60.9</v>
      </c>
      <c r="H44" s="103">
        <v>53.4</v>
      </c>
      <c r="I44" s="103">
        <v>47.7</v>
      </c>
      <c r="J44" s="103">
        <v>43.4</v>
      </c>
      <c r="K44" s="103">
        <v>39.9</v>
      </c>
      <c r="L44" s="103">
        <v>37</v>
      </c>
      <c r="M44" s="103">
        <v>34.700000000000003</v>
      </c>
      <c r="N44" s="103">
        <v>32.700000000000003</v>
      </c>
      <c r="O44" s="103"/>
      <c r="P44" s="103"/>
      <c r="Q44" s="103"/>
      <c r="R44" s="103"/>
      <c r="S44" s="103"/>
      <c r="T44" s="103"/>
      <c r="U44" s="103"/>
      <c r="W44" s="17">
        <v>53</v>
      </c>
      <c r="X44" s="103">
        <v>303.60000000000002</v>
      </c>
      <c r="Y44" s="103">
        <v>155.19999999999999</v>
      </c>
      <c r="Z44" s="103">
        <v>105.7</v>
      </c>
      <c r="AA44" s="103">
        <v>81</v>
      </c>
      <c r="AB44" s="103">
        <v>66.3</v>
      </c>
      <c r="AC44" s="103">
        <v>56.4</v>
      </c>
      <c r="AD44" s="103">
        <v>49.4</v>
      </c>
      <c r="AE44" s="103">
        <v>44.2</v>
      </c>
      <c r="AF44" s="103">
        <v>40.200000000000003</v>
      </c>
      <c r="AG44" s="103">
        <v>36.9</v>
      </c>
      <c r="AH44" s="103">
        <v>34.299999999999997</v>
      </c>
      <c r="AI44" s="103">
        <v>32.1</v>
      </c>
      <c r="AJ44" s="103">
        <v>30.3</v>
      </c>
      <c r="AK44" s="103"/>
      <c r="AL44" s="103"/>
      <c r="AM44" s="103"/>
      <c r="AN44" s="103"/>
      <c r="AO44" s="103"/>
      <c r="AP44" s="103"/>
      <c r="AQ44" s="103"/>
    </row>
    <row r="45" spans="1:43" x14ac:dyDescent="0.25">
      <c r="A45" s="17">
        <v>54</v>
      </c>
      <c r="B45" s="103">
        <v>333.3</v>
      </c>
      <c r="C45" s="103">
        <v>170.4</v>
      </c>
      <c r="D45" s="103">
        <v>116.1</v>
      </c>
      <c r="E45" s="103">
        <v>89</v>
      </c>
      <c r="F45" s="103">
        <v>72.8</v>
      </c>
      <c r="G45" s="103">
        <v>62</v>
      </c>
      <c r="H45" s="103">
        <v>54.4</v>
      </c>
      <c r="I45" s="103">
        <v>48.6</v>
      </c>
      <c r="J45" s="103">
        <v>44.2</v>
      </c>
      <c r="K45" s="103">
        <v>40.6</v>
      </c>
      <c r="L45" s="103">
        <v>37.799999999999997</v>
      </c>
      <c r="M45" s="103">
        <v>35.4</v>
      </c>
      <c r="N45" s="103"/>
      <c r="O45" s="103"/>
      <c r="P45" s="103"/>
      <c r="Q45" s="103"/>
      <c r="R45" s="103"/>
      <c r="S45" s="103"/>
      <c r="T45" s="103"/>
      <c r="U45" s="103"/>
      <c r="W45" s="17">
        <v>54</v>
      </c>
      <c r="X45" s="103">
        <v>308.89999999999998</v>
      </c>
      <c r="Y45" s="103">
        <v>157.9</v>
      </c>
      <c r="Z45" s="103">
        <v>107.6</v>
      </c>
      <c r="AA45" s="103">
        <v>82.5</v>
      </c>
      <c r="AB45" s="103">
        <v>67.5</v>
      </c>
      <c r="AC45" s="103">
        <v>57.5</v>
      </c>
      <c r="AD45" s="103">
        <v>50.4</v>
      </c>
      <c r="AE45" s="103">
        <v>45.1</v>
      </c>
      <c r="AF45" s="103">
        <v>40.9</v>
      </c>
      <c r="AG45" s="103">
        <v>37.700000000000003</v>
      </c>
      <c r="AH45" s="103">
        <v>35</v>
      </c>
      <c r="AI45" s="103">
        <v>32.799999999999997</v>
      </c>
      <c r="AJ45" s="103"/>
      <c r="AK45" s="103"/>
      <c r="AL45" s="103"/>
      <c r="AM45" s="103"/>
      <c r="AN45" s="103"/>
      <c r="AO45" s="103"/>
      <c r="AP45" s="103"/>
      <c r="AQ45" s="103"/>
    </row>
    <row r="46" spans="1:43" x14ac:dyDescent="0.25">
      <c r="A46" s="17">
        <v>55</v>
      </c>
      <c r="B46" s="103">
        <v>338.9</v>
      </c>
      <c r="C46" s="103">
        <v>173.3</v>
      </c>
      <c r="D46" s="103">
        <v>118.1</v>
      </c>
      <c r="E46" s="103">
        <v>90.6</v>
      </c>
      <c r="F46" s="103">
        <v>74.099999999999994</v>
      </c>
      <c r="G46" s="103">
        <v>63.2</v>
      </c>
      <c r="H46" s="103">
        <v>55.3</v>
      </c>
      <c r="I46" s="103">
        <v>49.5</v>
      </c>
      <c r="J46" s="103">
        <v>45</v>
      </c>
      <c r="K46" s="103">
        <v>41.4</v>
      </c>
      <c r="L46" s="103">
        <v>38.5</v>
      </c>
      <c r="M46" s="103"/>
      <c r="N46" s="103"/>
      <c r="O46" s="103"/>
      <c r="P46" s="103"/>
      <c r="Q46" s="103"/>
      <c r="R46" s="103"/>
      <c r="S46" s="103"/>
      <c r="T46" s="103"/>
      <c r="U46" s="103"/>
      <c r="W46" s="17">
        <v>55</v>
      </c>
      <c r="X46" s="103">
        <v>314.3</v>
      </c>
      <c r="Y46" s="103">
        <v>160.69999999999999</v>
      </c>
      <c r="Z46" s="103">
        <v>109.5</v>
      </c>
      <c r="AA46" s="103">
        <v>84</v>
      </c>
      <c r="AB46" s="103">
        <v>68.7</v>
      </c>
      <c r="AC46" s="103">
        <v>58.6</v>
      </c>
      <c r="AD46" s="103">
        <v>51.3</v>
      </c>
      <c r="AE46" s="103">
        <v>45.9</v>
      </c>
      <c r="AF46" s="103">
        <v>41.7</v>
      </c>
      <c r="AG46" s="103">
        <v>38.4</v>
      </c>
      <c r="AH46" s="103">
        <v>35.700000000000003</v>
      </c>
      <c r="AI46" s="103"/>
      <c r="AJ46" s="103"/>
      <c r="AK46" s="103"/>
      <c r="AL46" s="103"/>
      <c r="AM46" s="103"/>
      <c r="AN46" s="103"/>
      <c r="AO46" s="103"/>
      <c r="AP46" s="103"/>
      <c r="AQ46" s="103"/>
    </row>
    <row r="47" spans="1:43" x14ac:dyDescent="0.25">
      <c r="A47" s="17">
        <v>56</v>
      </c>
      <c r="B47" s="103">
        <v>344.7</v>
      </c>
      <c r="C47" s="103">
        <v>176.3</v>
      </c>
      <c r="D47" s="103">
        <v>120.2</v>
      </c>
      <c r="E47" s="103">
        <v>92.2</v>
      </c>
      <c r="F47" s="103">
        <v>75.400000000000006</v>
      </c>
      <c r="G47" s="103">
        <v>64.3</v>
      </c>
      <c r="H47" s="103">
        <v>56.4</v>
      </c>
      <c r="I47" s="103">
        <v>50.4</v>
      </c>
      <c r="J47" s="103">
        <v>45.8</v>
      </c>
      <c r="K47" s="103">
        <v>42.2</v>
      </c>
      <c r="L47" s="103"/>
      <c r="M47" s="103"/>
      <c r="N47" s="103"/>
      <c r="O47" s="103"/>
      <c r="P47" s="103"/>
      <c r="Q47" s="103"/>
      <c r="R47" s="103"/>
      <c r="S47" s="103"/>
      <c r="T47" s="103"/>
      <c r="U47" s="103"/>
      <c r="W47" s="17">
        <v>56</v>
      </c>
      <c r="X47" s="103">
        <v>319.8</v>
      </c>
      <c r="Y47" s="103">
        <v>163.6</v>
      </c>
      <c r="Z47" s="103">
        <v>111.5</v>
      </c>
      <c r="AA47" s="103">
        <v>85.5</v>
      </c>
      <c r="AB47" s="103">
        <v>70</v>
      </c>
      <c r="AC47" s="103">
        <v>59.7</v>
      </c>
      <c r="AD47" s="103">
        <v>52.3</v>
      </c>
      <c r="AE47" s="103">
        <v>46.8</v>
      </c>
      <c r="AF47" s="103">
        <v>42.5</v>
      </c>
      <c r="AG47" s="103">
        <v>39.1</v>
      </c>
      <c r="AH47" s="103"/>
      <c r="AI47" s="103"/>
      <c r="AJ47" s="103"/>
      <c r="AK47" s="103"/>
      <c r="AL47" s="103"/>
      <c r="AM47" s="103"/>
      <c r="AN47" s="103"/>
      <c r="AO47" s="103"/>
      <c r="AP47" s="103"/>
      <c r="AQ47" s="103"/>
    </row>
    <row r="48" spans="1:43" x14ac:dyDescent="0.25">
      <c r="A48" s="17">
        <v>57</v>
      </c>
      <c r="B48" s="103">
        <v>350.5</v>
      </c>
      <c r="C48" s="103">
        <v>179.3</v>
      </c>
      <c r="D48" s="103">
        <v>122.3</v>
      </c>
      <c r="E48" s="103">
        <v>93.8</v>
      </c>
      <c r="F48" s="103">
        <v>76.8</v>
      </c>
      <c r="G48" s="103">
        <v>65.5</v>
      </c>
      <c r="H48" s="103">
        <v>57.4</v>
      </c>
      <c r="I48" s="103">
        <v>51.4</v>
      </c>
      <c r="J48" s="103">
        <v>46.7</v>
      </c>
      <c r="K48" s="103"/>
      <c r="L48" s="103"/>
      <c r="M48" s="103"/>
      <c r="N48" s="103"/>
      <c r="O48" s="103"/>
      <c r="P48" s="103"/>
      <c r="Q48" s="103"/>
      <c r="R48" s="103"/>
      <c r="S48" s="103"/>
      <c r="T48" s="103"/>
      <c r="U48" s="103"/>
      <c r="W48" s="17">
        <v>57</v>
      </c>
      <c r="X48" s="103">
        <v>325.5</v>
      </c>
      <c r="Y48" s="103">
        <v>166.5</v>
      </c>
      <c r="Z48" s="103">
        <v>113.6</v>
      </c>
      <c r="AA48" s="103">
        <v>87.1</v>
      </c>
      <c r="AB48" s="103">
        <v>71.3</v>
      </c>
      <c r="AC48" s="103">
        <v>60.8</v>
      </c>
      <c r="AD48" s="103">
        <v>53.3</v>
      </c>
      <c r="AE48" s="103">
        <v>47.7</v>
      </c>
      <c r="AF48" s="103">
        <v>43.4</v>
      </c>
      <c r="AG48" s="103"/>
      <c r="AH48" s="103"/>
      <c r="AI48" s="103"/>
      <c r="AJ48" s="103"/>
      <c r="AK48" s="103"/>
      <c r="AL48" s="103"/>
      <c r="AM48" s="103"/>
      <c r="AN48" s="103"/>
      <c r="AO48" s="103"/>
      <c r="AP48" s="103"/>
      <c r="AQ48" s="103"/>
    </row>
    <row r="49" spans="1:43" x14ac:dyDescent="0.25">
      <c r="A49" s="17">
        <v>58</v>
      </c>
      <c r="B49" s="103">
        <v>356.5</v>
      </c>
      <c r="C49" s="103">
        <v>182.4</v>
      </c>
      <c r="D49" s="103">
        <v>124.5</v>
      </c>
      <c r="E49" s="103">
        <v>95.5</v>
      </c>
      <c r="F49" s="103">
        <v>78.2</v>
      </c>
      <c r="G49" s="103">
        <v>66.7</v>
      </c>
      <c r="H49" s="103">
        <v>58.5</v>
      </c>
      <c r="I49" s="103">
        <v>52.3</v>
      </c>
      <c r="J49" s="103"/>
      <c r="K49" s="103"/>
      <c r="L49" s="103"/>
      <c r="M49" s="103"/>
      <c r="N49" s="103"/>
      <c r="O49" s="103"/>
      <c r="P49" s="103"/>
      <c r="Q49" s="103"/>
      <c r="R49" s="103"/>
      <c r="S49" s="103"/>
      <c r="T49" s="103"/>
      <c r="U49" s="103"/>
      <c r="W49" s="17">
        <v>58</v>
      </c>
      <c r="X49" s="103">
        <v>331.3</v>
      </c>
      <c r="Y49" s="103">
        <v>169.5</v>
      </c>
      <c r="Z49" s="103">
        <v>115.6</v>
      </c>
      <c r="AA49" s="103">
        <v>88.8</v>
      </c>
      <c r="AB49" s="103">
        <v>72.7</v>
      </c>
      <c r="AC49" s="103">
        <v>61.9</v>
      </c>
      <c r="AD49" s="103">
        <v>54.3</v>
      </c>
      <c r="AE49" s="103">
        <v>48.6</v>
      </c>
      <c r="AF49" s="103"/>
      <c r="AG49" s="103"/>
      <c r="AH49" s="103"/>
      <c r="AI49" s="103"/>
      <c r="AJ49" s="103"/>
      <c r="AK49" s="103"/>
      <c r="AL49" s="103"/>
      <c r="AM49" s="103"/>
      <c r="AN49" s="103"/>
      <c r="AO49" s="103"/>
      <c r="AP49" s="103"/>
      <c r="AQ49" s="103"/>
    </row>
    <row r="50" spans="1:43" x14ac:dyDescent="0.25">
      <c r="A50" s="17">
        <v>59</v>
      </c>
      <c r="B50" s="103">
        <v>362.7</v>
      </c>
      <c r="C50" s="103">
        <v>185.6</v>
      </c>
      <c r="D50" s="103">
        <v>126.7</v>
      </c>
      <c r="E50" s="103">
        <v>97.2</v>
      </c>
      <c r="F50" s="103">
        <v>79.599999999999994</v>
      </c>
      <c r="G50" s="103">
        <v>67.900000000000006</v>
      </c>
      <c r="H50" s="103">
        <v>59.6</v>
      </c>
      <c r="I50" s="103"/>
      <c r="J50" s="103"/>
      <c r="K50" s="103"/>
      <c r="L50" s="103"/>
      <c r="M50" s="103"/>
      <c r="N50" s="103"/>
      <c r="O50" s="103"/>
      <c r="P50" s="103"/>
      <c r="Q50" s="103"/>
      <c r="R50" s="103"/>
      <c r="S50" s="103"/>
      <c r="T50" s="103"/>
      <c r="U50" s="103"/>
      <c r="W50" s="17">
        <v>59</v>
      </c>
      <c r="X50" s="103">
        <v>337.3</v>
      </c>
      <c r="Y50" s="103">
        <v>172.6</v>
      </c>
      <c r="Z50" s="103">
        <v>117.8</v>
      </c>
      <c r="AA50" s="103">
        <v>90.4</v>
      </c>
      <c r="AB50" s="103">
        <v>74</v>
      </c>
      <c r="AC50" s="103">
        <v>63.1</v>
      </c>
      <c r="AD50" s="103">
        <v>55.4</v>
      </c>
      <c r="AE50" s="103"/>
      <c r="AF50" s="103"/>
      <c r="AG50" s="103"/>
      <c r="AH50" s="103"/>
      <c r="AI50" s="103"/>
      <c r="AJ50" s="103"/>
      <c r="AK50" s="103"/>
      <c r="AL50" s="103"/>
      <c r="AM50" s="103"/>
      <c r="AN50" s="103"/>
      <c r="AO50" s="103"/>
      <c r="AP50" s="103"/>
      <c r="AQ50" s="103"/>
    </row>
    <row r="51" spans="1:43" x14ac:dyDescent="0.25">
      <c r="A51" s="17">
        <v>60</v>
      </c>
      <c r="B51" s="103">
        <v>369</v>
      </c>
      <c r="C51" s="103">
        <v>188.9</v>
      </c>
      <c r="D51" s="103">
        <v>128.9</v>
      </c>
      <c r="E51" s="103">
        <v>99</v>
      </c>
      <c r="F51" s="103">
        <v>81.099999999999994</v>
      </c>
      <c r="G51" s="103">
        <v>69.2</v>
      </c>
      <c r="H51" s="103"/>
      <c r="I51" s="103"/>
      <c r="J51" s="103"/>
      <c r="K51" s="103"/>
      <c r="L51" s="103"/>
      <c r="M51" s="103"/>
      <c r="N51" s="103"/>
      <c r="O51" s="103"/>
      <c r="P51" s="103"/>
      <c r="Q51" s="103"/>
      <c r="R51" s="103"/>
      <c r="S51" s="103"/>
      <c r="T51" s="103"/>
      <c r="U51" s="103"/>
      <c r="W51" s="17">
        <v>60</v>
      </c>
      <c r="X51" s="103">
        <v>343.4</v>
      </c>
      <c r="Y51" s="103">
        <v>175.8</v>
      </c>
      <c r="Z51" s="103">
        <v>120</v>
      </c>
      <c r="AA51" s="103">
        <v>92.1</v>
      </c>
      <c r="AB51" s="103">
        <v>75.5</v>
      </c>
      <c r="AC51" s="103">
        <v>64.400000000000006</v>
      </c>
      <c r="AD51" s="103"/>
      <c r="AE51" s="103"/>
      <c r="AF51" s="103"/>
      <c r="AG51" s="103"/>
      <c r="AH51" s="103"/>
      <c r="AI51" s="103"/>
      <c r="AJ51" s="103"/>
      <c r="AK51" s="103"/>
      <c r="AL51" s="103"/>
      <c r="AM51" s="103"/>
      <c r="AN51" s="103"/>
      <c r="AO51" s="103"/>
      <c r="AP51" s="103"/>
      <c r="AQ51" s="103"/>
    </row>
    <row r="52" spans="1:43" x14ac:dyDescent="0.25">
      <c r="A52" s="17">
        <v>61</v>
      </c>
      <c r="B52" s="103">
        <v>375.5</v>
      </c>
      <c r="C52" s="103">
        <v>192.3</v>
      </c>
      <c r="D52" s="103">
        <v>131.30000000000001</v>
      </c>
      <c r="E52" s="103">
        <v>100.8</v>
      </c>
      <c r="F52" s="103">
        <v>82.6</v>
      </c>
      <c r="G52" s="103"/>
      <c r="H52" s="103"/>
      <c r="I52" s="103"/>
      <c r="J52" s="103"/>
      <c r="K52" s="103"/>
      <c r="L52" s="103"/>
      <c r="M52" s="103"/>
      <c r="N52" s="103"/>
      <c r="O52" s="103"/>
      <c r="P52" s="103"/>
      <c r="Q52" s="103"/>
      <c r="R52" s="103"/>
      <c r="S52" s="103"/>
      <c r="T52" s="103"/>
      <c r="U52" s="103"/>
      <c r="W52" s="17">
        <v>61</v>
      </c>
      <c r="X52" s="103">
        <v>349.7</v>
      </c>
      <c r="Y52" s="103">
        <v>179.1</v>
      </c>
      <c r="Z52" s="103">
        <v>122.3</v>
      </c>
      <c r="AA52" s="103">
        <v>93.9</v>
      </c>
      <c r="AB52" s="103">
        <v>76.900000000000006</v>
      </c>
      <c r="AC52" s="103"/>
      <c r="AD52" s="103"/>
      <c r="AE52" s="103"/>
      <c r="AF52" s="103"/>
      <c r="AG52" s="103"/>
      <c r="AH52" s="103"/>
      <c r="AI52" s="103"/>
      <c r="AJ52" s="103"/>
      <c r="AK52" s="103"/>
      <c r="AL52" s="103"/>
      <c r="AM52" s="103"/>
      <c r="AN52" s="103"/>
      <c r="AO52" s="103"/>
      <c r="AP52" s="103"/>
      <c r="AQ52" s="103"/>
    </row>
    <row r="53" spans="1:43" x14ac:dyDescent="0.25">
      <c r="A53" s="17">
        <v>62</v>
      </c>
      <c r="B53" s="103">
        <v>382.1</v>
      </c>
      <c r="C53" s="103">
        <v>195.7</v>
      </c>
      <c r="D53" s="103">
        <v>133.6</v>
      </c>
      <c r="E53" s="103">
        <v>102.7</v>
      </c>
      <c r="F53" s="103"/>
      <c r="G53" s="103"/>
      <c r="H53" s="103"/>
      <c r="I53" s="103"/>
      <c r="J53" s="103"/>
      <c r="K53" s="103"/>
      <c r="L53" s="103"/>
      <c r="M53" s="103"/>
      <c r="N53" s="103"/>
      <c r="O53" s="103"/>
      <c r="P53" s="103"/>
      <c r="Q53" s="103"/>
      <c r="R53" s="103"/>
      <c r="S53" s="103"/>
      <c r="T53" s="103"/>
      <c r="U53" s="103"/>
      <c r="W53" s="17">
        <v>62</v>
      </c>
      <c r="X53" s="103">
        <v>356.2</v>
      </c>
      <c r="Y53" s="103">
        <v>182.5</v>
      </c>
      <c r="Z53" s="103">
        <v>124.6</v>
      </c>
      <c r="AA53" s="103">
        <v>95.7</v>
      </c>
      <c r="AB53" s="103"/>
      <c r="AC53" s="103"/>
      <c r="AD53" s="103"/>
      <c r="AE53" s="103"/>
      <c r="AF53" s="103"/>
      <c r="AG53" s="103"/>
      <c r="AH53" s="103"/>
      <c r="AI53" s="103"/>
      <c r="AJ53" s="103"/>
      <c r="AK53" s="103"/>
      <c r="AL53" s="103"/>
      <c r="AM53" s="103"/>
      <c r="AN53" s="103"/>
      <c r="AO53" s="103"/>
      <c r="AP53" s="103"/>
      <c r="AQ53" s="103"/>
    </row>
    <row r="54" spans="1:43" x14ac:dyDescent="0.25">
      <c r="A54" s="17">
        <v>63</v>
      </c>
      <c r="B54" s="103">
        <v>389</v>
      </c>
      <c r="C54" s="103">
        <v>199.3</v>
      </c>
      <c r="D54" s="103">
        <v>136.1</v>
      </c>
      <c r="E54" s="103"/>
      <c r="F54" s="103"/>
      <c r="G54" s="103"/>
      <c r="H54" s="103"/>
      <c r="I54" s="103"/>
      <c r="J54" s="103"/>
      <c r="K54" s="103"/>
      <c r="L54" s="103"/>
      <c r="M54" s="103"/>
      <c r="N54" s="103"/>
      <c r="O54" s="103"/>
      <c r="P54" s="103"/>
      <c r="Q54" s="103"/>
      <c r="R54" s="103"/>
      <c r="S54" s="103"/>
      <c r="T54" s="103"/>
      <c r="U54" s="103"/>
      <c r="W54" s="17">
        <v>63</v>
      </c>
      <c r="X54" s="103">
        <v>363</v>
      </c>
      <c r="Y54" s="103">
        <v>186</v>
      </c>
      <c r="Z54" s="103">
        <v>127</v>
      </c>
      <c r="AA54" s="103"/>
      <c r="AB54" s="103"/>
      <c r="AC54" s="103"/>
      <c r="AD54" s="103"/>
      <c r="AE54" s="103"/>
      <c r="AF54" s="103"/>
      <c r="AG54" s="103"/>
      <c r="AH54" s="103"/>
      <c r="AI54" s="103"/>
      <c r="AJ54" s="103"/>
      <c r="AK54" s="103"/>
      <c r="AL54" s="103"/>
      <c r="AM54" s="103"/>
      <c r="AN54" s="103"/>
      <c r="AO54" s="103"/>
      <c r="AP54" s="103"/>
      <c r="AQ54" s="103"/>
    </row>
    <row r="55" spans="1:43" x14ac:dyDescent="0.25">
      <c r="A55" s="17">
        <v>64</v>
      </c>
      <c r="B55" s="103">
        <v>396.2</v>
      </c>
      <c r="C55" s="103">
        <v>203</v>
      </c>
      <c r="D55" s="103"/>
      <c r="E55" s="103"/>
      <c r="F55" s="103"/>
      <c r="G55" s="103"/>
      <c r="H55" s="103"/>
      <c r="I55" s="103"/>
      <c r="J55" s="103"/>
      <c r="K55" s="103"/>
      <c r="L55" s="103"/>
      <c r="M55" s="103"/>
      <c r="N55" s="103"/>
      <c r="O55" s="103"/>
      <c r="P55" s="103"/>
      <c r="Q55" s="103"/>
      <c r="R55" s="103"/>
      <c r="S55" s="103"/>
      <c r="T55" s="103"/>
      <c r="U55" s="103"/>
      <c r="W55" s="17">
        <v>64</v>
      </c>
      <c r="X55" s="103">
        <v>370.1</v>
      </c>
      <c r="Y55" s="103">
        <v>189.7</v>
      </c>
      <c r="Z55" s="103"/>
      <c r="AA55" s="103"/>
      <c r="AB55" s="103"/>
      <c r="AC55" s="103"/>
      <c r="AD55" s="103"/>
      <c r="AE55" s="103"/>
      <c r="AF55" s="103"/>
      <c r="AG55" s="103"/>
      <c r="AH55" s="103"/>
      <c r="AI55" s="103"/>
      <c r="AJ55" s="103"/>
      <c r="AK55" s="103"/>
      <c r="AL55" s="103"/>
      <c r="AM55" s="103"/>
      <c r="AN55" s="103"/>
      <c r="AO55" s="103"/>
      <c r="AP55" s="103"/>
      <c r="AQ55" s="103"/>
    </row>
    <row r="56" spans="1:43" x14ac:dyDescent="0.25">
      <c r="A56" s="17">
        <v>65</v>
      </c>
      <c r="B56" s="103">
        <v>403.8</v>
      </c>
      <c r="C56" s="103"/>
      <c r="D56" s="103"/>
      <c r="E56" s="103"/>
      <c r="F56" s="103"/>
      <c r="G56" s="103"/>
      <c r="H56" s="103"/>
      <c r="I56" s="103"/>
      <c r="J56" s="103"/>
      <c r="K56" s="103"/>
      <c r="L56" s="103"/>
      <c r="M56" s="103"/>
      <c r="N56" s="103"/>
      <c r="O56" s="103"/>
      <c r="P56" s="103"/>
      <c r="Q56" s="103"/>
      <c r="R56" s="103"/>
      <c r="S56" s="103"/>
      <c r="T56" s="103"/>
      <c r="U56" s="103"/>
      <c r="W56" s="17">
        <v>65</v>
      </c>
      <c r="X56" s="103">
        <v>377.6</v>
      </c>
      <c r="Y56" s="103"/>
      <c r="Z56" s="103"/>
      <c r="AA56" s="103"/>
      <c r="AB56" s="103"/>
      <c r="AC56" s="103"/>
      <c r="AD56" s="103"/>
      <c r="AE56" s="103"/>
      <c r="AF56" s="103"/>
      <c r="AG56" s="103"/>
      <c r="AH56" s="103"/>
      <c r="AI56" s="103"/>
      <c r="AJ56" s="103"/>
      <c r="AK56" s="103"/>
      <c r="AL56" s="103"/>
      <c r="AM56" s="103"/>
      <c r="AN56" s="103"/>
      <c r="AO56" s="103"/>
      <c r="AP56" s="103"/>
      <c r="AQ56" s="103"/>
    </row>
    <row r="57" spans="1:43" x14ac:dyDescent="0.25">
      <c r="A57" s="17"/>
      <c r="B57" s="103"/>
      <c r="C57" s="103"/>
      <c r="D57" s="103"/>
      <c r="E57" s="103"/>
      <c r="F57" s="103"/>
      <c r="G57" s="103"/>
      <c r="H57" s="103"/>
      <c r="I57" s="103"/>
      <c r="J57" s="103"/>
      <c r="K57" s="103"/>
      <c r="L57" s="103"/>
      <c r="M57" s="103"/>
      <c r="N57" s="103"/>
      <c r="O57" s="103"/>
      <c r="P57" s="103"/>
      <c r="Q57" s="103"/>
      <c r="R57" s="103"/>
      <c r="S57" s="103"/>
      <c r="T57" s="103"/>
      <c r="U57" s="103"/>
      <c r="W57" s="17"/>
      <c r="X57" s="103"/>
      <c r="Y57" s="103"/>
      <c r="Z57" s="103"/>
      <c r="AA57" s="103"/>
      <c r="AB57" s="103"/>
      <c r="AC57" s="103"/>
      <c r="AD57" s="103"/>
      <c r="AE57" s="103"/>
      <c r="AF57" s="103"/>
      <c r="AG57" s="103"/>
      <c r="AH57" s="103"/>
      <c r="AI57" s="103"/>
      <c r="AJ57" s="103"/>
      <c r="AK57" s="103"/>
      <c r="AL57" s="103"/>
      <c r="AM57" s="103"/>
      <c r="AN57" s="103"/>
      <c r="AO57" s="103"/>
      <c r="AP57" s="103"/>
      <c r="AQ57" s="103"/>
    </row>
  </sheetData>
  <mergeCells count="2">
    <mergeCell ref="B5:U5"/>
    <mergeCell ref="X5:AQ5"/>
  </mergeCells>
  <conditionalFormatting sqref="U1:V2">
    <cfRule type="expression" dxfId="9" priority="1" stopIfTrue="1">
      <formula>MOD(ROW(),2)=0</formula>
    </cfRule>
    <cfRule type="expression" dxfId="8" priority="2" stopIfTrue="1">
      <formula>MOD(ROW(),2)&lt;&gt;0</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dimension ref="A1:AQ57"/>
  <sheetViews>
    <sheetView topLeftCell="J1" workbookViewId="0">
      <selection activeCell="U1" sqref="U1:V2"/>
    </sheetView>
  </sheetViews>
  <sheetFormatPr defaultColWidth="9.140625" defaultRowHeight="15" x14ac:dyDescent="0.25"/>
  <cols>
    <col min="1" max="1" width="14.28515625" style="15" customWidth="1"/>
    <col min="2" max="3" width="8.85546875" style="15" customWidth="1"/>
    <col min="4" max="4" width="9.140625" style="15"/>
    <col min="5" max="5" width="8.85546875" style="15" customWidth="1"/>
    <col min="6" max="21" width="9.140625" style="15"/>
    <col min="22" max="22" width="14.140625" style="15" bestFit="1" customWidth="1"/>
    <col min="23" max="23" width="14.28515625" style="15" customWidth="1"/>
    <col min="24" max="16384" width="9.140625" style="15"/>
  </cols>
  <sheetData>
    <row r="1" spans="1:43" ht="51.75" x14ac:dyDescent="0.25">
      <c r="U1" s="112" t="s">
        <v>140</v>
      </c>
      <c r="V1" s="114">
        <v>46204</v>
      </c>
    </row>
    <row r="2" spans="1:43" ht="39" x14ac:dyDescent="0.25">
      <c r="A2" s="16" t="s">
        <v>40</v>
      </c>
      <c r="U2" s="112" t="s">
        <v>142</v>
      </c>
      <c r="V2" s="112" t="s">
        <v>143</v>
      </c>
      <c r="W2" s="16" t="s">
        <v>40</v>
      </c>
    </row>
    <row r="3" spans="1:43" ht="21" x14ac:dyDescent="0.35">
      <c r="A3" s="16" t="s">
        <v>70</v>
      </c>
      <c r="J3" s="111" t="s">
        <v>131</v>
      </c>
      <c r="W3" s="16" t="s">
        <v>71</v>
      </c>
      <c r="AE3" s="111" t="s">
        <v>130</v>
      </c>
    </row>
    <row r="4" spans="1:43" ht="15.75" thickBot="1" x14ac:dyDescent="0.3"/>
    <row r="5" spans="1:43" ht="51" customHeight="1" thickBot="1" x14ac:dyDescent="0.3">
      <c r="A5" s="18" t="s">
        <v>63</v>
      </c>
      <c r="B5" s="222" t="s">
        <v>41</v>
      </c>
      <c r="C5" s="222"/>
      <c r="D5" s="222"/>
      <c r="E5" s="222"/>
      <c r="F5" s="222"/>
      <c r="G5" s="222"/>
      <c r="H5" s="222"/>
      <c r="I5" s="222"/>
      <c r="J5" s="222"/>
      <c r="K5" s="222"/>
      <c r="L5" s="222"/>
      <c r="M5" s="222"/>
      <c r="N5" s="222"/>
      <c r="O5" s="222"/>
      <c r="P5" s="222"/>
      <c r="Q5" s="222"/>
      <c r="R5" s="222"/>
      <c r="S5" s="222"/>
      <c r="T5" s="222"/>
      <c r="U5" s="222"/>
      <c r="W5" s="18" t="s">
        <v>63</v>
      </c>
      <c r="X5" s="222" t="s">
        <v>41</v>
      </c>
      <c r="Y5" s="222"/>
      <c r="Z5" s="222"/>
      <c r="AA5" s="222"/>
      <c r="AB5" s="222"/>
      <c r="AC5" s="222"/>
      <c r="AD5" s="222"/>
      <c r="AE5" s="222"/>
      <c r="AF5" s="222"/>
      <c r="AG5" s="222"/>
      <c r="AH5" s="222"/>
      <c r="AI5" s="222"/>
      <c r="AJ5" s="222"/>
      <c r="AK5" s="222"/>
      <c r="AL5" s="222"/>
      <c r="AM5" s="222"/>
      <c r="AN5" s="222"/>
      <c r="AO5" s="222"/>
      <c r="AP5" s="222"/>
      <c r="AQ5" s="222"/>
    </row>
    <row r="6" spans="1:43" ht="39" customHeight="1" thickBot="1" x14ac:dyDescent="0.3">
      <c r="A6" s="70" t="s">
        <v>64</v>
      </c>
      <c r="B6" s="19">
        <v>1</v>
      </c>
      <c r="C6" s="19">
        <v>2</v>
      </c>
      <c r="D6" s="19">
        <v>3</v>
      </c>
      <c r="E6" s="19">
        <v>4</v>
      </c>
      <c r="F6" s="19">
        <v>5</v>
      </c>
      <c r="G6" s="19">
        <v>6</v>
      </c>
      <c r="H6" s="19">
        <v>7</v>
      </c>
      <c r="I6" s="19">
        <v>8</v>
      </c>
      <c r="J6" s="19">
        <v>9</v>
      </c>
      <c r="K6" s="19">
        <v>10</v>
      </c>
      <c r="L6" s="19">
        <v>11</v>
      </c>
      <c r="M6" s="19">
        <v>12</v>
      </c>
      <c r="N6" s="19">
        <v>13</v>
      </c>
      <c r="O6" s="19">
        <v>14</v>
      </c>
      <c r="P6" s="19">
        <v>15</v>
      </c>
      <c r="Q6" s="19">
        <v>16</v>
      </c>
      <c r="R6" s="19">
        <v>17</v>
      </c>
      <c r="S6" s="19">
        <v>18</v>
      </c>
      <c r="T6" s="19">
        <v>19</v>
      </c>
      <c r="U6" s="19">
        <v>20</v>
      </c>
      <c r="W6" s="70" t="s">
        <v>64</v>
      </c>
      <c r="X6" s="19">
        <v>1</v>
      </c>
      <c r="Y6" s="19">
        <v>2</v>
      </c>
      <c r="Z6" s="19">
        <v>3</v>
      </c>
      <c r="AA6" s="19">
        <v>4</v>
      </c>
      <c r="AB6" s="19">
        <v>5</v>
      </c>
      <c r="AC6" s="19">
        <v>6</v>
      </c>
      <c r="AD6" s="19">
        <v>7</v>
      </c>
      <c r="AE6" s="19">
        <v>8</v>
      </c>
      <c r="AF6" s="19">
        <v>9</v>
      </c>
      <c r="AG6" s="19">
        <v>10</v>
      </c>
      <c r="AH6" s="19">
        <v>11</v>
      </c>
      <c r="AI6" s="19">
        <v>12</v>
      </c>
      <c r="AJ6" s="19">
        <v>13</v>
      </c>
      <c r="AK6" s="19">
        <v>14</v>
      </c>
      <c r="AL6" s="19">
        <v>15</v>
      </c>
      <c r="AM6" s="19">
        <v>16</v>
      </c>
      <c r="AN6" s="19">
        <v>17</v>
      </c>
      <c r="AO6" s="19">
        <v>18</v>
      </c>
      <c r="AP6" s="19">
        <v>19</v>
      </c>
      <c r="AQ6" s="19">
        <v>20</v>
      </c>
    </row>
    <row r="7" spans="1:43" x14ac:dyDescent="0.25">
      <c r="A7" s="17">
        <v>16</v>
      </c>
      <c r="B7" s="20"/>
      <c r="C7" s="20"/>
      <c r="D7" s="20"/>
      <c r="E7" s="20"/>
      <c r="F7" s="20"/>
      <c r="G7" s="20"/>
      <c r="H7" s="20"/>
      <c r="I7" s="20"/>
      <c r="J7" s="20"/>
      <c r="K7" s="20"/>
      <c r="L7" s="20"/>
      <c r="M7" s="20"/>
      <c r="N7" s="20"/>
      <c r="O7" s="20"/>
      <c r="P7" s="20"/>
      <c r="Q7" s="20"/>
      <c r="R7" s="20"/>
      <c r="S7" s="20"/>
      <c r="T7" s="20"/>
      <c r="U7" s="20"/>
      <c r="W7" s="17">
        <v>16</v>
      </c>
      <c r="X7" s="20"/>
      <c r="Y7" s="20"/>
      <c r="Z7" s="20"/>
      <c r="AA7" s="20"/>
      <c r="AB7" s="20"/>
      <c r="AC7" s="20"/>
      <c r="AD7" s="20"/>
      <c r="AE7" s="20"/>
      <c r="AF7" s="20"/>
      <c r="AG7" s="20"/>
      <c r="AH7" s="20"/>
      <c r="AI7" s="20"/>
      <c r="AJ7" s="20"/>
      <c r="AK7" s="20"/>
      <c r="AL7" s="20"/>
      <c r="AM7" s="20"/>
      <c r="AN7" s="20"/>
      <c r="AO7" s="20"/>
      <c r="AP7" s="20"/>
      <c r="AQ7" s="20"/>
    </row>
    <row r="8" spans="1:43" x14ac:dyDescent="0.25">
      <c r="A8" s="17">
        <v>17</v>
      </c>
      <c r="B8" s="20"/>
      <c r="C8" s="20"/>
      <c r="D8" s="20"/>
      <c r="E8" s="20"/>
      <c r="F8" s="20"/>
      <c r="G8" s="20"/>
      <c r="H8" s="20"/>
      <c r="I8" s="20"/>
      <c r="J8" s="20"/>
      <c r="K8" s="20"/>
      <c r="L8" s="20"/>
      <c r="M8" s="20"/>
      <c r="N8" s="20"/>
      <c r="O8" s="20"/>
      <c r="P8" s="20"/>
      <c r="Q8" s="20"/>
      <c r="R8" s="20"/>
      <c r="S8" s="20"/>
      <c r="T8" s="20"/>
      <c r="U8" s="20"/>
      <c r="W8" s="17">
        <v>17</v>
      </c>
      <c r="X8" s="20"/>
      <c r="Y8" s="20"/>
      <c r="Z8" s="20"/>
      <c r="AA8" s="20"/>
      <c r="AB8" s="20"/>
      <c r="AC8" s="20"/>
      <c r="AD8" s="20"/>
      <c r="AE8" s="20"/>
      <c r="AF8" s="20"/>
      <c r="AG8" s="20"/>
      <c r="AH8" s="20"/>
      <c r="AI8" s="20"/>
      <c r="AJ8" s="20"/>
      <c r="AK8" s="20"/>
      <c r="AL8" s="20"/>
      <c r="AM8" s="20"/>
      <c r="AN8" s="20"/>
      <c r="AO8" s="20"/>
      <c r="AP8" s="20"/>
      <c r="AQ8" s="20"/>
    </row>
    <row r="9" spans="1:43" x14ac:dyDescent="0.25">
      <c r="A9" s="17">
        <v>18</v>
      </c>
      <c r="B9" s="20"/>
      <c r="C9" s="20"/>
      <c r="D9" s="20"/>
      <c r="E9" s="20"/>
      <c r="F9" s="20"/>
      <c r="G9" s="20"/>
      <c r="H9" s="20"/>
      <c r="I9" s="20"/>
      <c r="J9" s="20"/>
      <c r="K9" s="20"/>
      <c r="L9" s="20"/>
      <c r="M9" s="20"/>
      <c r="N9" s="20"/>
      <c r="O9" s="20"/>
      <c r="P9" s="20"/>
      <c r="Q9" s="20"/>
      <c r="R9" s="20"/>
      <c r="S9" s="20"/>
      <c r="T9" s="20"/>
      <c r="U9" s="20"/>
      <c r="W9" s="17">
        <v>18</v>
      </c>
      <c r="X9" s="20"/>
      <c r="Y9" s="20"/>
      <c r="Z9" s="20"/>
      <c r="AA9" s="20"/>
      <c r="AB9" s="20"/>
      <c r="AC9" s="20"/>
      <c r="AD9" s="20"/>
      <c r="AE9" s="20"/>
      <c r="AF9" s="20"/>
      <c r="AG9" s="20"/>
      <c r="AH9" s="20"/>
      <c r="AI9" s="20"/>
      <c r="AJ9" s="20"/>
      <c r="AK9" s="20"/>
      <c r="AL9" s="20"/>
      <c r="AM9" s="20"/>
      <c r="AN9" s="20"/>
      <c r="AO9" s="20"/>
      <c r="AP9" s="20"/>
      <c r="AQ9" s="20"/>
    </row>
    <row r="10" spans="1:43" x14ac:dyDescent="0.25">
      <c r="A10" s="17">
        <v>19</v>
      </c>
      <c r="B10" s="20"/>
      <c r="C10" s="20"/>
      <c r="D10" s="20"/>
      <c r="E10" s="20"/>
      <c r="F10" s="20"/>
      <c r="G10" s="20"/>
      <c r="H10" s="20"/>
      <c r="I10" s="20"/>
      <c r="J10" s="20"/>
      <c r="K10" s="20"/>
      <c r="L10" s="20"/>
      <c r="M10" s="20"/>
      <c r="N10" s="20"/>
      <c r="O10" s="20"/>
      <c r="P10" s="20"/>
      <c r="Q10" s="20"/>
      <c r="R10" s="20"/>
      <c r="S10" s="20"/>
      <c r="T10" s="20"/>
      <c r="U10" s="20"/>
      <c r="W10" s="17">
        <v>19</v>
      </c>
      <c r="X10" s="20"/>
      <c r="Y10" s="20"/>
      <c r="Z10" s="20"/>
      <c r="AA10" s="20"/>
      <c r="AB10" s="20"/>
      <c r="AC10" s="20"/>
      <c r="AD10" s="20"/>
      <c r="AE10" s="20"/>
      <c r="AF10" s="20"/>
      <c r="AG10" s="20"/>
      <c r="AH10" s="20"/>
      <c r="AI10" s="20"/>
      <c r="AJ10" s="20"/>
      <c r="AK10" s="20"/>
      <c r="AL10" s="20"/>
      <c r="AM10" s="20"/>
      <c r="AN10" s="20"/>
      <c r="AO10" s="20"/>
      <c r="AP10" s="20"/>
      <c r="AQ10" s="20"/>
    </row>
    <row r="11" spans="1:43" x14ac:dyDescent="0.25">
      <c r="A11" s="17">
        <v>20</v>
      </c>
      <c r="B11" s="103">
        <v>177.5</v>
      </c>
      <c r="C11" s="103">
        <v>90.5</v>
      </c>
      <c r="D11" s="103">
        <v>61.5</v>
      </c>
      <c r="E11" s="103">
        <v>47</v>
      </c>
      <c r="F11" s="103">
        <v>38.4</v>
      </c>
      <c r="G11" s="103">
        <v>32.6</v>
      </c>
      <c r="H11" s="103">
        <v>28.5</v>
      </c>
      <c r="I11" s="103">
        <v>25.4</v>
      </c>
      <c r="J11" s="103">
        <v>23</v>
      </c>
      <c r="K11" s="103">
        <v>21.1</v>
      </c>
      <c r="L11" s="103">
        <v>19.5</v>
      </c>
      <c r="M11" s="103">
        <v>18.2</v>
      </c>
      <c r="N11" s="103">
        <v>17.100000000000001</v>
      </c>
      <c r="O11" s="103">
        <v>16.2</v>
      </c>
      <c r="P11" s="103">
        <v>15.4</v>
      </c>
      <c r="Q11" s="103">
        <v>14.7</v>
      </c>
      <c r="R11" s="103">
        <v>14.1</v>
      </c>
      <c r="S11" s="103">
        <v>13.5</v>
      </c>
      <c r="T11" s="103">
        <v>13</v>
      </c>
      <c r="U11" s="103">
        <v>12.6</v>
      </c>
      <c r="W11" s="17">
        <v>20</v>
      </c>
      <c r="X11" s="103">
        <v>162.9</v>
      </c>
      <c r="Y11" s="103">
        <v>83.1</v>
      </c>
      <c r="Z11" s="103">
        <v>56.5</v>
      </c>
      <c r="AA11" s="103">
        <v>43.2</v>
      </c>
      <c r="AB11" s="103">
        <v>35.200000000000003</v>
      </c>
      <c r="AC11" s="103">
        <v>29.9</v>
      </c>
      <c r="AD11" s="103">
        <v>26.1</v>
      </c>
      <c r="AE11" s="103">
        <v>23.3</v>
      </c>
      <c r="AF11" s="103">
        <v>21.1</v>
      </c>
      <c r="AG11" s="103">
        <v>19.399999999999999</v>
      </c>
      <c r="AH11" s="103">
        <v>17.899999999999999</v>
      </c>
      <c r="AI11" s="103">
        <v>16.7</v>
      </c>
      <c r="AJ11" s="103">
        <v>15.7</v>
      </c>
      <c r="AK11" s="103">
        <v>14.9</v>
      </c>
      <c r="AL11" s="103">
        <v>14.1</v>
      </c>
      <c r="AM11" s="103">
        <v>13.5</v>
      </c>
      <c r="AN11" s="103">
        <v>12.9</v>
      </c>
      <c r="AO11" s="103">
        <v>12.4</v>
      </c>
      <c r="AP11" s="103">
        <v>12</v>
      </c>
      <c r="AQ11" s="103">
        <v>11.6</v>
      </c>
    </row>
    <row r="12" spans="1:43" x14ac:dyDescent="0.25">
      <c r="A12" s="17">
        <v>21</v>
      </c>
      <c r="B12" s="103">
        <v>180.7</v>
      </c>
      <c r="C12" s="103">
        <v>92.1</v>
      </c>
      <c r="D12" s="103">
        <v>62.6</v>
      </c>
      <c r="E12" s="103">
        <v>47.9</v>
      </c>
      <c r="F12" s="103">
        <v>39.1</v>
      </c>
      <c r="G12" s="103">
        <v>33.200000000000003</v>
      </c>
      <c r="H12" s="103">
        <v>29</v>
      </c>
      <c r="I12" s="103">
        <v>25.8</v>
      </c>
      <c r="J12" s="103">
        <v>23.4</v>
      </c>
      <c r="K12" s="103">
        <v>21.5</v>
      </c>
      <c r="L12" s="103">
        <v>19.899999999999999</v>
      </c>
      <c r="M12" s="103">
        <v>18.600000000000001</v>
      </c>
      <c r="N12" s="103">
        <v>17.399999999999999</v>
      </c>
      <c r="O12" s="103">
        <v>16.5</v>
      </c>
      <c r="P12" s="103">
        <v>15.7</v>
      </c>
      <c r="Q12" s="103">
        <v>15</v>
      </c>
      <c r="R12" s="103">
        <v>14.3</v>
      </c>
      <c r="S12" s="103">
        <v>13.8</v>
      </c>
      <c r="T12" s="103">
        <v>13.3</v>
      </c>
      <c r="U12" s="103">
        <v>12.8</v>
      </c>
      <c r="W12" s="17">
        <v>21</v>
      </c>
      <c r="X12" s="103">
        <v>165.9</v>
      </c>
      <c r="Y12" s="103">
        <v>84.6</v>
      </c>
      <c r="Z12" s="103">
        <v>57.5</v>
      </c>
      <c r="AA12" s="103">
        <v>44</v>
      </c>
      <c r="AB12" s="103">
        <v>35.9</v>
      </c>
      <c r="AC12" s="103">
        <v>30.5</v>
      </c>
      <c r="AD12" s="103">
        <v>26.6</v>
      </c>
      <c r="AE12" s="103">
        <v>23.7</v>
      </c>
      <c r="AF12" s="103">
        <v>21.5</v>
      </c>
      <c r="AG12" s="103">
        <v>19.7</v>
      </c>
      <c r="AH12" s="103">
        <v>18.2</v>
      </c>
      <c r="AI12" s="103">
        <v>17</v>
      </c>
      <c r="AJ12" s="103">
        <v>16</v>
      </c>
      <c r="AK12" s="103">
        <v>15.1</v>
      </c>
      <c r="AL12" s="103">
        <v>14.4</v>
      </c>
      <c r="AM12" s="103">
        <v>13.7</v>
      </c>
      <c r="AN12" s="103">
        <v>13.2</v>
      </c>
      <c r="AO12" s="103">
        <v>12.7</v>
      </c>
      <c r="AP12" s="103">
        <v>12.2</v>
      </c>
      <c r="AQ12" s="103">
        <v>11.8</v>
      </c>
    </row>
    <row r="13" spans="1:43" x14ac:dyDescent="0.25">
      <c r="A13" s="17">
        <v>22</v>
      </c>
      <c r="B13" s="103">
        <v>183.9</v>
      </c>
      <c r="C13" s="103">
        <v>93.8</v>
      </c>
      <c r="D13" s="103">
        <v>63.8</v>
      </c>
      <c r="E13" s="103">
        <v>48.8</v>
      </c>
      <c r="F13" s="103">
        <v>39.799999999999997</v>
      </c>
      <c r="G13" s="103">
        <v>33.799999999999997</v>
      </c>
      <c r="H13" s="103">
        <v>29.5</v>
      </c>
      <c r="I13" s="103">
        <v>26.3</v>
      </c>
      <c r="J13" s="103">
        <v>23.8</v>
      </c>
      <c r="K13" s="103">
        <v>21.9</v>
      </c>
      <c r="L13" s="103">
        <v>20.2</v>
      </c>
      <c r="M13" s="103">
        <v>18.899999999999999</v>
      </c>
      <c r="N13" s="103">
        <v>17.8</v>
      </c>
      <c r="O13" s="103">
        <v>16.8</v>
      </c>
      <c r="P13" s="103">
        <v>16</v>
      </c>
      <c r="Q13" s="103">
        <v>15.2</v>
      </c>
      <c r="R13" s="103">
        <v>14.6</v>
      </c>
      <c r="S13" s="103">
        <v>14</v>
      </c>
      <c r="T13" s="103">
        <v>13.5</v>
      </c>
      <c r="U13" s="103">
        <v>13.1</v>
      </c>
      <c r="W13" s="17">
        <v>22</v>
      </c>
      <c r="X13" s="103">
        <v>168.8</v>
      </c>
      <c r="Y13" s="103">
        <v>86.1</v>
      </c>
      <c r="Z13" s="103">
        <v>58.5</v>
      </c>
      <c r="AA13" s="103">
        <v>44.8</v>
      </c>
      <c r="AB13" s="103">
        <v>36.5</v>
      </c>
      <c r="AC13" s="103">
        <v>31</v>
      </c>
      <c r="AD13" s="103">
        <v>27.1</v>
      </c>
      <c r="AE13" s="103">
        <v>24.2</v>
      </c>
      <c r="AF13" s="103">
        <v>21.9</v>
      </c>
      <c r="AG13" s="103">
        <v>20.100000000000001</v>
      </c>
      <c r="AH13" s="103">
        <v>18.600000000000001</v>
      </c>
      <c r="AI13" s="103">
        <v>17.3</v>
      </c>
      <c r="AJ13" s="103">
        <v>16.3</v>
      </c>
      <c r="AK13" s="103">
        <v>15.4</v>
      </c>
      <c r="AL13" s="103">
        <v>14.7</v>
      </c>
      <c r="AM13" s="103">
        <v>14</v>
      </c>
      <c r="AN13" s="103">
        <v>13.4</v>
      </c>
      <c r="AO13" s="103">
        <v>12.9</v>
      </c>
      <c r="AP13" s="103">
        <v>12.4</v>
      </c>
      <c r="AQ13" s="103">
        <v>12</v>
      </c>
    </row>
    <row r="14" spans="1:43" x14ac:dyDescent="0.25">
      <c r="A14" s="17">
        <v>23</v>
      </c>
      <c r="B14" s="103">
        <v>187.2</v>
      </c>
      <c r="C14" s="103">
        <v>95.5</v>
      </c>
      <c r="D14" s="103">
        <v>64.900000000000006</v>
      </c>
      <c r="E14" s="103">
        <v>49.6</v>
      </c>
      <c r="F14" s="103">
        <v>40.5</v>
      </c>
      <c r="G14" s="103">
        <v>34.4</v>
      </c>
      <c r="H14" s="103">
        <v>30</v>
      </c>
      <c r="I14" s="103">
        <v>26.8</v>
      </c>
      <c r="J14" s="103">
        <v>24.3</v>
      </c>
      <c r="K14" s="103">
        <v>22.2</v>
      </c>
      <c r="L14" s="103">
        <v>20.6</v>
      </c>
      <c r="M14" s="103">
        <v>19.2</v>
      </c>
      <c r="N14" s="103">
        <v>18.100000000000001</v>
      </c>
      <c r="O14" s="103">
        <v>17.100000000000001</v>
      </c>
      <c r="P14" s="103">
        <v>16.3</v>
      </c>
      <c r="Q14" s="103">
        <v>15.5</v>
      </c>
      <c r="R14" s="103">
        <v>14.9</v>
      </c>
      <c r="S14" s="103">
        <v>14.3</v>
      </c>
      <c r="T14" s="103">
        <v>13.8</v>
      </c>
      <c r="U14" s="103">
        <v>13.3</v>
      </c>
      <c r="W14" s="17">
        <v>23</v>
      </c>
      <c r="X14" s="103">
        <v>171.9</v>
      </c>
      <c r="Y14" s="103">
        <v>87.6</v>
      </c>
      <c r="Z14" s="103">
        <v>59.6</v>
      </c>
      <c r="AA14" s="103">
        <v>45.6</v>
      </c>
      <c r="AB14" s="103">
        <v>37.200000000000003</v>
      </c>
      <c r="AC14" s="103">
        <v>31.6</v>
      </c>
      <c r="AD14" s="103">
        <v>27.6</v>
      </c>
      <c r="AE14" s="103">
        <v>24.6</v>
      </c>
      <c r="AF14" s="103">
        <v>22.3</v>
      </c>
      <c r="AG14" s="103">
        <v>20.399999999999999</v>
      </c>
      <c r="AH14" s="103">
        <v>18.899999999999999</v>
      </c>
      <c r="AI14" s="103">
        <v>17.7</v>
      </c>
      <c r="AJ14" s="103">
        <v>16.600000000000001</v>
      </c>
      <c r="AK14" s="103">
        <v>15.7</v>
      </c>
      <c r="AL14" s="103">
        <v>14.9</v>
      </c>
      <c r="AM14" s="103">
        <v>14.2</v>
      </c>
      <c r="AN14" s="103">
        <v>13.6</v>
      </c>
      <c r="AO14" s="103">
        <v>13.1</v>
      </c>
      <c r="AP14" s="103">
        <v>12.6</v>
      </c>
      <c r="AQ14" s="103">
        <v>12.2</v>
      </c>
    </row>
    <row r="15" spans="1:43" x14ac:dyDescent="0.25">
      <c r="A15" s="17">
        <v>24</v>
      </c>
      <c r="B15" s="103">
        <v>190.6</v>
      </c>
      <c r="C15" s="103">
        <v>97.2</v>
      </c>
      <c r="D15" s="103">
        <v>66.099999999999994</v>
      </c>
      <c r="E15" s="103">
        <v>50.5</v>
      </c>
      <c r="F15" s="103">
        <v>41.2</v>
      </c>
      <c r="G15" s="103">
        <v>35</v>
      </c>
      <c r="H15" s="103">
        <v>30.6</v>
      </c>
      <c r="I15" s="103">
        <v>27.3</v>
      </c>
      <c r="J15" s="103">
        <v>24.7</v>
      </c>
      <c r="K15" s="103">
        <v>22.6</v>
      </c>
      <c r="L15" s="103">
        <v>21</v>
      </c>
      <c r="M15" s="103">
        <v>19.600000000000001</v>
      </c>
      <c r="N15" s="103">
        <v>18.399999999999999</v>
      </c>
      <c r="O15" s="103">
        <v>17.399999999999999</v>
      </c>
      <c r="P15" s="103">
        <v>16.5</v>
      </c>
      <c r="Q15" s="103">
        <v>15.8</v>
      </c>
      <c r="R15" s="103">
        <v>15.1</v>
      </c>
      <c r="S15" s="103">
        <v>14.5</v>
      </c>
      <c r="T15" s="103">
        <v>14</v>
      </c>
      <c r="U15" s="103">
        <v>13.6</v>
      </c>
      <c r="W15" s="17">
        <v>24</v>
      </c>
      <c r="X15" s="103">
        <v>174.9</v>
      </c>
      <c r="Y15" s="103">
        <v>89.2</v>
      </c>
      <c r="Z15" s="103">
        <v>60.6</v>
      </c>
      <c r="AA15" s="103">
        <v>46.4</v>
      </c>
      <c r="AB15" s="103">
        <v>37.799999999999997</v>
      </c>
      <c r="AC15" s="103">
        <v>32.1</v>
      </c>
      <c r="AD15" s="103">
        <v>28.1</v>
      </c>
      <c r="AE15" s="103">
        <v>25</v>
      </c>
      <c r="AF15" s="103">
        <v>22.7</v>
      </c>
      <c r="AG15" s="103">
        <v>20.8</v>
      </c>
      <c r="AH15" s="103">
        <v>19.3</v>
      </c>
      <c r="AI15" s="103">
        <v>18</v>
      </c>
      <c r="AJ15" s="103">
        <v>16.899999999999999</v>
      </c>
      <c r="AK15" s="103">
        <v>16</v>
      </c>
      <c r="AL15" s="103">
        <v>15.2</v>
      </c>
      <c r="AM15" s="103">
        <v>14.5</v>
      </c>
      <c r="AN15" s="103">
        <v>13.9</v>
      </c>
      <c r="AO15" s="103">
        <v>13.4</v>
      </c>
      <c r="AP15" s="103">
        <v>12.9</v>
      </c>
      <c r="AQ15" s="103">
        <v>12.4</v>
      </c>
    </row>
    <row r="16" spans="1:43" x14ac:dyDescent="0.25">
      <c r="A16" s="17">
        <v>25</v>
      </c>
      <c r="B16" s="103">
        <v>194</v>
      </c>
      <c r="C16" s="103">
        <v>98.9</v>
      </c>
      <c r="D16" s="103">
        <v>67.2</v>
      </c>
      <c r="E16" s="103">
        <v>51.4</v>
      </c>
      <c r="F16" s="103">
        <v>41.9</v>
      </c>
      <c r="G16" s="103">
        <v>35.6</v>
      </c>
      <c r="H16" s="103">
        <v>31.1</v>
      </c>
      <c r="I16" s="103">
        <v>27.8</v>
      </c>
      <c r="J16" s="103">
        <v>25.1</v>
      </c>
      <c r="K16" s="103">
        <v>23.1</v>
      </c>
      <c r="L16" s="103">
        <v>21.4</v>
      </c>
      <c r="M16" s="103">
        <v>19.899999999999999</v>
      </c>
      <c r="N16" s="103">
        <v>18.7</v>
      </c>
      <c r="O16" s="103">
        <v>17.7</v>
      </c>
      <c r="P16" s="103">
        <v>16.8</v>
      </c>
      <c r="Q16" s="103">
        <v>16.100000000000001</v>
      </c>
      <c r="R16" s="103">
        <v>15.4</v>
      </c>
      <c r="S16" s="103">
        <v>14.8</v>
      </c>
      <c r="T16" s="103">
        <v>14.3</v>
      </c>
      <c r="U16" s="103">
        <v>13.8</v>
      </c>
      <c r="W16" s="17">
        <v>25</v>
      </c>
      <c r="X16" s="103">
        <v>178.1</v>
      </c>
      <c r="Y16" s="103">
        <v>90.8</v>
      </c>
      <c r="Z16" s="103">
        <v>61.7</v>
      </c>
      <c r="AA16" s="103">
        <v>47.2</v>
      </c>
      <c r="AB16" s="103">
        <v>38.5</v>
      </c>
      <c r="AC16" s="103">
        <v>32.700000000000003</v>
      </c>
      <c r="AD16" s="103">
        <v>28.6</v>
      </c>
      <c r="AE16" s="103">
        <v>25.5</v>
      </c>
      <c r="AF16" s="103">
        <v>23.1</v>
      </c>
      <c r="AG16" s="103">
        <v>21.2</v>
      </c>
      <c r="AH16" s="103">
        <v>19.600000000000001</v>
      </c>
      <c r="AI16" s="103">
        <v>18.3</v>
      </c>
      <c r="AJ16" s="103">
        <v>17.2</v>
      </c>
      <c r="AK16" s="103">
        <v>16.3</v>
      </c>
      <c r="AL16" s="103">
        <v>15.5</v>
      </c>
      <c r="AM16" s="103">
        <v>14.8</v>
      </c>
      <c r="AN16" s="103">
        <v>14.1</v>
      </c>
      <c r="AO16" s="103">
        <v>13.6</v>
      </c>
      <c r="AP16" s="103">
        <v>13.1</v>
      </c>
      <c r="AQ16" s="103">
        <v>12.7</v>
      </c>
    </row>
    <row r="17" spans="1:43" x14ac:dyDescent="0.25">
      <c r="A17" s="17">
        <v>26</v>
      </c>
      <c r="B17" s="103">
        <v>197.4</v>
      </c>
      <c r="C17" s="103">
        <v>100.7</v>
      </c>
      <c r="D17" s="103">
        <v>68.400000000000006</v>
      </c>
      <c r="E17" s="103">
        <v>52.3</v>
      </c>
      <c r="F17" s="103">
        <v>42.7</v>
      </c>
      <c r="G17" s="103">
        <v>36.299999999999997</v>
      </c>
      <c r="H17" s="103">
        <v>31.7</v>
      </c>
      <c r="I17" s="103">
        <v>28.3</v>
      </c>
      <c r="J17" s="103">
        <v>25.6</v>
      </c>
      <c r="K17" s="103">
        <v>23.5</v>
      </c>
      <c r="L17" s="103">
        <v>21.7</v>
      </c>
      <c r="M17" s="103">
        <v>20.3</v>
      </c>
      <c r="N17" s="103">
        <v>19.100000000000001</v>
      </c>
      <c r="O17" s="103">
        <v>18</v>
      </c>
      <c r="P17" s="103">
        <v>17.100000000000001</v>
      </c>
      <c r="Q17" s="103">
        <v>16.399999999999999</v>
      </c>
      <c r="R17" s="103">
        <v>15.7</v>
      </c>
      <c r="S17" s="103">
        <v>15.1</v>
      </c>
      <c r="T17" s="103">
        <v>14.5</v>
      </c>
      <c r="U17" s="103">
        <v>14.1</v>
      </c>
      <c r="W17" s="17">
        <v>26</v>
      </c>
      <c r="X17" s="103">
        <v>181.2</v>
      </c>
      <c r="Y17" s="103">
        <v>92.4</v>
      </c>
      <c r="Z17" s="103">
        <v>62.8</v>
      </c>
      <c r="AA17" s="103">
        <v>48</v>
      </c>
      <c r="AB17" s="103">
        <v>39.200000000000003</v>
      </c>
      <c r="AC17" s="103">
        <v>33.299999999999997</v>
      </c>
      <c r="AD17" s="103">
        <v>29.1</v>
      </c>
      <c r="AE17" s="103">
        <v>25.9</v>
      </c>
      <c r="AF17" s="103">
        <v>23.5</v>
      </c>
      <c r="AG17" s="103">
        <v>21.5</v>
      </c>
      <c r="AH17" s="103">
        <v>19.899999999999999</v>
      </c>
      <c r="AI17" s="103">
        <v>18.600000000000001</v>
      </c>
      <c r="AJ17" s="103">
        <v>17.5</v>
      </c>
      <c r="AK17" s="103">
        <v>16.600000000000001</v>
      </c>
      <c r="AL17" s="103">
        <v>15.7</v>
      </c>
      <c r="AM17" s="103">
        <v>15</v>
      </c>
      <c r="AN17" s="103">
        <v>14.4</v>
      </c>
      <c r="AO17" s="103">
        <v>13.8</v>
      </c>
      <c r="AP17" s="103">
        <v>13.3</v>
      </c>
      <c r="AQ17" s="103">
        <v>12.9</v>
      </c>
    </row>
    <row r="18" spans="1:43" x14ac:dyDescent="0.25">
      <c r="A18" s="17">
        <v>27</v>
      </c>
      <c r="B18" s="103">
        <v>201</v>
      </c>
      <c r="C18" s="103">
        <v>102.5</v>
      </c>
      <c r="D18" s="103">
        <v>69.7</v>
      </c>
      <c r="E18" s="103">
        <v>53.3</v>
      </c>
      <c r="F18" s="103">
        <v>43.5</v>
      </c>
      <c r="G18" s="103">
        <v>36.9</v>
      </c>
      <c r="H18" s="103">
        <v>32.299999999999997</v>
      </c>
      <c r="I18" s="103">
        <v>28.8</v>
      </c>
      <c r="J18" s="103">
        <v>26.1</v>
      </c>
      <c r="K18" s="103">
        <v>23.9</v>
      </c>
      <c r="L18" s="103">
        <v>22.1</v>
      </c>
      <c r="M18" s="103">
        <v>20.7</v>
      </c>
      <c r="N18" s="103">
        <v>19.399999999999999</v>
      </c>
      <c r="O18" s="103">
        <v>18.399999999999999</v>
      </c>
      <c r="P18" s="103">
        <v>17.5</v>
      </c>
      <c r="Q18" s="103">
        <v>16.7</v>
      </c>
      <c r="R18" s="103">
        <v>16</v>
      </c>
      <c r="S18" s="103">
        <v>15.3</v>
      </c>
      <c r="T18" s="103">
        <v>14.8</v>
      </c>
      <c r="U18" s="103">
        <v>14.3</v>
      </c>
      <c r="W18" s="17">
        <v>27</v>
      </c>
      <c r="X18" s="103">
        <v>184.5</v>
      </c>
      <c r="Y18" s="103">
        <v>94.1</v>
      </c>
      <c r="Z18" s="103">
        <v>63.9</v>
      </c>
      <c r="AA18" s="103">
        <v>48.9</v>
      </c>
      <c r="AB18" s="103">
        <v>39.9</v>
      </c>
      <c r="AC18" s="103">
        <v>33.9</v>
      </c>
      <c r="AD18" s="103">
        <v>29.6</v>
      </c>
      <c r="AE18" s="103">
        <v>26.4</v>
      </c>
      <c r="AF18" s="103">
        <v>23.9</v>
      </c>
      <c r="AG18" s="103">
        <v>21.9</v>
      </c>
      <c r="AH18" s="103">
        <v>20.3</v>
      </c>
      <c r="AI18" s="103">
        <v>19</v>
      </c>
      <c r="AJ18" s="103">
        <v>17.8</v>
      </c>
      <c r="AK18" s="103">
        <v>16.899999999999999</v>
      </c>
      <c r="AL18" s="103">
        <v>16</v>
      </c>
      <c r="AM18" s="103">
        <v>15.3</v>
      </c>
      <c r="AN18" s="103">
        <v>14.7</v>
      </c>
      <c r="AO18" s="103">
        <v>14.1</v>
      </c>
      <c r="AP18" s="103">
        <v>13.6</v>
      </c>
      <c r="AQ18" s="103">
        <v>13.1</v>
      </c>
    </row>
    <row r="19" spans="1:43" x14ac:dyDescent="0.25">
      <c r="A19" s="17">
        <v>28</v>
      </c>
      <c r="B19" s="103">
        <v>204.5</v>
      </c>
      <c r="C19" s="103">
        <v>104.3</v>
      </c>
      <c r="D19" s="103">
        <v>70.900000000000006</v>
      </c>
      <c r="E19" s="103">
        <v>54.2</v>
      </c>
      <c r="F19" s="103">
        <v>44.2</v>
      </c>
      <c r="G19" s="103">
        <v>37.6</v>
      </c>
      <c r="H19" s="103">
        <v>32.799999999999997</v>
      </c>
      <c r="I19" s="103">
        <v>29.3</v>
      </c>
      <c r="J19" s="103">
        <v>26.5</v>
      </c>
      <c r="K19" s="103">
        <v>24.3</v>
      </c>
      <c r="L19" s="103">
        <v>22.5</v>
      </c>
      <c r="M19" s="103">
        <v>21</v>
      </c>
      <c r="N19" s="103">
        <v>19.8</v>
      </c>
      <c r="O19" s="103">
        <v>18.7</v>
      </c>
      <c r="P19" s="103">
        <v>17.8</v>
      </c>
      <c r="Q19" s="103">
        <v>17</v>
      </c>
      <c r="R19" s="103">
        <v>16.3</v>
      </c>
      <c r="S19" s="103">
        <v>15.6</v>
      </c>
      <c r="T19" s="103">
        <v>15.1</v>
      </c>
      <c r="U19" s="103">
        <v>14.6</v>
      </c>
      <c r="W19" s="17">
        <v>28</v>
      </c>
      <c r="X19" s="103">
        <v>187.7</v>
      </c>
      <c r="Y19" s="103">
        <v>95.7</v>
      </c>
      <c r="Z19" s="103">
        <v>65.099999999999994</v>
      </c>
      <c r="AA19" s="103">
        <v>49.8</v>
      </c>
      <c r="AB19" s="103">
        <v>40.6</v>
      </c>
      <c r="AC19" s="103">
        <v>34.5</v>
      </c>
      <c r="AD19" s="103">
        <v>30.1</v>
      </c>
      <c r="AE19" s="103">
        <v>26.9</v>
      </c>
      <c r="AF19" s="103">
        <v>24.3</v>
      </c>
      <c r="AG19" s="103">
        <v>22.3</v>
      </c>
      <c r="AH19" s="103">
        <v>20.7</v>
      </c>
      <c r="AI19" s="103">
        <v>19.3</v>
      </c>
      <c r="AJ19" s="103">
        <v>18.100000000000001</v>
      </c>
      <c r="AK19" s="103">
        <v>17.2</v>
      </c>
      <c r="AL19" s="103">
        <v>16.3</v>
      </c>
      <c r="AM19" s="103">
        <v>15.6</v>
      </c>
      <c r="AN19" s="103">
        <v>14.9</v>
      </c>
      <c r="AO19" s="103">
        <v>14.3</v>
      </c>
      <c r="AP19" s="103">
        <v>13.8</v>
      </c>
      <c r="AQ19" s="103">
        <v>13.4</v>
      </c>
    </row>
    <row r="20" spans="1:43" x14ac:dyDescent="0.25">
      <c r="A20" s="17">
        <v>29</v>
      </c>
      <c r="B20" s="103">
        <v>208.2</v>
      </c>
      <c r="C20" s="103">
        <v>106.2</v>
      </c>
      <c r="D20" s="103">
        <v>72.2</v>
      </c>
      <c r="E20" s="103">
        <v>55.2</v>
      </c>
      <c r="F20" s="103">
        <v>45</v>
      </c>
      <c r="G20" s="103">
        <v>38.200000000000003</v>
      </c>
      <c r="H20" s="103">
        <v>33.4</v>
      </c>
      <c r="I20" s="103">
        <v>29.8</v>
      </c>
      <c r="J20" s="103">
        <v>27</v>
      </c>
      <c r="K20" s="103">
        <v>24.8</v>
      </c>
      <c r="L20" s="103">
        <v>22.9</v>
      </c>
      <c r="M20" s="103">
        <v>21.4</v>
      </c>
      <c r="N20" s="103">
        <v>20.100000000000001</v>
      </c>
      <c r="O20" s="103">
        <v>19</v>
      </c>
      <c r="P20" s="103">
        <v>18.100000000000001</v>
      </c>
      <c r="Q20" s="103">
        <v>17.3</v>
      </c>
      <c r="R20" s="103">
        <v>16.5</v>
      </c>
      <c r="S20" s="103">
        <v>15.9</v>
      </c>
      <c r="T20" s="103">
        <v>15.3</v>
      </c>
      <c r="U20" s="103">
        <v>14.8</v>
      </c>
      <c r="W20" s="17">
        <v>29</v>
      </c>
      <c r="X20" s="103">
        <v>191.1</v>
      </c>
      <c r="Y20" s="103">
        <v>97.4</v>
      </c>
      <c r="Z20" s="103">
        <v>66.2</v>
      </c>
      <c r="AA20" s="103">
        <v>50.7</v>
      </c>
      <c r="AB20" s="103">
        <v>41.3</v>
      </c>
      <c r="AC20" s="103">
        <v>35.1</v>
      </c>
      <c r="AD20" s="103">
        <v>30.7</v>
      </c>
      <c r="AE20" s="103">
        <v>27.3</v>
      </c>
      <c r="AF20" s="103">
        <v>24.8</v>
      </c>
      <c r="AG20" s="103">
        <v>22.7</v>
      </c>
      <c r="AH20" s="103">
        <v>21</v>
      </c>
      <c r="AI20" s="103">
        <v>19.600000000000001</v>
      </c>
      <c r="AJ20" s="103">
        <v>18.5</v>
      </c>
      <c r="AK20" s="103">
        <v>17.5</v>
      </c>
      <c r="AL20" s="103">
        <v>16.600000000000001</v>
      </c>
      <c r="AM20" s="103">
        <v>15.9</v>
      </c>
      <c r="AN20" s="103">
        <v>15.2</v>
      </c>
      <c r="AO20" s="103">
        <v>14.6</v>
      </c>
      <c r="AP20" s="103">
        <v>14.1</v>
      </c>
      <c r="AQ20" s="103">
        <v>13.6</v>
      </c>
    </row>
    <row r="21" spans="1:43" x14ac:dyDescent="0.25">
      <c r="A21" s="17">
        <v>30</v>
      </c>
      <c r="B21" s="103">
        <v>211.8</v>
      </c>
      <c r="C21" s="103">
        <v>108</v>
      </c>
      <c r="D21" s="103">
        <v>73.400000000000006</v>
      </c>
      <c r="E21" s="103">
        <v>56.2</v>
      </c>
      <c r="F21" s="103">
        <v>45.8</v>
      </c>
      <c r="G21" s="103">
        <v>38.9</v>
      </c>
      <c r="H21" s="103">
        <v>34</v>
      </c>
      <c r="I21" s="103">
        <v>30.3</v>
      </c>
      <c r="J21" s="103">
        <v>27.5</v>
      </c>
      <c r="K21" s="103">
        <v>25.2</v>
      </c>
      <c r="L21" s="103">
        <v>23.3</v>
      </c>
      <c r="M21" s="103">
        <v>21.8</v>
      </c>
      <c r="N21" s="103">
        <v>20.5</v>
      </c>
      <c r="O21" s="103">
        <v>19.399999999999999</v>
      </c>
      <c r="P21" s="103">
        <v>18.399999999999999</v>
      </c>
      <c r="Q21" s="103">
        <v>17.600000000000001</v>
      </c>
      <c r="R21" s="103">
        <v>16.8</v>
      </c>
      <c r="S21" s="103">
        <v>16.2</v>
      </c>
      <c r="T21" s="103">
        <v>15.6</v>
      </c>
      <c r="U21" s="103">
        <v>15.1</v>
      </c>
      <c r="W21" s="17">
        <v>30</v>
      </c>
      <c r="X21" s="103">
        <v>194.4</v>
      </c>
      <c r="Y21" s="103">
        <v>99.2</v>
      </c>
      <c r="Z21" s="103">
        <v>67.400000000000006</v>
      </c>
      <c r="AA21" s="103">
        <v>51.6</v>
      </c>
      <c r="AB21" s="103">
        <v>42.1</v>
      </c>
      <c r="AC21" s="103">
        <v>35.700000000000003</v>
      </c>
      <c r="AD21" s="103">
        <v>31.2</v>
      </c>
      <c r="AE21" s="103">
        <v>27.8</v>
      </c>
      <c r="AF21" s="103">
        <v>25.2</v>
      </c>
      <c r="AG21" s="103">
        <v>23.1</v>
      </c>
      <c r="AH21" s="103">
        <v>21.4</v>
      </c>
      <c r="AI21" s="103">
        <v>20</v>
      </c>
      <c r="AJ21" s="103">
        <v>18.8</v>
      </c>
      <c r="AK21" s="103">
        <v>17.8</v>
      </c>
      <c r="AL21" s="103">
        <v>16.899999999999999</v>
      </c>
      <c r="AM21" s="103">
        <v>16.100000000000001</v>
      </c>
      <c r="AN21" s="103">
        <v>15.5</v>
      </c>
      <c r="AO21" s="103">
        <v>14.9</v>
      </c>
      <c r="AP21" s="103">
        <v>14.3</v>
      </c>
      <c r="AQ21" s="103">
        <v>13.9</v>
      </c>
    </row>
    <row r="22" spans="1:43" x14ac:dyDescent="0.25">
      <c r="A22" s="17">
        <v>31</v>
      </c>
      <c r="B22" s="103">
        <v>215.6</v>
      </c>
      <c r="C22" s="103">
        <v>109.9</v>
      </c>
      <c r="D22" s="103">
        <v>74.7</v>
      </c>
      <c r="E22" s="103">
        <v>57.2</v>
      </c>
      <c r="F22" s="103">
        <v>46.6</v>
      </c>
      <c r="G22" s="103">
        <v>39.6</v>
      </c>
      <c r="H22" s="103">
        <v>34.6</v>
      </c>
      <c r="I22" s="103">
        <v>30.9</v>
      </c>
      <c r="J22" s="103">
        <v>28</v>
      </c>
      <c r="K22" s="103">
        <v>25.6</v>
      </c>
      <c r="L22" s="103">
        <v>23.7</v>
      </c>
      <c r="M22" s="103">
        <v>22.2</v>
      </c>
      <c r="N22" s="103">
        <v>20.9</v>
      </c>
      <c r="O22" s="103">
        <v>19.7</v>
      </c>
      <c r="P22" s="103">
        <v>18.7</v>
      </c>
      <c r="Q22" s="103">
        <v>17.899999999999999</v>
      </c>
      <c r="R22" s="103">
        <v>17.2</v>
      </c>
      <c r="S22" s="103">
        <v>16.5</v>
      </c>
      <c r="T22" s="103">
        <v>15.9</v>
      </c>
      <c r="U22" s="103">
        <v>15.4</v>
      </c>
      <c r="W22" s="17">
        <v>31</v>
      </c>
      <c r="X22" s="103">
        <v>197.9</v>
      </c>
      <c r="Y22" s="103">
        <v>100.9</v>
      </c>
      <c r="Z22" s="103">
        <v>68.599999999999994</v>
      </c>
      <c r="AA22" s="103">
        <v>52.5</v>
      </c>
      <c r="AB22" s="103">
        <v>42.8</v>
      </c>
      <c r="AC22" s="103">
        <v>36.4</v>
      </c>
      <c r="AD22" s="103">
        <v>31.8</v>
      </c>
      <c r="AE22" s="103">
        <v>28.3</v>
      </c>
      <c r="AF22" s="103">
        <v>25.7</v>
      </c>
      <c r="AG22" s="103">
        <v>23.5</v>
      </c>
      <c r="AH22" s="103">
        <v>21.8</v>
      </c>
      <c r="AI22" s="103">
        <v>20.399999999999999</v>
      </c>
      <c r="AJ22" s="103">
        <v>19.100000000000001</v>
      </c>
      <c r="AK22" s="103">
        <v>18.100000000000001</v>
      </c>
      <c r="AL22" s="103">
        <v>17.2</v>
      </c>
      <c r="AM22" s="103">
        <v>16.399999999999999</v>
      </c>
      <c r="AN22" s="103">
        <v>15.7</v>
      </c>
      <c r="AO22" s="103">
        <v>15.1</v>
      </c>
      <c r="AP22" s="103">
        <v>14.6</v>
      </c>
      <c r="AQ22" s="103">
        <v>14.1</v>
      </c>
    </row>
    <row r="23" spans="1:43" x14ac:dyDescent="0.25">
      <c r="A23" s="17">
        <v>32</v>
      </c>
      <c r="B23" s="103">
        <v>219.4</v>
      </c>
      <c r="C23" s="103">
        <v>111.9</v>
      </c>
      <c r="D23" s="103">
        <v>76.099999999999994</v>
      </c>
      <c r="E23" s="103">
        <v>58.2</v>
      </c>
      <c r="F23" s="103">
        <v>47.5</v>
      </c>
      <c r="G23" s="103">
        <v>40.299999999999997</v>
      </c>
      <c r="H23" s="103">
        <v>35.200000000000003</v>
      </c>
      <c r="I23" s="103">
        <v>31.4</v>
      </c>
      <c r="J23" s="103">
        <v>28.5</v>
      </c>
      <c r="K23" s="103">
        <v>26.1</v>
      </c>
      <c r="L23" s="103">
        <v>24.2</v>
      </c>
      <c r="M23" s="103">
        <v>22.6</v>
      </c>
      <c r="N23" s="103">
        <v>21.2</v>
      </c>
      <c r="O23" s="103">
        <v>20.100000000000001</v>
      </c>
      <c r="P23" s="103">
        <v>19.100000000000001</v>
      </c>
      <c r="Q23" s="103">
        <v>18.2</v>
      </c>
      <c r="R23" s="103">
        <v>17.5</v>
      </c>
      <c r="S23" s="103">
        <v>16.8</v>
      </c>
      <c r="T23" s="103">
        <v>16.2</v>
      </c>
      <c r="U23" s="103">
        <v>15.7</v>
      </c>
      <c r="W23" s="17">
        <v>32</v>
      </c>
      <c r="X23" s="103">
        <v>201.4</v>
      </c>
      <c r="Y23" s="103">
        <v>102.7</v>
      </c>
      <c r="Z23" s="103">
        <v>69.8</v>
      </c>
      <c r="AA23" s="103">
        <v>53.4</v>
      </c>
      <c r="AB23" s="103">
        <v>43.6</v>
      </c>
      <c r="AC23" s="103">
        <v>37</v>
      </c>
      <c r="AD23" s="103">
        <v>32.299999999999997</v>
      </c>
      <c r="AE23" s="103">
        <v>28.8</v>
      </c>
      <c r="AF23" s="103">
        <v>26.1</v>
      </c>
      <c r="AG23" s="103">
        <v>24</v>
      </c>
      <c r="AH23" s="103">
        <v>22.2</v>
      </c>
      <c r="AI23" s="103">
        <v>20.7</v>
      </c>
      <c r="AJ23" s="103">
        <v>19.5</v>
      </c>
      <c r="AK23" s="103">
        <v>18.399999999999999</v>
      </c>
      <c r="AL23" s="103">
        <v>17.5</v>
      </c>
      <c r="AM23" s="103">
        <v>16.7</v>
      </c>
      <c r="AN23" s="103">
        <v>16</v>
      </c>
      <c r="AO23" s="103">
        <v>15.4</v>
      </c>
      <c r="AP23" s="103">
        <v>14.9</v>
      </c>
      <c r="AQ23" s="103">
        <v>14.4</v>
      </c>
    </row>
    <row r="24" spans="1:43" x14ac:dyDescent="0.25">
      <c r="A24" s="17">
        <v>33</v>
      </c>
      <c r="B24" s="103">
        <v>223.2</v>
      </c>
      <c r="C24" s="103">
        <v>113.8</v>
      </c>
      <c r="D24" s="103">
        <v>77.400000000000006</v>
      </c>
      <c r="E24" s="103">
        <v>59.2</v>
      </c>
      <c r="F24" s="103">
        <v>48.3</v>
      </c>
      <c r="G24" s="103">
        <v>41</v>
      </c>
      <c r="H24" s="103">
        <v>35.799999999999997</v>
      </c>
      <c r="I24" s="103">
        <v>32</v>
      </c>
      <c r="J24" s="103">
        <v>29</v>
      </c>
      <c r="K24" s="103">
        <v>26.6</v>
      </c>
      <c r="L24" s="103">
        <v>24.6</v>
      </c>
      <c r="M24" s="103">
        <v>23</v>
      </c>
      <c r="N24" s="103">
        <v>21.6</v>
      </c>
      <c r="O24" s="103">
        <v>20.399999999999999</v>
      </c>
      <c r="P24" s="103">
        <v>19.399999999999999</v>
      </c>
      <c r="Q24" s="103">
        <v>18.5</v>
      </c>
      <c r="R24" s="103">
        <v>17.8</v>
      </c>
      <c r="S24" s="103">
        <v>17.100000000000001</v>
      </c>
      <c r="T24" s="103">
        <v>16.5</v>
      </c>
      <c r="U24" s="103">
        <v>16</v>
      </c>
      <c r="W24" s="17">
        <v>33</v>
      </c>
      <c r="X24" s="103">
        <v>204.9</v>
      </c>
      <c r="Y24" s="103">
        <v>104.5</v>
      </c>
      <c r="Z24" s="103">
        <v>71.099999999999994</v>
      </c>
      <c r="AA24" s="103">
        <v>54.3</v>
      </c>
      <c r="AB24" s="103">
        <v>44.3</v>
      </c>
      <c r="AC24" s="103">
        <v>37.700000000000003</v>
      </c>
      <c r="AD24" s="103">
        <v>32.9</v>
      </c>
      <c r="AE24" s="103">
        <v>29.3</v>
      </c>
      <c r="AF24" s="103">
        <v>26.6</v>
      </c>
      <c r="AG24" s="103">
        <v>24.4</v>
      </c>
      <c r="AH24" s="103">
        <v>22.6</v>
      </c>
      <c r="AI24" s="103">
        <v>21.1</v>
      </c>
      <c r="AJ24" s="103">
        <v>19.8</v>
      </c>
      <c r="AK24" s="103">
        <v>18.8</v>
      </c>
      <c r="AL24" s="103">
        <v>17.8</v>
      </c>
      <c r="AM24" s="103">
        <v>17</v>
      </c>
      <c r="AN24" s="103">
        <v>16.3</v>
      </c>
      <c r="AO24" s="103">
        <v>15.7</v>
      </c>
      <c r="AP24" s="103">
        <v>15.1</v>
      </c>
      <c r="AQ24" s="103">
        <v>14.6</v>
      </c>
    </row>
    <row r="25" spans="1:43" x14ac:dyDescent="0.25">
      <c r="A25" s="17">
        <v>34</v>
      </c>
      <c r="B25" s="103">
        <v>227.1</v>
      </c>
      <c r="C25" s="103">
        <v>115.8</v>
      </c>
      <c r="D25" s="103">
        <v>78.8</v>
      </c>
      <c r="E25" s="103">
        <v>60.2</v>
      </c>
      <c r="F25" s="103">
        <v>49.1</v>
      </c>
      <c r="G25" s="103">
        <v>41.8</v>
      </c>
      <c r="H25" s="103">
        <v>36.5</v>
      </c>
      <c r="I25" s="103">
        <v>32.5</v>
      </c>
      <c r="J25" s="103">
        <v>29.5</v>
      </c>
      <c r="K25" s="103">
        <v>27</v>
      </c>
      <c r="L25" s="103">
        <v>25</v>
      </c>
      <c r="M25" s="103">
        <v>23.4</v>
      </c>
      <c r="N25" s="103">
        <v>22</v>
      </c>
      <c r="O25" s="103">
        <v>20.8</v>
      </c>
      <c r="P25" s="103">
        <v>19.8</v>
      </c>
      <c r="Q25" s="103">
        <v>18.899999999999999</v>
      </c>
      <c r="R25" s="103">
        <v>18.100000000000001</v>
      </c>
      <c r="S25" s="103">
        <v>17.399999999999999</v>
      </c>
      <c r="T25" s="103">
        <v>16.8</v>
      </c>
      <c r="U25" s="103">
        <v>16.2</v>
      </c>
      <c r="W25" s="17">
        <v>34</v>
      </c>
      <c r="X25" s="103">
        <v>208.5</v>
      </c>
      <c r="Y25" s="103">
        <v>106.4</v>
      </c>
      <c r="Z25" s="103">
        <v>72.3</v>
      </c>
      <c r="AA25" s="103">
        <v>55.3</v>
      </c>
      <c r="AB25" s="103">
        <v>45.1</v>
      </c>
      <c r="AC25" s="103">
        <v>38.299999999999997</v>
      </c>
      <c r="AD25" s="103">
        <v>33.5</v>
      </c>
      <c r="AE25" s="103">
        <v>29.9</v>
      </c>
      <c r="AF25" s="103">
        <v>27.1</v>
      </c>
      <c r="AG25" s="103">
        <v>24.8</v>
      </c>
      <c r="AH25" s="103">
        <v>23</v>
      </c>
      <c r="AI25" s="103">
        <v>21.5</v>
      </c>
      <c r="AJ25" s="103">
        <v>20.2</v>
      </c>
      <c r="AK25" s="103">
        <v>19.100000000000001</v>
      </c>
      <c r="AL25" s="103">
        <v>18.2</v>
      </c>
      <c r="AM25" s="103">
        <v>17.3</v>
      </c>
      <c r="AN25" s="103">
        <v>16.600000000000001</v>
      </c>
      <c r="AO25" s="103">
        <v>16</v>
      </c>
      <c r="AP25" s="103">
        <v>15.4</v>
      </c>
      <c r="AQ25" s="103">
        <v>14.9</v>
      </c>
    </row>
    <row r="26" spans="1:43" x14ac:dyDescent="0.25">
      <c r="A26" s="17">
        <v>35</v>
      </c>
      <c r="B26" s="103">
        <v>231.1</v>
      </c>
      <c r="C26" s="103">
        <v>117.9</v>
      </c>
      <c r="D26" s="103">
        <v>80.2</v>
      </c>
      <c r="E26" s="103">
        <v>61.3</v>
      </c>
      <c r="F26" s="103">
        <v>50</v>
      </c>
      <c r="G26" s="103">
        <v>42.5</v>
      </c>
      <c r="H26" s="103">
        <v>37.1</v>
      </c>
      <c r="I26" s="103">
        <v>33.1</v>
      </c>
      <c r="J26" s="103">
        <v>30</v>
      </c>
      <c r="K26" s="103">
        <v>27.5</v>
      </c>
      <c r="L26" s="103">
        <v>25.5</v>
      </c>
      <c r="M26" s="103">
        <v>23.8</v>
      </c>
      <c r="N26" s="103">
        <v>22.4</v>
      </c>
      <c r="O26" s="103">
        <v>21.2</v>
      </c>
      <c r="P26" s="103">
        <v>20.100000000000001</v>
      </c>
      <c r="Q26" s="103">
        <v>19.2</v>
      </c>
      <c r="R26" s="103">
        <v>18.399999999999999</v>
      </c>
      <c r="S26" s="103">
        <v>17.7</v>
      </c>
      <c r="T26" s="103">
        <v>17.100000000000001</v>
      </c>
      <c r="U26" s="103">
        <v>16.5</v>
      </c>
      <c r="W26" s="17">
        <v>35</v>
      </c>
      <c r="X26" s="103">
        <v>212.2</v>
      </c>
      <c r="Y26" s="103">
        <v>108.2</v>
      </c>
      <c r="Z26" s="103">
        <v>73.599999999999994</v>
      </c>
      <c r="AA26" s="103">
        <v>56.3</v>
      </c>
      <c r="AB26" s="103">
        <v>45.9</v>
      </c>
      <c r="AC26" s="103">
        <v>39</v>
      </c>
      <c r="AD26" s="103">
        <v>34.1</v>
      </c>
      <c r="AE26" s="103">
        <v>30.4</v>
      </c>
      <c r="AF26" s="103">
        <v>27.5</v>
      </c>
      <c r="AG26" s="103">
        <v>25.3</v>
      </c>
      <c r="AH26" s="103">
        <v>23.4</v>
      </c>
      <c r="AI26" s="103">
        <v>21.9</v>
      </c>
      <c r="AJ26" s="103">
        <v>20.6</v>
      </c>
      <c r="AK26" s="103">
        <v>19.399999999999999</v>
      </c>
      <c r="AL26" s="103">
        <v>18.5</v>
      </c>
      <c r="AM26" s="103">
        <v>17.7</v>
      </c>
      <c r="AN26" s="103">
        <v>16.899999999999999</v>
      </c>
      <c r="AO26" s="103">
        <v>16.3</v>
      </c>
      <c r="AP26" s="103">
        <v>15.7</v>
      </c>
      <c r="AQ26" s="103">
        <v>15.2</v>
      </c>
    </row>
    <row r="27" spans="1:43" x14ac:dyDescent="0.25">
      <c r="A27" s="17">
        <v>36</v>
      </c>
      <c r="B27" s="103">
        <v>235.2</v>
      </c>
      <c r="C27" s="103">
        <v>119.9</v>
      </c>
      <c r="D27" s="103">
        <v>81.599999999999994</v>
      </c>
      <c r="E27" s="103">
        <v>62.4</v>
      </c>
      <c r="F27" s="103">
        <v>50.9</v>
      </c>
      <c r="G27" s="103">
        <v>43.2</v>
      </c>
      <c r="H27" s="103">
        <v>37.799999999999997</v>
      </c>
      <c r="I27" s="103">
        <v>33.700000000000003</v>
      </c>
      <c r="J27" s="103">
        <v>30.5</v>
      </c>
      <c r="K27" s="103">
        <v>28</v>
      </c>
      <c r="L27" s="103">
        <v>25.9</v>
      </c>
      <c r="M27" s="103">
        <v>24.2</v>
      </c>
      <c r="N27" s="103">
        <v>22.8</v>
      </c>
      <c r="O27" s="103">
        <v>21.6</v>
      </c>
      <c r="P27" s="103">
        <v>20.5</v>
      </c>
      <c r="Q27" s="103">
        <v>19.600000000000001</v>
      </c>
      <c r="R27" s="103">
        <v>18.8</v>
      </c>
      <c r="S27" s="103">
        <v>18.100000000000001</v>
      </c>
      <c r="T27" s="103">
        <v>17.399999999999999</v>
      </c>
      <c r="U27" s="103">
        <v>16.899999999999999</v>
      </c>
      <c r="W27" s="17">
        <v>36</v>
      </c>
      <c r="X27" s="103">
        <v>216</v>
      </c>
      <c r="Y27" s="103">
        <v>110.1</v>
      </c>
      <c r="Z27" s="103">
        <v>74.900000000000006</v>
      </c>
      <c r="AA27" s="103">
        <v>57.3</v>
      </c>
      <c r="AB27" s="103">
        <v>46.7</v>
      </c>
      <c r="AC27" s="103">
        <v>39.700000000000003</v>
      </c>
      <c r="AD27" s="103">
        <v>34.700000000000003</v>
      </c>
      <c r="AE27" s="103">
        <v>30.9</v>
      </c>
      <c r="AF27" s="103">
        <v>28</v>
      </c>
      <c r="AG27" s="103">
        <v>25.7</v>
      </c>
      <c r="AH27" s="103">
        <v>23.8</v>
      </c>
      <c r="AI27" s="103">
        <v>22.3</v>
      </c>
      <c r="AJ27" s="103">
        <v>20.9</v>
      </c>
      <c r="AK27" s="103">
        <v>19.8</v>
      </c>
      <c r="AL27" s="103">
        <v>18.8</v>
      </c>
      <c r="AM27" s="103">
        <v>18</v>
      </c>
      <c r="AN27" s="103">
        <v>17.2</v>
      </c>
      <c r="AO27" s="103">
        <v>16.600000000000001</v>
      </c>
      <c r="AP27" s="103">
        <v>16</v>
      </c>
      <c r="AQ27" s="103">
        <v>15.5</v>
      </c>
    </row>
    <row r="28" spans="1:43" x14ac:dyDescent="0.25">
      <c r="A28" s="17">
        <v>37</v>
      </c>
      <c r="B28" s="103">
        <v>239.3</v>
      </c>
      <c r="C28" s="103">
        <v>122</v>
      </c>
      <c r="D28" s="103">
        <v>83</v>
      </c>
      <c r="E28" s="103">
        <v>63.5</v>
      </c>
      <c r="F28" s="103">
        <v>51.8</v>
      </c>
      <c r="G28" s="103">
        <v>44</v>
      </c>
      <c r="H28" s="103">
        <v>38.4</v>
      </c>
      <c r="I28" s="103">
        <v>34.299999999999997</v>
      </c>
      <c r="J28" s="103">
        <v>31.1</v>
      </c>
      <c r="K28" s="103">
        <v>28.5</v>
      </c>
      <c r="L28" s="103">
        <v>26.4</v>
      </c>
      <c r="M28" s="103">
        <v>24.7</v>
      </c>
      <c r="N28" s="103">
        <v>23.2</v>
      </c>
      <c r="O28" s="103">
        <v>22</v>
      </c>
      <c r="P28" s="103">
        <v>20.9</v>
      </c>
      <c r="Q28" s="103">
        <v>19.899999999999999</v>
      </c>
      <c r="R28" s="103">
        <v>19.100000000000001</v>
      </c>
      <c r="S28" s="103">
        <v>18.399999999999999</v>
      </c>
      <c r="T28" s="103">
        <v>17.8</v>
      </c>
      <c r="U28" s="103">
        <v>17.2</v>
      </c>
      <c r="W28" s="17">
        <v>37</v>
      </c>
      <c r="X28" s="103">
        <v>219.8</v>
      </c>
      <c r="Y28" s="103">
        <v>112.1</v>
      </c>
      <c r="Z28" s="103">
        <v>76.2</v>
      </c>
      <c r="AA28" s="103">
        <v>58.3</v>
      </c>
      <c r="AB28" s="103">
        <v>47.6</v>
      </c>
      <c r="AC28" s="103">
        <v>40.4</v>
      </c>
      <c r="AD28" s="103">
        <v>35.299999999999997</v>
      </c>
      <c r="AE28" s="103">
        <v>31.5</v>
      </c>
      <c r="AF28" s="103">
        <v>28.5</v>
      </c>
      <c r="AG28" s="103">
        <v>26.2</v>
      </c>
      <c r="AH28" s="103">
        <v>24.3</v>
      </c>
      <c r="AI28" s="103">
        <v>22.7</v>
      </c>
      <c r="AJ28" s="103">
        <v>21.3</v>
      </c>
      <c r="AK28" s="103">
        <v>20.2</v>
      </c>
      <c r="AL28" s="103">
        <v>19.2</v>
      </c>
      <c r="AM28" s="103">
        <v>18.3</v>
      </c>
      <c r="AN28" s="103">
        <v>17.600000000000001</v>
      </c>
      <c r="AO28" s="103">
        <v>16.899999999999999</v>
      </c>
      <c r="AP28" s="103">
        <v>16.3</v>
      </c>
      <c r="AQ28" s="103">
        <v>15.8</v>
      </c>
    </row>
    <row r="29" spans="1:43" x14ac:dyDescent="0.25">
      <c r="A29" s="17">
        <v>38</v>
      </c>
      <c r="B29" s="103">
        <v>243.5</v>
      </c>
      <c r="C29" s="103">
        <v>124.2</v>
      </c>
      <c r="D29" s="103">
        <v>84.4</v>
      </c>
      <c r="E29" s="103">
        <v>64.599999999999994</v>
      </c>
      <c r="F29" s="103">
        <v>52.7</v>
      </c>
      <c r="G29" s="103">
        <v>44.8</v>
      </c>
      <c r="H29" s="103">
        <v>39.1</v>
      </c>
      <c r="I29" s="103">
        <v>34.9</v>
      </c>
      <c r="J29" s="103">
        <v>31.6</v>
      </c>
      <c r="K29" s="103">
        <v>29</v>
      </c>
      <c r="L29" s="103">
        <v>26.9</v>
      </c>
      <c r="M29" s="103">
        <v>25.1</v>
      </c>
      <c r="N29" s="103">
        <v>23.6</v>
      </c>
      <c r="O29" s="103">
        <v>22.4</v>
      </c>
      <c r="P29" s="103">
        <v>21.3</v>
      </c>
      <c r="Q29" s="103">
        <v>20.3</v>
      </c>
      <c r="R29" s="103">
        <v>19.5</v>
      </c>
      <c r="S29" s="103">
        <v>18.7</v>
      </c>
      <c r="T29" s="103">
        <v>18.100000000000001</v>
      </c>
      <c r="U29" s="103">
        <v>17.5</v>
      </c>
      <c r="W29" s="17">
        <v>38</v>
      </c>
      <c r="X29" s="103">
        <v>223.6</v>
      </c>
      <c r="Y29" s="103">
        <v>114.1</v>
      </c>
      <c r="Z29" s="103">
        <v>77.599999999999994</v>
      </c>
      <c r="AA29" s="103">
        <v>59.3</v>
      </c>
      <c r="AB29" s="103">
        <v>48.4</v>
      </c>
      <c r="AC29" s="103">
        <v>41.1</v>
      </c>
      <c r="AD29" s="103">
        <v>35.9</v>
      </c>
      <c r="AE29" s="103">
        <v>32.1</v>
      </c>
      <c r="AF29" s="103">
        <v>29.1</v>
      </c>
      <c r="AG29" s="103">
        <v>26.7</v>
      </c>
      <c r="AH29" s="103">
        <v>24.7</v>
      </c>
      <c r="AI29" s="103">
        <v>23.1</v>
      </c>
      <c r="AJ29" s="103">
        <v>21.7</v>
      </c>
      <c r="AK29" s="103">
        <v>20.5</v>
      </c>
      <c r="AL29" s="103">
        <v>19.5</v>
      </c>
      <c r="AM29" s="103">
        <v>18.7</v>
      </c>
      <c r="AN29" s="103">
        <v>17.899999999999999</v>
      </c>
      <c r="AO29" s="103">
        <v>17.2</v>
      </c>
      <c r="AP29" s="103">
        <v>16.600000000000001</v>
      </c>
      <c r="AQ29" s="103">
        <v>16.100000000000001</v>
      </c>
    </row>
    <row r="30" spans="1:43" x14ac:dyDescent="0.25">
      <c r="A30" s="17">
        <v>39</v>
      </c>
      <c r="B30" s="103">
        <v>247.7</v>
      </c>
      <c r="C30" s="103">
        <v>126.3</v>
      </c>
      <c r="D30" s="103">
        <v>85.9</v>
      </c>
      <c r="E30" s="103">
        <v>65.7</v>
      </c>
      <c r="F30" s="103">
        <v>53.6</v>
      </c>
      <c r="G30" s="103">
        <v>45.6</v>
      </c>
      <c r="H30" s="103">
        <v>39.799999999999997</v>
      </c>
      <c r="I30" s="103">
        <v>35.5</v>
      </c>
      <c r="J30" s="103">
        <v>32.200000000000003</v>
      </c>
      <c r="K30" s="103">
        <v>29.5</v>
      </c>
      <c r="L30" s="103">
        <v>27.4</v>
      </c>
      <c r="M30" s="103">
        <v>25.6</v>
      </c>
      <c r="N30" s="103">
        <v>24.1</v>
      </c>
      <c r="O30" s="103">
        <v>22.8</v>
      </c>
      <c r="P30" s="103">
        <v>21.7</v>
      </c>
      <c r="Q30" s="103">
        <v>20.7</v>
      </c>
      <c r="R30" s="103">
        <v>19.8</v>
      </c>
      <c r="S30" s="103">
        <v>19.100000000000001</v>
      </c>
      <c r="T30" s="103">
        <v>18.399999999999999</v>
      </c>
      <c r="U30" s="103">
        <v>17.8</v>
      </c>
      <c r="W30" s="17">
        <v>39</v>
      </c>
      <c r="X30" s="103">
        <v>227.6</v>
      </c>
      <c r="Y30" s="103">
        <v>116.1</v>
      </c>
      <c r="Z30" s="103">
        <v>78.900000000000006</v>
      </c>
      <c r="AA30" s="103">
        <v>60.4</v>
      </c>
      <c r="AB30" s="103">
        <v>49.3</v>
      </c>
      <c r="AC30" s="103">
        <v>41.9</v>
      </c>
      <c r="AD30" s="103">
        <v>36.6</v>
      </c>
      <c r="AE30" s="103">
        <v>32.6</v>
      </c>
      <c r="AF30" s="103">
        <v>29.6</v>
      </c>
      <c r="AG30" s="103">
        <v>27.1</v>
      </c>
      <c r="AH30" s="103">
        <v>25.1</v>
      </c>
      <c r="AI30" s="103">
        <v>23.5</v>
      </c>
      <c r="AJ30" s="103">
        <v>22.1</v>
      </c>
      <c r="AK30" s="103">
        <v>20.9</v>
      </c>
      <c r="AL30" s="103">
        <v>19.899999999999999</v>
      </c>
      <c r="AM30" s="103">
        <v>19</v>
      </c>
      <c r="AN30" s="103">
        <v>18.2</v>
      </c>
      <c r="AO30" s="103">
        <v>17.5</v>
      </c>
      <c r="AP30" s="103">
        <v>16.899999999999999</v>
      </c>
      <c r="AQ30" s="103">
        <v>16.399999999999999</v>
      </c>
    </row>
    <row r="31" spans="1:43" x14ac:dyDescent="0.25">
      <c r="A31" s="17">
        <v>40</v>
      </c>
      <c r="B31" s="103">
        <v>252</v>
      </c>
      <c r="C31" s="103">
        <v>128.5</v>
      </c>
      <c r="D31" s="103">
        <v>87.4</v>
      </c>
      <c r="E31" s="103">
        <v>66.900000000000006</v>
      </c>
      <c r="F31" s="103">
        <v>54.6</v>
      </c>
      <c r="G31" s="103">
        <v>46.4</v>
      </c>
      <c r="H31" s="103">
        <v>40.5</v>
      </c>
      <c r="I31" s="103">
        <v>36.200000000000003</v>
      </c>
      <c r="J31" s="103">
        <v>32.799999999999997</v>
      </c>
      <c r="K31" s="103">
        <v>30.1</v>
      </c>
      <c r="L31" s="103">
        <v>27.9</v>
      </c>
      <c r="M31" s="103">
        <v>26</v>
      </c>
      <c r="N31" s="103">
        <v>24.5</v>
      </c>
      <c r="O31" s="103">
        <v>23.2</v>
      </c>
      <c r="P31" s="103">
        <v>22.1</v>
      </c>
      <c r="Q31" s="103">
        <v>21.1</v>
      </c>
      <c r="R31" s="103">
        <v>20.2</v>
      </c>
      <c r="S31" s="103">
        <v>19.5</v>
      </c>
      <c r="T31" s="103">
        <v>18.8</v>
      </c>
      <c r="U31" s="103">
        <v>18.2</v>
      </c>
      <c r="W31" s="17">
        <v>40</v>
      </c>
      <c r="X31" s="103">
        <v>231.6</v>
      </c>
      <c r="Y31" s="103">
        <v>118.1</v>
      </c>
      <c r="Z31" s="103">
        <v>80.3</v>
      </c>
      <c r="AA31" s="103">
        <v>61.4</v>
      </c>
      <c r="AB31" s="103">
        <v>50.1</v>
      </c>
      <c r="AC31" s="103">
        <v>42.6</v>
      </c>
      <c r="AD31" s="103">
        <v>37.200000000000003</v>
      </c>
      <c r="AE31" s="103">
        <v>33.200000000000003</v>
      </c>
      <c r="AF31" s="103">
        <v>30.1</v>
      </c>
      <c r="AG31" s="103">
        <v>27.6</v>
      </c>
      <c r="AH31" s="103">
        <v>25.6</v>
      </c>
      <c r="AI31" s="103">
        <v>23.9</v>
      </c>
      <c r="AJ31" s="103">
        <v>22.5</v>
      </c>
      <c r="AK31" s="103">
        <v>21.3</v>
      </c>
      <c r="AL31" s="103">
        <v>20.3</v>
      </c>
      <c r="AM31" s="103">
        <v>19.399999999999999</v>
      </c>
      <c r="AN31" s="103">
        <v>18.600000000000001</v>
      </c>
      <c r="AO31" s="103">
        <v>17.899999999999999</v>
      </c>
      <c r="AP31" s="103">
        <v>17.3</v>
      </c>
      <c r="AQ31" s="103">
        <v>16.7</v>
      </c>
    </row>
    <row r="32" spans="1:43" x14ac:dyDescent="0.25">
      <c r="A32" s="17">
        <v>41</v>
      </c>
      <c r="B32" s="103">
        <v>256.39999999999998</v>
      </c>
      <c r="C32" s="103">
        <v>130.80000000000001</v>
      </c>
      <c r="D32" s="103">
        <v>88.9</v>
      </c>
      <c r="E32" s="103">
        <v>68</v>
      </c>
      <c r="F32" s="103">
        <v>55.5</v>
      </c>
      <c r="G32" s="103">
        <v>47.2</v>
      </c>
      <c r="H32" s="103">
        <v>41.3</v>
      </c>
      <c r="I32" s="103">
        <v>36.799999999999997</v>
      </c>
      <c r="J32" s="103">
        <v>33.4</v>
      </c>
      <c r="K32" s="103">
        <v>30.6</v>
      </c>
      <c r="L32" s="103">
        <v>28.4</v>
      </c>
      <c r="M32" s="103">
        <v>26.5</v>
      </c>
      <c r="N32" s="103">
        <v>25</v>
      </c>
      <c r="O32" s="103">
        <v>23.6</v>
      </c>
      <c r="P32" s="103">
        <v>22.5</v>
      </c>
      <c r="Q32" s="103">
        <v>21.5</v>
      </c>
      <c r="R32" s="103">
        <v>20.6</v>
      </c>
      <c r="S32" s="103">
        <v>19.8</v>
      </c>
      <c r="T32" s="103">
        <v>19.2</v>
      </c>
      <c r="U32" s="103">
        <v>18.5</v>
      </c>
      <c r="W32" s="17">
        <v>41</v>
      </c>
      <c r="X32" s="103">
        <v>235.6</v>
      </c>
      <c r="Y32" s="103">
        <v>120.2</v>
      </c>
      <c r="Z32" s="103">
        <v>81.7</v>
      </c>
      <c r="AA32" s="103">
        <v>62.5</v>
      </c>
      <c r="AB32" s="103">
        <v>51</v>
      </c>
      <c r="AC32" s="103">
        <v>43.4</v>
      </c>
      <c r="AD32" s="103">
        <v>37.9</v>
      </c>
      <c r="AE32" s="103">
        <v>33.799999999999997</v>
      </c>
      <c r="AF32" s="103">
        <v>30.7</v>
      </c>
      <c r="AG32" s="103">
        <v>28.1</v>
      </c>
      <c r="AH32" s="103">
        <v>26.1</v>
      </c>
      <c r="AI32" s="103">
        <v>24.4</v>
      </c>
      <c r="AJ32" s="103">
        <v>22.9</v>
      </c>
      <c r="AK32" s="103">
        <v>21.7</v>
      </c>
      <c r="AL32" s="103">
        <v>20.7</v>
      </c>
      <c r="AM32" s="103">
        <v>19.7</v>
      </c>
      <c r="AN32" s="103">
        <v>18.899999999999999</v>
      </c>
      <c r="AO32" s="103">
        <v>18.2</v>
      </c>
      <c r="AP32" s="103">
        <v>17.600000000000001</v>
      </c>
      <c r="AQ32" s="103">
        <v>17</v>
      </c>
    </row>
    <row r="33" spans="1:43" x14ac:dyDescent="0.25">
      <c r="A33" s="17">
        <v>42</v>
      </c>
      <c r="B33" s="103">
        <v>260.89999999999998</v>
      </c>
      <c r="C33" s="103">
        <v>133.1</v>
      </c>
      <c r="D33" s="103">
        <v>90.5</v>
      </c>
      <c r="E33" s="103">
        <v>69.2</v>
      </c>
      <c r="F33" s="103">
        <v>56.5</v>
      </c>
      <c r="G33" s="103">
        <v>48</v>
      </c>
      <c r="H33" s="103">
        <v>42</v>
      </c>
      <c r="I33" s="103">
        <v>37.5</v>
      </c>
      <c r="J33" s="103">
        <v>34</v>
      </c>
      <c r="K33" s="103">
        <v>31.2</v>
      </c>
      <c r="L33" s="103">
        <v>28.9</v>
      </c>
      <c r="M33" s="103">
        <v>27</v>
      </c>
      <c r="N33" s="103">
        <v>25.4</v>
      </c>
      <c r="O33" s="103">
        <v>24.1</v>
      </c>
      <c r="P33" s="103">
        <v>22.9</v>
      </c>
      <c r="Q33" s="103">
        <v>21.9</v>
      </c>
      <c r="R33" s="103">
        <v>21</v>
      </c>
      <c r="S33" s="103">
        <v>20.2</v>
      </c>
      <c r="T33" s="103">
        <v>19.5</v>
      </c>
      <c r="U33" s="103">
        <v>18.899999999999999</v>
      </c>
      <c r="W33" s="17">
        <v>42</v>
      </c>
      <c r="X33" s="103">
        <v>239.8</v>
      </c>
      <c r="Y33" s="103">
        <v>122.3</v>
      </c>
      <c r="Z33" s="103">
        <v>83.2</v>
      </c>
      <c r="AA33" s="103">
        <v>63.7</v>
      </c>
      <c r="AB33" s="103">
        <v>51.9</v>
      </c>
      <c r="AC33" s="103">
        <v>44.2</v>
      </c>
      <c r="AD33" s="103">
        <v>38.6</v>
      </c>
      <c r="AE33" s="103">
        <v>34.4</v>
      </c>
      <c r="AF33" s="103">
        <v>31.2</v>
      </c>
      <c r="AG33" s="103">
        <v>28.7</v>
      </c>
      <c r="AH33" s="103">
        <v>26.6</v>
      </c>
      <c r="AI33" s="103">
        <v>24.8</v>
      </c>
      <c r="AJ33" s="103">
        <v>23.4</v>
      </c>
      <c r="AK33" s="103">
        <v>22.1</v>
      </c>
      <c r="AL33" s="103">
        <v>21.1</v>
      </c>
      <c r="AM33" s="103">
        <v>20.100000000000001</v>
      </c>
      <c r="AN33" s="103">
        <v>19.3</v>
      </c>
      <c r="AO33" s="103">
        <v>18.600000000000001</v>
      </c>
      <c r="AP33" s="103">
        <v>18</v>
      </c>
      <c r="AQ33" s="103">
        <v>17.399999999999999</v>
      </c>
    </row>
    <row r="34" spans="1:43" x14ac:dyDescent="0.25">
      <c r="A34" s="17">
        <v>43</v>
      </c>
      <c r="B34" s="103">
        <v>265.39999999999998</v>
      </c>
      <c r="C34" s="103">
        <v>135.4</v>
      </c>
      <c r="D34" s="103">
        <v>92.1</v>
      </c>
      <c r="E34" s="103">
        <v>70.5</v>
      </c>
      <c r="F34" s="103">
        <v>57.5</v>
      </c>
      <c r="G34" s="103">
        <v>48.9</v>
      </c>
      <c r="H34" s="103">
        <v>42.7</v>
      </c>
      <c r="I34" s="103">
        <v>38.200000000000003</v>
      </c>
      <c r="J34" s="103">
        <v>34.6</v>
      </c>
      <c r="K34" s="103">
        <v>31.7</v>
      </c>
      <c r="L34" s="103">
        <v>29.4</v>
      </c>
      <c r="M34" s="103">
        <v>27.5</v>
      </c>
      <c r="N34" s="103">
        <v>25.9</v>
      </c>
      <c r="O34" s="103">
        <v>24.5</v>
      </c>
      <c r="P34" s="103">
        <v>23.3</v>
      </c>
      <c r="Q34" s="103">
        <v>22.3</v>
      </c>
      <c r="R34" s="103">
        <v>21.4</v>
      </c>
      <c r="S34" s="103">
        <v>20.6</v>
      </c>
      <c r="T34" s="103">
        <v>19.899999999999999</v>
      </c>
      <c r="U34" s="103">
        <v>19.3</v>
      </c>
      <c r="W34" s="17">
        <v>43</v>
      </c>
      <c r="X34" s="103">
        <v>244</v>
      </c>
      <c r="Y34" s="103">
        <v>124.5</v>
      </c>
      <c r="Z34" s="103">
        <v>84.7</v>
      </c>
      <c r="AA34" s="103">
        <v>64.8</v>
      </c>
      <c r="AB34" s="103">
        <v>52.9</v>
      </c>
      <c r="AC34" s="103">
        <v>45</v>
      </c>
      <c r="AD34" s="103">
        <v>39.299999999999997</v>
      </c>
      <c r="AE34" s="103">
        <v>35.1</v>
      </c>
      <c r="AF34" s="103">
        <v>31.8</v>
      </c>
      <c r="AG34" s="103">
        <v>29.2</v>
      </c>
      <c r="AH34" s="103">
        <v>27.1</v>
      </c>
      <c r="AI34" s="103">
        <v>25.3</v>
      </c>
      <c r="AJ34" s="103">
        <v>23.8</v>
      </c>
      <c r="AK34" s="103">
        <v>22.6</v>
      </c>
      <c r="AL34" s="103">
        <v>21.5</v>
      </c>
      <c r="AM34" s="103">
        <v>20.5</v>
      </c>
      <c r="AN34" s="103">
        <v>19.7</v>
      </c>
      <c r="AO34" s="103">
        <v>19</v>
      </c>
      <c r="AP34" s="103">
        <v>18.3</v>
      </c>
      <c r="AQ34" s="103">
        <v>17.7</v>
      </c>
    </row>
    <row r="35" spans="1:43" x14ac:dyDescent="0.25">
      <c r="A35" s="17">
        <v>44</v>
      </c>
      <c r="B35" s="103">
        <v>270</v>
      </c>
      <c r="C35" s="103">
        <v>137.69999999999999</v>
      </c>
      <c r="D35" s="103">
        <v>93.7</v>
      </c>
      <c r="E35" s="103">
        <v>71.7</v>
      </c>
      <c r="F35" s="103">
        <v>58.5</v>
      </c>
      <c r="G35" s="103">
        <v>49.8</v>
      </c>
      <c r="H35" s="103">
        <v>43.5</v>
      </c>
      <c r="I35" s="103">
        <v>38.799999999999997</v>
      </c>
      <c r="J35" s="103">
        <v>35.200000000000003</v>
      </c>
      <c r="K35" s="103">
        <v>32.299999999999997</v>
      </c>
      <c r="L35" s="103">
        <v>30</v>
      </c>
      <c r="M35" s="103">
        <v>28</v>
      </c>
      <c r="N35" s="103">
        <v>26.4</v>
      </c>
      <c r="O35" s="103">
        <v>25</v>
      </c>
      <c r="P35" s="103">
        <v>23.8</v>
      </c>
      <c r="Q35" s="103">
        <v>22.8</v>
      </c>
      <c r="R35" s="103">
        <v>21.8</v>
      </c>
      <c r="S35" s="103">
        <v>21</v>
      </c>
      <c r="T35" s="103">
        <v>20.3</v>
      </c>
      <c r="U35" s="103">
        <v>19.7</v>
      </c>
      <c r="W35" s="17">
        <v>44</v>
      </c>
      <c r="X35" s="103">
        <v>248.3</v>
      </c>
      <c r="Y35" s="103">
        <v>126.7</v>
      </c>
      <c r="Z35" s="103">
        <v>86.2</v>
      </c>
      <c r="AA35" s="103">
        <v>66</v>
      </c>
      <c r="AB35" s="103">
        <v>53.8</v>
      </c>
      <c r="AC35" s="103">
        <v>45.8</v>
      </c>
      <c r="AD35" s="103">
        <v>40</v>
      </c>
      <c r="AE35" s="103">
        <v>35.700000000000003</v>
      </c>
      <c r="AF35" s="103">
        <v>32.4</v>
      </c>
      <c r="AG35" s="103">
        <v>29.7</v>
      </c>
      <c r="AH35" s="103">
        <v>27.6</v>
      </c>
      <c r="AI35" s="103">
        <v>25.8</v>
      </c>
      <c r="AJ35" s="103">
        <v>24.3</v>
      </c>
      <c r="AK35" s="103">
        <v>23</v>
      </c>
      <c r="AL35" s="103">
        <v>21.9</v>
      </c>
      <c r="AM35" s="103">
        <v>20.9</v>
      </c>
      <c r="AN35" s="103">
        <v>20.100000000000001</v>
      </c>
      <c r="AO35" s="103">
        <v>19.3</v>
      </c>
      <c r="AP35" s="103">
        <v>18.7</v>
      </c>
      <c r="AQ35" s="103">
        <v>18.100000000000001</v>
      </c>
    </row>
    <row r="36" spans="1:43" x14ac:dyDescent="0.25">
      <c r="A36" s="17">
        <v>45</v>
      </c>
      <c r="B36" s="103">
        <v>274.60000000000002</v>
      </c>
      <c r="C36" s="103">
        <v>140.1</v>
      </c>
      <c r="D36" s="103">
        <v>95.3</v>
      </c>
      <c r="E36" s="103">
        <v>73</v>
      </c>
      <c r="F36" s="103">
        <v>59.6</v>
      </c>
      <c r="G36" s="103">
        <v>50.6</v>
      </c>
      <c r="H36" s="103">
        <v>44.3</v>
      </c>
      <c r="I36" s="103">
        <v>39.5</v>
      </c>
      <c r="J36" s="103">
        <v>35.9</v>
      </c>
      <c r="K36" s="103">
        <v>32.9</v>
      </c>
      <c r="L36" s="103">
        <v>30.5</v>
      </c>
      <c r="M36" s="103">
        <v>28.6</v>
      </c>
      <c r="N36" s="103">
        <v>26.9</v>
      </c>
      <c r="O36" s="103">
        <v>25.5</v>
      </c>
      <c r="P36" s="103">
        <v>24.3</v>
      </c>
      <c r="Q36" s="103">
        <v>23.2</v>
      </c>
      <c r="R36" s="103">
        <v>22.3</v>
      </c>
      <c r="S36" s="103">
        <v>21.5</v>
      </c>
      <c r="T36" s="103">
        <v>20.7</v>
      </c>
      <c r="U36" s="103">
        <v>20.100000000000001</v>
      </c>
      <c r="W36" s="17">
        <v>45</v>
      </c>
      <c r="X36" s="103">
        <v>252.6</v>
      </c>
      <c r="Y36" s="103">
        <v>128.9</v>
      </c>
      <c r="Z36" s="103">
        <v>87.7</v>
      </c>
      <c r="AA36" s="103">
        <v>67.099999999999994</v>
      </c>
      <c r="AB36" s="103">
        <v>54.8</v>
      </c>
      <c r="AC36" s="103">
        <v>46.6</v>
      </c>
      <c r="AD36" s="103">
        <v>40.700000000000003</v>
      </c>
      <c r="AE36" s="103">
        <v>36.4</v>
      </c>
      <c r="AF36" s="103">
        <v>33</v>
      </c>
      <c r="AG36" s="103">
        <v>30.3</v>
      </c>
      <c r="AH36" s="103">
        <v>28.1</v>
      </c>
      <c r="AI36" s="103">
        <v>26.3</v>
      </c>
      <c r="AJ36" s="103">
        <v>24.7</v>
      </c>
      <c r="AK36" s="103">
        <v>23.4</v>
      </c>
      <c r="AL36" s="103">
        <v>22.3</v>
      </c>
      <c r="AM36" s="103">
        <v>21.3</v>
      </c>
      <c r="AN36" s="103">
        <v>20.5</v>
      </c>
      <c r="AO36" s="103">
        <v>19.7</v>
      </c>
      <c r="AP36" s="103">
        <v>19.100000000000001</v>
      </c>
      <c r="AQ36" s="103">
        <v>18.5</v>
      </c>
    </row>
    <row r="37" spans="1:43" x14ac:dyDescent="0.25">
      <c r="A37" s="17">
        <v>46</v>
      </c>
      <c r="B37" s="103">
        <v>279.2</v>
      </c>
      <c r="C37" s="103">
        <v>142.5</v>
      </c>
      <c r="D37" s="103">
        <v>97</v>
      </c>
      <c r="E37" s="103">
        <v>74.2</v>
      </c>
      <c r="F37" s="103">
        <v>60.6</v>
      </c>
      <c r="G37" s="103">
        <v>51.5</v>
      </c>
      <c r="H37" s="103">
        <v>45.1</v>
      </c>
      <c r="I37" s="103">
        <v>40.299999999999997</v>
      </c>
      <c r="J37" s="103">
        <v>36.5</v>
      </c>
      <c r="K37" s="103">
        <v>33.5</v>
      </c>
      <c r="L37" s="103">
        <v>31.1</v>
      </c>
      <c r="M37" s="103">
        <v>29.1</v>
      </c>
      <c r="N37" s="103">
        <v>27.4</v>
      </c>
      <c r="O37" s="103">
        <v>26</v>
      </c>
      <c r="P37" s="103">
        <v>24.7</v>
      </c>
      <c r="Q37" s="103">
        <v>23.7</v>
      </c>
      <c r="R37" s="103">
        <v>22.7</v>
      </c>
      <c r="S37" s="103">
        <v>21.9</v>
      </c>
      <c r="T37" s="103">
        <v>21.1</v>
      </c>
      <c r="U37" s="103">
        <v>20.5</v>
      </c>
      <c r="W37" s="17">
        <v>46</v>
      </c>
      <c r="X37" s="103">
        <v>257</v>
      </c>
      <c r="Y37" s="103">
        <v>131.1</v>
      </c>
      <c r="Z37" s="103">
        <v>89.2</v>
      </c>
      <c r="AA37" s="103">
        <v>68.3</v>
      </c>
      <c r="AB37" s="103">
        <v>55.8</v>
      </c>
      <c r="AC37" s="103">
        <v>47.4</v>
      </c>
      <c r="AD37" s="103">
        <v>41.5</v>
      </c>
      <c r="AE37" s="103">
        <v>37</v>
      </c>
      <c r="AF37" s="103">
        <v>33.6</v>
      </c>
      <c r="AG37" s="103">
        <v>30.9</v>
      </c>
      <c r="AH37" s="103">
        <v>28.6</v>
      </c>
      <c r="AI37" s="103">
        <v>26.8</v>
      </c>
      <c r="AJ37" s="103">
        <v>25.2</v>
      </c>
      <c r="AK37" s="103">
        <v>23.9</v>
      </c>
      <c r="AL37" s="103">
        <v>22.8</v>
      </c>
      <c r="AM37" s="103">
        <v>21.8</v>
      </c>
      <c r="AN37" s="103">
        <v>20.9</v>
      </c>
      <c r="AO37" s="103">
        <v>20.100000000000001</v>
      </c>
      <c r="AP37" s="103">
        <v>19.5</v>
      </c>
      <c r="AQ37" s="103">
        <v>18.899999999999999</v>
      </c>
    </row>
    <row r="38" spans="1:43" x14ac:dyDescent="0.25">
      <c r="A38" s="17">
        <v>47</v>
      </c>
      <c r="B38" s="103">
        <v>283.89999999999998</v>
      </c>
      <c r="C38" s="103">
        <v>144.9</v>
      </c>
      <c r="D38" s="103">
        <v>98.6</v>
      </c>
      <c r="E38" s="103">
        <v>75.5</v>
      </c>
      <c r="F38" s="103">
        <v>61.7</v>
      </c>
      <c r="G38" s="103">
        <v>52.5</v>
      </c>
      <c r="H38" s="103">
        <v>45.9</v>
      </c>
      <c r="I38" s="103">
        <v>41</v>
      </c>
      <c r="J38" s="103">
        <v>37.200000000000003</v>
      </c>
      <c r="K38" s="103">
        <v>34.200000000000003</v>
      </c>
      <c r="L38" s="103">
        <v>31.7</v>
      </c>
      <c r="M38" s="103">
        <v>29.6</v>
      </c>
      <c r="N38" s="103">
        <v>27.9</v>
      </c>
      <c r="O38" s="103">
        <v>26.5</v>
      </c>
      <c r="P38" s="103">
        <v>25.2</v>
      </c>
      <c r="Q38" s="103">
        <v>24.1</v>
      </c>
      <c r="R38" s="103">
        <v>23.2</v>
      </c>
      <c r="S38" s="103">
        <v>22.3</v>
      </c>
      <c r="T38" s="103">
        <v>21.6</v>
      </c>
      <c r="U38" s="103">
        <v>20.9</v>
      </c>
      <c r="W38" s="17">
        <v>47</v>
      </c>
      <c r="X38" s="103">
        <v>261.39999999999998</v>
      </c>
      <c r="Y38" s="103">
        <v>133.4</v>
      </c>
      <c r="Z38" s="103">
        <v>90.8</v>
      </c>
      <c r="AA38" s="103">
        <v>69.5</v>
      </c>
      <c r="AB38" s="103">
        <v>56.8</v>
      </c>
      <c r="AC38" s="103">
        <v>48.3</v>
      </c>
      <c r="AD38" s="103">
        <v>42.2</v>
      </c>
      <c r="AE38" s="103">
        <v>37.700000000000003</v>
      </c>
      <c r="AF38" s="103">
        <v>34.200000000000003</v>
      </c>
      <c r="AG38" s="103">
        <v>31.4</v>
      </c>
      <c r="AH38" s="103">
        <v>29.2</v>
      </c>
      <c r="AI38" s="103">
        <v>27.3</v>
      </c>
      <c r="AJ38" s="103">
        <v>25.7</v>
      </c>
      <c r="AK38" s="103">
        <v>24.4</v>
      </c>
      <c r="AL38" s="103">
        <v>23.2</v>
      </c>
      <c r="AM38" s="103">
        <v>22.2</v>
      </c>
      <c r="AN38" s="103">
        <v>21.3</v>
      </c>
      <c r="AO38" s="103">
        <v>20.5</v>
      </c>
      <c r="AP38" s="103">
        <v>19.899999999999999</v>
      </c>
      <c r="AQ38" s="103">
        <v>19.3</v>
      </c>
    </row>
    <row r="39" spans="1:43" x14ac:dyDescent="0.25">
      <c r="A39" s="17">
        <v>48</v>
      </c>
      <c r="B39" s="103">
        <v>288.7</v>
      </c>
      <c r="C39" s="103">
        <v>147.4</v>
      </c>
      <c r="D39" s="103">
        <v>100.3</v>
      </c>
      <c r="E39" s="103">
        <v>76.8</v>
      </c>
      <c r="F39" s="103">
        <v>62.7</v>
      </c>
      <c r="G39" s="103">
        <v>53.4</v>
      </c>
      <c r="H39" s="103">
        <v>46.7</v>
      </c>
      <c r="I39" s="103">
        <v>41.7</v>
      </c>
      <c r="J39" s="103">
        <v>37.9</v>
      </c>
      <c r="K39" s="103">
        <v>34.799999999999997</v>
      </c>
      <c r="L39" s="103">
        <v>32.299999999999997</v>
      </c>
      <c r="M39" s="103">
        <v>30.2</v>
      </c>
      <c r="N39" s="103">
        <v>28.5</v>
      </c>
      <c r="O39" s="103">
        <v>27</v>
      </c>
      <c r="P39" s="103">
        <v>25.7</v>
      </c>
      <c r="Q39" s="103">
        <v>24.6</v>
      </c>
      <c r="R39" s="103">
        <v>23.6</v>
      </c>
      <c r="S39" s="103">
        <v>22.8</v>
      </c>
      <c r="T39" s="103">
        <v>22</v>
      </c>
      <c r="U39" s="103"/>
      <c r="W39" s="17">
        <v>48</v>
      </c>
      <c r="X39" s="103">
        <v>265.8</v>
      </c>
      <c r="Y39" s="103">
        <v>135.69999999999999</v>
      </c>
      <c r="Z39" s="103">
        <v>92.4</v>
      </c>
      <c r="AA39" s="103">
        <v>70.7</v>
      </c>
      <c r="AB39" s="103">
        <v>57.8</v>
      </c>
      <c r="AC39" s="103">
        <v>49.2</v>
      </c>
      <c r="AD39" s="103">
        <v>43</v>
      </c>
      <c r="AE39" s="103">
        <v>38.4</v>
      </c>
      <c r="AF39" s="103">
        <v>34.9</v>
      </c>
      <c r="AG39" s="103">
        <v>32</v>
      </c>
      <c r="AH39" s="103">
        <v>29.7</v>
      </c>
      <c r="AI39" s="103">
        <v>27.8</v>
      </c>
      <c r="AJ39" s="103">
        <v>26.2</v>
      </c>
      <c r="AK39" s="103">
        <v>24.8</v>
      </c>
      <c r="AL39" s="103">
        <v>23.7</v>
      </c>
      <c r="AM39" s="103">
        <v>22.6</v>
      </c>
      <c r="AN39" s="103">
        <v>21.8</v>
      </c>
      <c r="AO39" s="103">
        <v>21</v>
      </c>
      <c r="AP39" s="103">
        <v>20.3</v>
      </c>
      <c r="AQ39" s="103"/>
    </row>
    <row r="40" spans="1:43" x14ac:dyDescent="0.25">
      <c r="A40" s="17">
        <v>49</v>
      </c>
      <c r="B40" s="103">
        <v>293.5</v>
      </c>
      <c r="C40" s="103">
        <v>149.9</v>
      </c>
      <c r="D40" s="103">
        <v>102</v>
      </c>
      <c r="E40" s="103">
        <v>78.099999999999994</v>
      </c>
      <c r="F40" s="103">
        <v>63.8</v>
      </c>
      <c r="G40" s="103">
        <v>54.3</v>
      </c>
      <c r="H40" s="103">
        <v>47.6</v>
      </c>
      <c r="I40" s="103">
        <v>42.5</v>
      </c>
      <c r="J40" s="103">
        <v>38.6</v>
      </c>
      <c r="K40" s="103">
        <v>35.4</v>
      </c>
      <c r="L40" s="103">
        <v>32.9</v>
      </c>
      <c r="M40" s="103">
        <v>30.8</v>
      </c>
      <c r="N40" s="103">
        <v>29</v>
      </c>
      <c r="O40" s="103">
        <v>27.5</v>
      </c>
      <c r="P40" s="103">
        <v>26.2</v>
      </c>
      <c r="Q40" s="103">
        <v>25.1</v>
      </c>
      <c r="R40" s="103">
        <v>24.1</v>
      </c>
      <c r="S40" s="103">
        <v>23.2</v>
      </c>
      <c r="T40" s="103"/>
      <c r="U40" s="103"/>
      <c r="W40" s="17">
        <v>49</v>
      </c>
      <c r="X40" s="103">
        <v>270.39999999999998</v>
      </c>
      <c r="Y40" s="103">
        <v>138.1</v>
      </c>
      <c r="Z40" s="103">
        <v>94</v>
      </c>
      <c r="AA40" s="103">
        <v>72</v>
      </c>
      <c r="AB40" s="103">
        <v>58.8</v>
      </c>
      <c r="AC40" s="103">
        <v>50.1</v>
      </c>
      <c r="AD40" s="103">
        <v>43.8</v>
      </c>
      <c r="AE40" s="103">
        <v>39.1</v>
      </c>
      <c r="AF40" s="103">
        <v>35.5</v>
      </c>
      <c r="AG40" s="103">
        <v>32.6</v>
      </c>
      <c r="AH40" s="103">
        <v>30.3</v>
      </c>
      <c r="AI40" s="103">
        <v>28.4</v>
      </c>
      <c r="AJ40" s="103">
        <v>26.7</v>
      </c>
      <c r="AK40" s="103">
        <v>25.3</v>
      </c>
      <c r="AL40" s="103">
        <v>24.1</v>
      </c>
      <c r="AM40" s="103">
        <v>23.1</v>
      </c>
      <c r="AN40" s="103">
        <v>22.2</v>
      </c>
      <c r="AO40" s="103">
        <v>21.4</v>
      </c>
      <c r="AP40" s="103"/>
      <c r="AQ40" s="103"/>
    </row>
    <row r="41" spans="1:43" x14ac:dyDescent="0.25">
      <c r="A41" s="17">
        <v>50</v>
      </c>
      <c r="B41" s="103">
        <v>298.39999999999998</v>
      </c>
      <c r="C41" s="103">
        <v>152.4</v>
      </c>
      <c r="D41" s="103">
        <v>103.8</v>
      </c>
      <c r="E41" s="103">
        <v>79.5</v>
      </c>
      <c r="F41" s="103">
        <v>65</v>
      </c>
      <c r="G41" s="103">
        <v>55.3</v>
      </c>
      <c r="H41" s="103">
        <v>48.4</v>
      </c>
      <c r="I41" s="103">
        <v>43.3</v>
      </c>
      <c r="J41" s="103">
        <v>39.299999999999997</v>
      </c>
      <c r="K41" s="103">
        <v>36.1</v>
      </c>
      <c r="L41" s="103">
        <v>33.5</v>
      </c>
      <c r="M41" s="103">
        <v>31.4</v>
      </c>
      <c r="N41" s="103">
        <v>29.6</v>
      </c>
      <c r="O41" s="103">
        <v>28</v>
      </c>
      <c r="P41" s="103">
        <v>26.7</v>
      </c>
      <c r="Q41" s="103">
        <v>25.6</v>
      </c>
      <c r="R41" s="103">
        <v>24.6</v>
      </c>
      <c r="S41" s="103"/>
      <c r="T41" s="103"/>
      <c r="U41" s="103"/>
      <c r="W41" s="17">
        <v>50</v>
      </c>
      <c r="X41" s="103">
        <v>275</v>
      </c>
      <c r="Y41" s="103">
        <v>140.5</v>
      </c>
      <c r="Z41" s="103">
        <v>95.6</v>
      </c>
      <c r="AA41" s="103">
        <v>73.3</v>
      </c>
      <c r="AB41" s="103">
        <v>59.9</v>
      </c>
      <c r="AC41" s="103">
        <v>51</v>
      </c>
      <c r="AD41" s="103">
        <v>44.6</v>
      </c>
      <c r="AE41" s="103">
        <v>39.9</v>
      </c>
      <c r="AF41" s="103">
        <v>36.200000000000003</v>
      </c>
      <c r="AG41" s="103">
        <v>33.299999999999997</v>
      </c>
      <c r="AH41" s="103">
        <v>30.9</v>
      </c>
      <c r="AI41" s="103">
        <v>28.9</v>
      </c>
      <c r="AJ41" s="103">
        <v>27.3</v>
      </c>
      <c r="AK41" s="103">
        <v>25.8</v>
      </c>
      <c r="AL41" s="103">
        <v>24.6</v>
      </c>
      <c r="AM41" s="103">
        <v>23.6</v>
      </c>
      <c r="AN41" s="103">
        <v>22.6</v>
      </c>
      <c r="AO41" s="103"/>
      <c r="AP41" s="103"/>
      <c r="AQ41" s="103"/>
    </row>
    <row r="42" spans="1:43" x14ac:dyDescent="0.25">
      <c r="A42" s="17">
        <v>51</v>
      </c>
      <c r="B42" s="103">
        <v>303.39999999999998</v>
      </c>
      <c r="C42" s="103">
        <v>155</v>
      </c>
      <c r="D42" s="103">
        <v>105.5</v>
      </c>
      <c r="E42" s="103">
        <v>80.900000000000006</v>
      </c>
      <c r="F42" s="103">
        <v>66.099999999999994</v>
      </c>
      <c r="G42" s="103">
        <v>56.3</v>
      </c>
      <c r="H42" s="103">
        <v>49.3</v>
      </c>
      <c r="I42" s="103">
        <v>44</v>
      </c>
      <c r="J42" s="103">
        <v>40</v>
      </c>
      <c r="K42" s="103">
        <v>36.799999999999997</v>
      </c>
      <c r="L42" s="103">
        <v>34.1</v>
      </c>
      <c r="M42" s="103">
        <v>32</v>
      </c>
      <c r="N42" s="103">
        <v>30.1</v>
      </c>
      <c r="O42" s="103">
        <v>28.6</v>
      </c>
      <c r="P42" s="103">
        <v>27.2</v>
      </c>
      <c r="Q42" s="103">
        <v>26.1</v>
      </c>
      <c r="R42" s="103"/>
      <c r="S42" s="103"/>
      <c r="T42" s="103"/>
      <c r="U42" s="103"/>
      <c r="W42" s="17">
        <v>51</v>
      </c>
      <c r="X42" s="103">
        <v>279.7</v>
      </c>
      <c r="Y42" s="103">
        <v>142.9</v>
      </c>
      <c r="Z42" s="103">
        <v>97.3</v>
      </c>
      <c r="AA42" s="103">
        <v>74.599999999999994</v>
      </c>
      <c r="AB42" s="103">
        <v>60.9</v>
      </c>
      <c r="AC42" s="103">
        <v>51.9</v>
      </c>
      <c r="AD42" s="103">
        <v>45.4</v>
      </c>
      <c r="AE42" s="103">
        <v>40.6</v>
      </c>
      <c r="AF42" s="103">
        <v>36.9</v>
      </c>
      <c r="AG42" s="103">
        <v>33.9</v>
      </c>
      <c r="AH42" s="103">
        <v>31.5</v>
      </c>
      <c r="AI42" s="103">
        <v>29.5</v>
      </c>
      <c r="AJ42" s="103">
        <v>27.8</v>
      </c>
      <c r="AK42" s="103">
        <v>26.4</v>
      </c>
      <c r="AL42" s="103">
        <v>25.1</v>
      </c>
      <c r="AM42" s="103">
        <v>24</v>
      </c>
      <c r="AN42" s="103"/>
      <c r="AO42" s="103"/>
      <c r="AP42" s="103"/>
      <c r="AQ42" s="103"/>
    </row>
    <row r="43" spans="1:43" x14ac:dyDescent="0.25">
      <c r="A43" s="17">
        <v>52</v>
      </c>
      <c r="B43" s="103">
        <v>308.39999999999998</v>
      </c>
      <c r="C43" s="103">
        <v>157.6</v>
      </c>
      <c r="D43" s="103">
        <v>107.3</v>
      </c>
      <c r="E43" s="103">
        <v>82.3</v>
      </c>
      <c r="F43" s="103">
        <v>67.3</v>
      </c>
      <c r="G43" s="103">
        <v>57.3</v>
      </c>
      <c r="H43" s="103">
        <v>50.2</v>
      </c>
      <c r="I43" s="103">
        <v>44.8</v>
      </c>
      <c r="J43" s="103">
        <v>40.700000000000003</v>
      </c>
      <c r="K43" s="103">
        <v>37.5</v>
      </c>
      <c r="L43" s="103">
        <v>34.799999999999997</v>
      </c>
      <c r="M43" s="103">
        <v>32.6</v>
      </c>
      <c r="N43" s="103">
        <v>30.7</v>
      </c>
      <c r="O43" s="103">
        <v>29.1</v>
      </c>
      <c r="P43" s="103">
        <v>27.8</v>
      </c>
      <c r="Q43" s="103"/>
      <c r="R43" s="103"/>
      <c r="S43" s="103"/>
      <c r="T43" s="103"/>
      <c r="U43" s="103"/>
      <c r="W43" s="17">
        <v>52</v>
      </c>
      <c r="X43" s="103">
        <v>284.5</v>
      </c>
      <c r="Y43" s="103">
        <v>145.4</v>
      </c>
      <c r="Z43" s="103">
        <v>99</v>
      </c>
      <c r="AA43" s="103">
        <v>75.900000000000006</v>
      </c>
      <c r="AB43" s="103">
        <v>62</v>
      </c>
      <c r="AC43" s="103">
        <v>52.8</v>
      </c>
      <c r="AD43" s="103">
        <v>46.3</v>
      </c>
      <c r="AE43" s="103">
        <v>41.4</v>
      </c>
      <c r="AF43" s="103">
        <v>37.6</v>
      </c>
      <c r="AG43" s="103">
        <v>34.5</v>
      </c>
      <c r="AH43" s="103">
        <v>32.1</v>
      </c>
      <c r="AI43" s="103">
        <v>30</v>
      </c>
      <c r="AJ43" s="103">
        <v>28.3</v>
      </c>
      <c r="AK43" s="103">
        <v>26.9</v>
      </c>
      <c r="AL43" s="103">
        <v>25.6</v>
      </c>
      <c r="AM43" s="103"/>
      <c r="AN43" s="103"/>
      <c r="AO43" s="103"/>
      <c r="AP43" s="103"/>
      <c r="AQ43" s="103"/>
    </row>
    <row r="44" spans="1:43" x14ac:dyDescent="0.25">
      <c r="A44" s="17">
        <v>53</v>
      </c>
      <c r="B44" s="103">
        <v>313.5</v>
      </c>
      <c r="C44" s="103">
        <v>160.19999999999999</v>
      </c>
      <c r="D44" s="103">
        <v>109.2</v>
      </c>
      <c r="E44" s="103">
        <v>83.7</v>
      </c>
      <c r="F44" s="103">
        <v>68.400000000000006</v>
      </c>
      <c r="G44" s="103">
        <v>58.3</v>
      </c>
      <c r="H44" s="103">
        <v>51.1</v>
      </c>
      <c r="I44" s="103">
        <v>45.7</v>
      </c>
      <c r="J44" s="103">
        <v>41.5</v>
      </c>
      <c r="K44" s="103">
        <v>38.1</v>
      </c>
      <c r="L44" s="103">
        <v>35.4</v>
      </c>
      <c r="M44" s="103">
        <v>33.200000000000003</v>
      </c>
      <c r="N44" s="103">
        <v>31.3</v>
      </c>
      <c r="O44" s="103">
        <v>29.7</v>
      </c>
      <c r="P44" s="103"/>
      <c r="Q44" s="103"/>
      <c r="R44" s="103"/>
      <c r="S44" s="103"/>
      <c r="T44" s="103"/>
      <c r="U44" s="103"/>
      <c r="W44" s="17">
        <v>53</v>
      </c>
      <c r="X44" s="103">
        <v>289.39999999999998</v>
      </c>
      <c r="Y44" s="103">
        <v>147.9</v>
      </c>
      <c r="Z44" s="103">
        <v>100.8</v>
      </c>
      <c r="AA44" s="103">
        <v>77.2</v>
      </c>
      <c r="AB44" s="103">
        <v>63.2</v>
      </c>
      <c r="AC44" s="103">
        <v>53.8</v>
      </c>
      <c r="AD44" s="103">
        <v>47.1</v>
      </c>
      <c r="AE44" s="103">
        <v>42.1</v>
      </c>
      <c r="AF44" s="103">
        <v>38.299999999999997</v>
      </c>
      <c r="AG44" s="103">
        <v>35.200000000000003</v>
      </c>
      <c r="AH44" s="103">
        <v>32.700000000000003</v>
      </c>
      <c r="AI44" s="103">
        <v>30.6</v>
      </c>
      <c r="AJ44" s="103">
        <v>28.9</v>
      </c>
      <c r="AK44" s="103">
        <v>27.4</v>
      </c>
      <c r="AL44" s="103"/>
      <c r="AM44" s="103"/>
      <c r="AN44" s="103"/>
      <c r="AO44" s="103"/>
      <c r="AP44" s="103"/>
      <c r="AQ44" s="103"/>
    </row>
    <row r="45" spans="1:43" x14ac:dyDescent="0.25">
      <c r="A45" s="17">
        <v>54</v>
      </c>
      <c r="B45" s="103">
        <v>318.7</v>
      </c>
      <c r="C45" s="103">
        <v>162.9</v>
      </c>
      <c r="D45" s="103">
        <v>111</v>
      </c>
      <c r="E45" s="103">
        <v>85.1</v>
      </c>
      <c r="F45" s="103">
        <v>69.599999999999994</v>
      </c>
      <c r="G45" s="103">
        <v>59.3</v>
      </c>
      <c r="H45" s="103">
        <v>52</v>
      </c>
      <c r="I45" s="103">
        <v>46.5</v>
      </c>
      <c r="J45" s="103">
        <v>42.2</v>
      </c>
      <c r="K45" s="103">
        <v>38.9</v>
      </c>
      <c r="L45" s="103">
        <v>36.1</v>
      </c>
      <c r="M45" s="103">
        <v>33.799999999999997</v>
      </c>
      <c r="N45" s="103">
        <v>31.9</v>
      </c>
      <c r="O45" s="103"/>
      <c r="P45" s="103"/>
      <c r="Q45" s="103"/>
      <c r="R45" s="103"/>
      <c r="S45" s="103"/>
      <c r="T45" s="103"/>
      <c r="U45" s="103"/>
      <c r="W45" s="17">
        <v>54</v>
      </c>
      <c r="X45" s="103">
        <v>294.3</v>
      </c>
      <c r="Y45" s="103">
        <v>150.4</v>
      </c>
      <c r="Z45" s="103">
        <v>102.5</v>
      </c>
      <c r="AA45" s="103">
        <v>78.599999999999994</v>
      </c>
      <c r="AB45" s="103">
        <v>64.3</v>
      </c>
      <c r="AC45" s="103">
        <v>54.8</v>
      </c>
      <c r="AD45" s="103">
        <v>48</v>
      </c>
      <c r="AE45" s="103">
        <v>42.9</v>
      </c>
      <c r="AF45" s="103">
        <v>39</v>
      </c>
      <c r="AG45" s="103">
        <v>35.9</v>
      </c>
      <c r="AH45" s="103">
        <v>33.299999999999997</v>
      </c>
      <c r="AI45" s="103">
        <v>31.2</v>
      </c>
      <c r="AJ45" s="103">
        <v>29.5</v>
      </c>
      <c r="AK45" s="103"/>
      <c r="AL45" s="103"/>
      <c r="AM45" s="103"/>
      <c r="AN45" s="103"/>
      <c r="AO45" s="103"/>
      <c r="AP45" s="103"/>
      <c r="AQ45" s="103"/>
    </row>
    <row r="46" spans="1:43" x14ac:dyDescent="0.25">
      <c r="A46" s="17">
        <v>55</v>
      </c>
      <c r="B46" s="103">
        <v>324</v>
      </c>
      <c r="C46" s="103">
        <v>165.6</v>
      </c>
      <c r="D46" s="103">
        <v>112.9</v>
      </c>
      <c r="E46" s="103">
        <v>86.6</v>
      </c>
      <c r="F46" s="103">
        <v>70.8</v>
      </c>
      <c r="G46" s="103">
        <v>60.4</v>
      </c>
      <c r="H46" s="103">
        <v>52.9</v>
      </c>
      <c r="I46" s="103">
        <v>47.3</v>
      </c>
      <c r="J46" s="103">
        <v>43</v>
      </c>
      <c r="K46" s="103">
        <v>39.6</v>
      </c>
      <c r="L46" s="103">
        <v>36.799999999999997</v>
      </c>
      <c r="M46" s="103">
        <v>34.5</v>
      </c>
      <c r="N46" s="103"/>
      <c r="O46" s="103"/>
      <c r="P46" s="103"/>
      <c r="Q46" s="103"/>
      <c r="R46" s="103"/>
      <c r="S46" s="103"/>
      <c r="T46" s="103"/>
      <c r="U46" s="103"/>
      <c r="W46" s="17">
        <v>55</v>
      </c>
      <c r="X46" s="103">
        <v>299.39999999999998</v>
      </c>
      <c r="Y46" s="103">
        <v>153.1</v>
      </c>
      <c r="Z46" s="103">
        <v>104.3</v>
      </c>
      <c r="AA46" s="103">
        <v>80</v>
      </c>
      <c r="AB46" s="103">
        <v>65.5</v>
      </c>
      <c r="AC46" s="103">
        <v>55.8</v>
      </c>
      <c r="AD46" s="103">
        <v>48.9</v>
      </c>
      <c r="AE46" s="103">
        <v>43.7</v>
      </c>
      <c r="AF46" s="103">
        <v>39.700000000000003</v>
      </c>
      <c r="AG46" s="103">
        <v>36.6</v>
      </c>
      <c r="AH46" s="103">
        <v>34</v>
      </c>
      <c r="AI46" s="103">
        <v>31.8</v>
      </c>
      <c r="AJ46" s="103"/>
      <c r="AK46" s="103"/>
      <c r="AL46" s="103"/>
      <c r="AM46" s="103"/>
      <c r="AN46" s="103"/>
      <c r="AO46" s="103"/>
      <c r="AP46" s="103"/>
      <c r="AQ46" s="103"/>
    </row>
    <row r="47" spans="1:43" x14ac:dyDescent="0.25">
      <c r="A47" s="17">
        <v>56</v>
      </c>
      <c r="B47" s="103">
        <v>329.3</v>
      </c>
      <c r="C47" s="103">
        <v>168.4</v>
      </c>
      <c r="D47" s="103">
        <v>114.8</v>
      </c>
      <c r="E47" s="103">
        <v>88.1</v>
      </c>
      <c r="F47" s="103">
        <v>72.099999999999994</v>
      </c>
      <c r="G47" s="103">
        <v>61.4</v>
      </c>
      <c r="H47" s="103">
        <v>53.9</v>
      </c>
      <c r="I47" s="103">
        <v>48.2</v>
      </c>
      <c r="J47" s="103">
        <v>43.8</v>
      </c>
      <c r="K47" s="103">
        <v>40.299999999999997</v>
      </c>
      <c r="L47" s="103">
        <v>37.5</v>
      </c>
      <c r="M47" s="103"/>
      <c r="N47" s="103"/>
      <c r="O47" s="103"/>
      <c r="P47" s="103"/>
      <c r="Q47" s="103"/>
      <c r="R47" s="103"/>
      <c r="S47" s="103"/>
      <c r="T47" s="103"/>
      <c r="U47" s="103"/>
      <c r="W47" s="17">
        <v>56</v>
      </c>
      <c r="X47" s="103">
        <v>304.5</v>
      </c>
      <c r="Y47" s="103">
        <v>155.69999999999999</v>
      </c>
      <c r="Z47" s="103">
        <v>106.2</v>
      </c>
      <c r="AA47" s="103">
        <v>81.5</v>
      </c>
      <c r="AB47" s="103">
        <v>66.7</v>
      </c>
      <c r="AC47" s="103">
        <v>56.8</v>
      </c>
      <c r="AD47" s="103">
        <v>49.8</v>
      </c>
      <c r="AE47" s="103">
        <v>44.6</v>
      </c>
      <c r="AF47" s="103">
        <v>40.5</v>
      </c>
      <c r="AG47" s="103">
        <v>37.299999999999997</v>
      </c>
      <c r="AH47" s="103">
        <v>34.700000000000003</v>
      </c>
      <c r="AI47" s="103"/>
      <c r="AJ47" s="103"/>
      <c r="AK47" s="103"/>
      <c r="AL47" s="103"/>
      <c r="AM47" s="103"/>
      <c r="AN47" s="103"/>
      <c r="AO47" s="103"/>
      <c r="AP47" s="103"/>
      <c r="AQ47" s="103"/>
    </row>
    <row r="48" spans="1:43" x14ac:dyDescent="0.25">
      <c r="A48" s="17">
        <v>57</v>
      </c>
      <c r="B48" s="103">
        <v>334.8</v>
      </c>
      <c r="C48" s="103">
        <v>171.3</v>
      </c>
      <c r="D48" s="103">
        <v>116.8</v>
      </c>
      <c r="E48" s="103">
        <v>89.6</v>
      </c>
      <c r="F48" s="103">
        <v>73.400000000000006</v>
      </c>
      <c r="G48" s="103">
        <v>62.5</v>
      </c>
      <c r="H48" s="103">
        <v>54.8</v>
      </c>
      <c r="I48" s="103">
        <v>49.1</v>
      </c>
      <c r="J48" s="103">
        <v>44.6</v>
      </c>
      <c r="K48" s="103">
        <v>41.1</v>
      </c>
      <c r="L48" s="103"/>
      <c r="M48" s="103"/>
      <c r="N48" s="103"/>
      <c r="O48" s="103"/>
      <c r="P48" s="103"/>
      <c r="Q48" s="103"/>
      <c r="R48" s="103"/>
      <c r="S48" s="103"/>
      <c r="T48" s="103"/>
      <c r="U48" s="103"/>
      <c r="W48" s="17">
        <v>57</v>
      </c>
      <c r="X48" s="103">
        <v>309.8</v>
      </c>
      <c r="Y48" s="103">
        <v>158.5</v>
      </c>
      <c r="Z48" s="103">
        <v>108.1</v>
      </c>
      <c r="AA48" s="103">
        <v>82.9</v>
      </c>
      <c r="AB48" s="103">
        <v>67.900000000000006</v>
      </c>
      <c r="AC48" s="103">
        <v>57.9</v>
      </c>
      <c r="AD48" s="103">
        <v>50.7</v>
      </c>
      <c r="AE48" s="103">
        <v>45.4</v>
      </c>
      <c r="AF48" s="103">
        <v>41.3</v>
      </c>
      <c r="AG48" s="103">
        <v>38</v>
      </c>
      <c r="AH48" s="103"/>
      <c r="AI48" s="103"/>
      <c r="AJ48" s="103"/>
      <c r="AK48" s="103"/>
      <c r="AL48" s="103"/>
      <c r="AM48" s="103"/>
      <c r="AN48" s="103"/>
      <c r="AO48" s="103"/>
      <c r="AP48" s="103"/>
      <c r="AQ48" s="103"/>
    </row>
    <row r="49" spans="1:43" x14ac:dyDescent="0.25">
      <c r="A49" s="17">
        <v>58</v>
      </c>
      <c r="B49" s="103">
        <v>340.4</v>
      </c>
      <c r="C49" s="103">
        <v>174.2</v>
      </c>
      <c r="D49" s="103">
        <v>118.8</v>
      </c>
      <c r="E49" s="103">
        <v>91.2</v>
      </c>
      <c r="F49" s="103">
        <v>74.7</v>
      </c>
      <c r="G49" s="103">
        <v>63.7</v>
      </c>
      <c r="H49" s="103">
        <v>55.8</v>
      </c>
      <c r="I49" s="103">
        <v>50</v>
      </c>
      <c r="J49" s="103">
        <v>45.5</v>
      </c>
      <c r="K49" s="103"/>
      <c r="L49" s="103"/>
      <c r="M49" s="103"/>
      <c r="N49" s="103"/>
      <c r="O49" s="103"/>
      <c r="P49" s="103"/>
      <c r="Q49" s="103"/>
      <c r="R49" s="103"/>
      <c r="S49" s="103"/>
      <c r="T49" s="103"/>
      <c r="U49" s="103"/>
      <c r="W49" s="17">
        <v>58</v>
      </c>
      <c r="X49" s="103">
        <v>315.2</v>
      </c>
      <c r="Y49" s="103">
        <v>161.30000000000001</v>
      </c>
      <c r="Z49" s="103">
        <v>110</v>
      </c>
      <c r="AA49" s="103">
        <v>84.4</v>
      </c>
      <c r="AB49" s="103">
        <v>69.099999999999994</v>
      </c>
      <c r="AC49" s="103">
        <v>58.9</v>
      </c>
      <c r="AD49" s="103">
        <v>51.7</v>
      </c>
      <c r="AE49" s="103">
        <v>46.3</v>
      </c>
      <c r="AF49" s="103">
        <v>42.1</v>
      </c>
      <c r="AG49" s="103"/>
      <c r="AH49" s="103"/>
      <c r="AI49" s="103"/>
      <c r="AJ49" s="103"/>
      <c r="AK49" s="103"/>
      <c r="AL49" s="103"/>
      <c r="AM49" s="103"/>
      <c r="AN49" s="103"/>
      <c r="AO49" s="103"/>
      <c r="AP49" s="103"/>
      <c r="AQ49" s="103"/>
    </row>
    <row r="50" spans="1:43" x14ac:dyDescent="0.25">
      <c r="A50" s="17">
        <v>59</v>
      </c>
      <c r="B50" s="103">
        <v>346.1</v>
      </c>
      <c r="C50" s="103">
        <v>177.2</v>
      </c>
      <c r="D50" s="103">
        <v>120.9</v>
      </c>
      <c r="E50" s="103">
        <v>92.8</v>
      </c>
      <c r="F50" s="103">
        <v>76</v>
      </c>
      <c r="G50" s="103">
        <v>64.8</v>
      </c>
      <c r="H50" s="103">
        <v>56.8</v>
      </c>
      <c r="I50" s="103">
        <v>50.9</v>
      </c>
      <c r="J50" s="103"/>
      <c r="K50" s="103"/>
      <c r="L50" s="103"/>
      <c r="M50" s="103"/>
      <c r="N50" s="103"/>
      <c r="O50" s="103"/>
      <c r="P50" s="103"/>
      <c r="Q50" s="103"/>
      <c r="R50" s="103"/>
      <c r="S50" s="103"/>
      <c r="T50" s="103"/>
      <c r="U50" s="103"/>
      <c r="W50" s="17">
        <v>59</v>
      </c>
      <c r="X50" s="103">
        <v>320.7</v>
      </c>
      <c r="Y50" s="103">
        <v>164.2</v>
      </c>
      <c r="Z50" s="103">
        <v>112</v>
      </c>
      <c r="AA50" s="103">
        <v>86</v>
      </c>
      <c r="AB50" s="103">
        <v>70.400000000000006</v>
      </c>
      <c r="AC50" s="103">
        <v>60</v>
      </c>
      <c r="AD50" s="103">
        <v>52.7</v>
      </c>
      <c r="AE50" s="103">
        <v>47.1</v>
      </c>
      <c r="AF50" s="103"/>
      <c r="AG50" s="103"/>
      <c r="AH50" s="103"/>
      <c r="AI50" s="103"/>
      <c r="AJ50" s="103"/>
      <c r="AK50" s="103"/>
      <c r="AL50" s="103"/>
      <c r="AM50" s="103"/>
      <c r="AN50" s="103"/>
      <c r="AO50" s="103"/>
      <c r="AP50" s="103"/>
      <c r="AQ50" s="103"/>
    </row>
    <row r="51" spans="1:43" x14ac:dyDescent="0.25">
      <c r="A51" s="17">
        <v>60</v>
      </c>
      <c r="B51" s="103">
        <v>352</v>
      </c>
      <c r="C51" s="103">
        <v>180.2</v>
      </c>
      <c r="D51" s="103">
        <v>123</v>
      </c>
      <c r="E51" s="103">
        <v>94.4</v>
      </c>
      <c r="F51" s="103">
        <v>77.3</v>
      </c>
      <c r="G51" s="103">
        <v>66</v>
      </c>
      <c r="H51" s="103">
        <v>57.9</v>
      </c>
      <c r="I51" s="103"/>
      <c r="J51" s="103"/>
      <c r="K51" s="103"/>
      <c r="L51" s="103"/>
      <c r="M51" s="103"/>
      <c r="N51" s="103"/>
      <c r="O51" s="103"/>
      <c r="P51" s="103"/>
      <c r="Q51" s="103"/>
      <c r="R51" s="103"/>
      <c r="S51" s="103"/>
      <c r="T51" s="103"/>
      <c r="U51" s="103"/>
      <c r="W51" s="17">
        <v>60</v>
      </c>
      <c r="X51" s="103">
        <v>326.39999999999998</v>
      </c>
      <c r="Y51" s="103">
        <v>167.1</v>
      </c>
      <c r="Z51" s="103">
        <v>114.1</v>
      </c>
      <c r="AA51" s="103">
        <v>87.6</v>
      </c>
      <c r="AB51" s="103">
        <v>71.7</v>
      </c>
      <c r="AC51" s="103">
        <v>61.2</v>
      </c>
      <c r="AD51" s="103">
        <v>53.6</v>
      </c>
      <c r="AE51" s="103"/>
      <c r="AF51" s="103"/>
      <c r="AG51" s="103"/>
      <c r="AH51" s="103"/>
      <c r="AI51" s="103"/>
      <c r="AJ51" s="103"/>
      <c r="AK51" s="103"/>
      <c r="AL51" s="103"/>
      <c r="AM51" s="103"/>
      <c r="AN51" s="103"/>
      <c r="AO51" s="103"/>
      <c r="AP51" s="103"/>
      <c r="AQ51" s="103"/>
    </row>
    <row r="52" spans="1:43" x14ac:dyDescent="0.25">
      <c r="A52" s="17">
        <v>61</v>
      </c>
      <c r="B52" s="103">
        <v>358</v>
      </c>
      <c r="C52" s="103">
        <v>183.3</v>
      </c>
      <c r="D52" s="103">
        <v>125.1</v>
      </c>
      <c r="E52" s="103">
        <v>96.1</v>
      </c>
      <c r="F52" s="103">
        <v>78.7</v>
      </c>
      <c r="G52" s="103">
        <v>67.099999999999994</v>
      </c>
      <c r="H52" s="103"/>
      <c r="I52" s="103"/>
      <c r="J52" s="103"/>
      <c r="K52" s="103"/>
      <c r="L52" s="103"/>
      <c r="M52" s="103"/>
      <c r="N52" s="103"/>
      <c r="O52" s="103"/>
      <c r="P52" s="103"/>
      <c r="Q52" s="103"/>
      <c r="R52" s="103"/>
      <c r="S52" s="103"/>
      <c r="T52" s="103"/>
      <c r="U52" s="103"/>
      <c r="W52" s="17">
        <v>61</v>
      </c>
      <c r="X52" s="103">
        <v>332.3</v>
      </c>
      <c r="Y52" s="103">
        <v>170.2</v>
      </c>
      <c r="Z52" s="103">
        <v>116.2</v>
      </c>
      <c r="AA52" s="103">
        <v>89.2</v>
      </c>
      <c r="AB52" s="103">
        <v>73.099999999999994</v>
      </c>
      <c r="AC52" s="103">
        <v>62.4</v>
      </c>
      <c r="AD52" s="103"/>
      <c r="AE52" s="103"/>
      <c r="AF52" s="103"/>
      <c r="AG52" s="103"/>
      <c r="AH52" s="103"/>
      <c r="AI52" s="103"/>
      <c r="AJ52" s="103"/>
      <c r="AK52" s="103"/>
      <c r="AL52" s="103"/>
      <c r="AM52" s="103"/>
      <c r="AN52" s="103"/>
      <c r="AO52" s="103"/>
      <c r="AP52" s="103"/>
      <c r="AQ52" s="103"/>
    </row>
    <row r="53" spans="1:43" x14ac:dyDescent="0.25">
      <c r="A53" s="17">
        <v>62</v>
      </c>
      <c r="B53" s="103">
        <v>364.2</v>
      </c>
      <c r="C53" s="103">
        <v>186.5</v>
      </c>
      <c r="D53" s="103">
        <v>127.4</v>
      </c>
      <c r="E53" s="103">
        <v>97.8</v>
      </c>
      <c r="F53" s="103">
        <v>80.2</v>
      </c>
      <c r="G53" s="103"/>
      <c r="H53" s="103"/>
      <c r="I53" s="103"/>
      <c r="J53" s="103"/>
      <c r="K53" s="103"/>
      <c r="L53" s="103"/>
      <c r="M53" s="103"/>
      <c r="N53" s="103"/>
      <c r="O53" s="103"/>
      <c r="P53" s="103"/>
      <c r="Q53" s="103"/>
      <c r="R53" s="103"/>
      <c r="S53" s="103"/>
      <c r="T53" s="103"/>
      <c r="U53" s="103"/>
      <c r="W53" s="17">
        <v>62</v>
      </c>
      <c r="X53" s="103">
        <v>338.3</v>
      </c>
      <c r="Y53" s="103">
        <v>173.3</v>
      </c>
      <c r="Z53" s="103">
        <v>118.3</v>
      </c>
      <c r="AA53" s="103">
        <v>90.9</v>
      </c>
      <c r="AB53" s="103">
        <v>74.5</v>
      </c>
      <c r="AC53" s="103"/>
      <c r="AD53" s="103"/>
      <c r="AE53" s="103"/>
      <c r="AF53" s="103"/>
      <c r="AG53" s="103"/>
      <c r="AH53" s="103"/>
      <c r="AI53" s="103"/>
      <c r="AJ53" s="103"/>
      <c r="AK53" s="103"/>
      <c r="AL53" s="103"/>
      <c r="AM53" s="103"/>
      <c r="AN53" s="103"/>
      <c r="AO53" s="103"/>
      <c r="AP53" s="103"/>
      <c r="AQ53" s="103"/>
    </row>
    <row r="54" spans="1:43" x14ac:dyDescent="0.25">
      <c r="A54" s="17">
        <v>63</v>
      </c>
      <c r="B54" s="103">
        <v>370.6</v>
      </c>
      <c r="C54" s="103">
        <v>189.8</v>
      </c>
      <c r="D54" s="103">
        <v>129.69999999999999</v>
      </c>
      <c r="E54" s="103">
        <v>99.6</v>
      </c>
      <c r="F54" s="103"/>
      <c r="G54" s="103"/>
      <c r="H54" s="103"/>
      <c r="I54" s="103"/>
      <c r="J54" s="103"/>
      <c r="K54" s="103"/>
      <c r="L54" s="103"/>
      <c r="M54" s="103"/>
      <c r="N54" s="103"/>
      <c r="O54" s="103"/>
      <c r="P54" s="103"/>
      <c r="Q54" s="103"/>
      <c r="R54" s="103"/>
      <c r="S54" s="103"/>
      <c r="T54" s="103"/>
      <c r="U54" s="103"/>
      <c r="W54" s="17">
        <v>63</v>
      </c>
      <c r="X54" s="103">
        <v>344.6</v>
      </c>
      <c r="Y54" s="103">
        <v>176.6</v>
      </c>
      <c r="Z54" s="103">
        <v>120.6</v>
      </c>
      <c r="AA54" s="103">
        <v>92.7</v>
      </c>
      <c r="AB54" s="103"/>
      <c r="AC54" s="103"/>
      <c r="AD54" s="103"/>
      <c r="AE54" s="103"/>
      <c r="AF54" s="103"/>
      <c r="AG54" s="103"/>
      <c r="AH54" s="103"/>
      <c r="AI54" s="103"/>
      <c r="AJ54" s="103"/>
      <c r="AK54" s="103"/>
      <c r="AL54" s="103"/>
      <c r="AM54" s="103"/>
      <c r="AN54" s="103"/>
      <c r="AO54" s="103"/>
      <c r="AP54" s="103"/>
      <c r="AQ54" s="103"/>
    </row>
    <row r="55" spans="1:43" x14ac:dyDescent="0.25">
      <c r="A55" s="17">
        <v>64</v>
      </c>
      <c r="B55" s="103">
        <v>377.3</v>
      </c>
      <c r="C55" s="103">
        <v>193.3</v>
      </c>
      <c r="D55" s="103">
        <v>132</v>
      </c>
      <c r="E55" s="103"/>
      <c r="F55" s="103"/>
      <c r="G55" s="103"/>
      <c r="H55" s="103"/>
      <c r="I55" s="103"/>
      <c r="J55" s="103"/>
      <c r="K55" s="103"/>
      <c r="L55" s="103"/>
      <c r="M55" s="103"/>
      <c r="N55" s="103"/>
      <c r="O55" s="103"/>
      <c r="P55" s="103"/>
      <c r="Q55" s="103"/>
      <c r="R55" s="103"/>
      <c r="S55" s="103"/>
      <c r="T55" s="103"/>
      <c r="U55" s="103"/>
      <c r="W55" s="17">
        <v>64</v>
      </c>
      <c r="X55" s="103">
        <v>351.2</v>
      </c>
      <c r="Y55" s="103">
        <v>180</v>
      </c>
      <c r="Z55" s="103">
        <v>123</v>
      </c>
      <c r="AA55" s="103"/>
      <c r="AB55" s="103"/>
      <c r="AC55" s="103"/>
      <c r="AD55" s="103"/>
      <c r="AE55" s="103"/>
      <c r="AF55" s="103"/>
      <c r="AG55" s="103"/>
      <c r="AH55" s="103"/>
      <c r="AI55" s="103"/>
      <c r="AJ55" s="103"/>
      <c r="AK55" s="103"/>
      <c r="AL55" s="103"/>
      <c r="AM55" s="103"/>
      <c r="AN55" s="103"/>
      <c r="AO55" s="103"/>
      <c r="AP55" s="103"/>
      <c r="AQ55" s="103"/>
    </row>
    <row r="56" spans="1:43" x14ac:dyDescent="0.25">
      <c r="A56" s="17">
        <v>65</v>
      </c>
      <c r="B56" s="103">
        <v>384.3</v>
      </c>
      <c r="C56" s="103">
        <v>197</v>
      </c>
      <c r="D56" s="103"/>
      <c r="E56" s="103"/>
      <c r="F56" s="103"/>
      <c r="G56" s="103"/>
      <c r="H56" s="103"/>
      <c r="I56" s="103"/>
      <c r="J56" s="103"/>
      <c r="K56" s="103"/>
      <c r="L56" s="103"/>
      <c r="M56" s="103"/>
      <c r="N56" s="103"/>
      <c r="O56" s="103"/>
      <c r="P56" s="103"/>
      <c r="Q56" s="103"/>
      <c r="R56" s="103"/>
      <c r="S56" s="103"/>
      <c r="T56" s="103"/>
      <c r="U56" s="103"/>
      <c r="W56" s="17">
        <v>65</v>
      </c>
      <c r="X56" s="103">
        <v>358.1</v>
      </c>
      <c r="Y56" s="103">
        <v>183.5</v>
      </c>
      <c r="Z56" s="103"/>
      <c r="AA56" s="103"/>
      <c r="AB56" s="103"/>
      <c r="AC56" s="103"/>
      <c r="AD56" s="103"/>
      <c r="AE56" s="103"/>
      <c r="AF56" s="103"/>
      <c r="AG56" s="103"/>
      <c r="AH56" s="103"/>
      <c r="AI56" s="103"/>
      <c r="AJ56" s="103"/>
      <c r="AK56" s="103"/>
      <c r="AL56" s="103"/>
      <c r="AM56" s="103"/>
      <c r="AN56" s="103"/>
      <c r="AO56" s="103"/>
      <c r="AP56" s="103"/>
      <c r="AQ56" s="103"/>
    </row>
    <row r="57" spans="1:43" x14ac:dyDescent="0.25">
      <c r="A57" s="17">
        <v>66</v>
      </c>
      <c r="B57" s="103">
        <v>391.4</v>
      </c>
      <c r="C57" s="103"/>
      <c r="D57" s="103"/>
      <c r="E57" s="103"/>
      <c r="F57" s="103"/>
      <c r="G57" s="103"/>
      <c r="H57" s="103"/>
      <c r="I57" s="103"/>
      <c r="J57" s="103"/>
      <c r="K57" s="103"/>
      <c r="L57" s="103"/>
      <c r="M57" s="103"/>
      <c r="N57" s="103"/>
      <c r="O57" s="103"/>
      <c r="P57" s="103"/>
      <c r="Q57" s="103"/>
      <c r="R57" s="103"/>
      <c r="S57" s="103"/>
      <c r="T57" s="103"/>
      <c r="U57" s="103"/>
      <c r="W57" s="17">
        <v>66</v>
      </c>
      <c r="X57" s="103">
        <v>365.1</v>
      </c>
      <c r="Y57" s="103"/>
      <c r="Z57" s="103"/>
      <c r="AA57" s="103"/>
      <c r="AB57" s="103"/>
      <c r="AC57" s="103"/>
      <c r="AD57" s="103"/>
      <c r="AE57" s="103"/>
      <c r="AF57" s="103"/>
      <c r="AG57" s="103"/>
      <c r="AH57" s="103"/>
      <c r="AI57" s="103"/>
      <c r="AJ57" s="103"/>
      <c r="AK57" s="103"/>
      <c r="AL57" s="103"/>
      <c r="AM57" s="103"/>
      <c r="AN57" s="103"/>
      <c r="AO57" s="103"/>
      <c r="AP57" s="103"/>
      <c r="AQ57" s="103"/>
    </row>
  </sheetData>
  <mergeCells count="2">
    <mergeCell ref="B5:U5"/>
    <mergeCell ref="X5:AQ5"/>
  </mergeCells>
  <conditionalFormatting sqref="U1:V2">
    <cfRule type="expression" dxfId="7" priority="1" stopIfTrue="1">
      <formula>MOD(ROW(),2)=0</formula>
    </cfRule>
    <cfRule type="expression" dxfId="6" priority="2" stopIfTrue="1">
      <formula>MOD(ROW(),2)&lt;&gt;0</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dimension ref="A1:AQ58"/>
  <sheetViews>
    <sheetView topLeftCell="K1" workbookViewId="0">
      <selection activeCell="T2" sqref="T2"/>
    </sheetView>
  </sheetViews>
  <sheetFormatPr defaultColWidth="9.140625" defaultRowHeight="15" x14ac:dyDescent="0.25"/>
  <cols>
    <col min="1" max="1" width="14.28515625" style="15" customWidth="1"/>
    <col min="2" max="3" width="8.85546875" style="15" customWidth="1"/>
    <col min="4" max="4" width="9.140625" style="15"/>
    <col min="5" max="5" width="8.85546875" style="15" customWidth="1"/>
    <col min="6" max="11" width="9.140625" style="15"/>
    <col min="12" max="12" width="12" style="15" customWidth="1"/>
    <col min="13" max="21" width="9.140625" style="15"/>
    <col min="22" max="22" width="14" style="15" customWidth="1"/>
    <col min="23" max="23" width="14.28515625" style="15" customWidth="1"/>
    <col min="24" max="16384" width="9.140625" style="15"/>
  </cols>
  <sheetData>
    <row r="1" spans="1:43" ht="51.75" x14ac:dyDescent="0.25">
      <c r="U1" s="112" t="s">
        <v>140</v>
      </c>
      <c r="V1" s="114">
        <v>46204</v>
      </c>
    </row>
    <row r="2" spans="1:43" ht="39" x14ac:dyDescent="0.25">
      <c r="A2" s="16" t="s">
        <v>40</v>
      </c>
      <c r="U2" s="112" t="s">
        <v>142</v>
      </c>
      <c r="V2" s="112" t="s">
        <v>143</v>
      </c>
      <c r="W2" s="16" t="s">
        <v>40</v>
      </c>
    </row>
    <row r="3" spans="1:43" ht="21" x14ac:dyDescent="0.35">
      <c r="A3" s="16" t="s">
        <v>72</v>
      </c>
      <c r="I3" s="111" t="s">
        <v>132</v>
      </c>
      <c r="W3" s="16" t="s">
        <v>73</v>
      </c>
      <c r="AC3" s="111" t="s">
        <v>133</v>
      </c>
    </row>
    <row r="4" spans="1:43" ht="15.75" thickBot="1" x14ac:dyDescent="0.3"/>
    <row r="5" spans="1:43" ht="51" customHeight="1" thickBot="1" x14ac:dyDescent="0.3">
      <c r="A5" s="18" t="s">
        <v>63</v>
      </c>
      <c r="B5" s="222" t="s">
        <v>41</v>
      </c>
      <c r="C5" s="222"/>
      <c r="D5" s="222"/>
      <c r="E5" s="222"/>
      <c r="F5" s="222"/>
      <c r="G5" s="222"/>
      <c r="H5" s="222"/>
      <c r="I5" s="222"/>
      <c r="J5" s="222"/>
      <c r="K5" s="222"/>
      <c r="L5" s="222"/>
      <c r="M5" s="222"/>
      <c r="N5" s="222"/>
      <c r="O5" s="222"/>
      <c r="P5" s="222"/>
      <c r="Q5" s="222"/>
      <c r="R5" s="222"/>
      <c r="S5" s="222"/>
      <c r="T5" s="222"/>
      <c r="U5" s="222"/>
      <c r="W5" s="18" t="s">
        <v>63</v>
      </c>
      <c r="X5" s="222" t="s">
        <v>41</v>
      </c>
      <c r="Y5" s="222"/>
      <c r="Z5" s="222"/>
      <c r="AA5" s="222"/>
      <c r="AB5" s="222"/>
      <c r="AC5" s="222"/>
      <c r="AD5" s="222"/>
      <c r="AE5" s="222"/>
      <c r="AF5" s="222"/>
      <c r="AG5" s="222"/>
      <c r="AH5" s="222"/>
      <c r="AI5" s="222"/>
      <c r="AJ5" s="222"/>
      <c r="AK5" s="222"/>
      <c r="AL5" s="222"/>
      <c r="AM5" s="222"/>
      <c r="AN5" s="222"/>
      <c r="AO5" s="222"/>
      <c r="AP5" s="222"/>
      <c r="AQ5" s="222"/>
    </row>
    <row r="6" spans="1:43" ht="39" customHeight="1" thickBot="1" x14ac:dyDescent="0.3">
      <c r="A6" s="70" t="s">
        <v>64</v>
      </c>
      <c r="B6" s="19">
        <v>1</v>
      </c>
      <c r="C6" s="19">
        <v>2</v>
      </c>
      <c r="D6" s="19">
        <v>3</v>
      </c>
      <c r="E6" s="19">
        <v>4</v>
      </c>
      <c r="F6" s="19">
        <v>5</v>
      </c>
      <c r="G6" s="19">
        <v>6</v>
      </c>
      <c r="H6" s="19">
        <v>7</v>
      </c>
      <c r="I6" s="19">
        <v>8</v>
      </c>
      <c r="J6" s="19">
        <v>9</v>
      </c>
      <c r="K6" s="19">
        <v>10</v>
      </c>
      <c r="L6" s="19">
        <v>11</v>
      </c>
      <c r="M6" s="19">
        <v>12</v>
      </c>
      <c r="N6" s="19">
        <v>13</v>
      </c>
      <c r="O6" s="19">
        <v>14</v>
      </c>
      <c r="P6" s="19">
        <v>15</v>
      </c>
      <c r="Q6" s="19">
        <v>16</v>
      </c>
      <c r="R6" s="19">
        <v>17</v>
      </c>
      <c r="S6" s="19">
        <v>18</v>
      </c>
      <c r="T6" s="19">
        <v>19</v>
      </c>
      <c r="U6" s="19">
        <v>20</v>
      </c>
      <c r="W6" s="70" t="s">
        <v>64</v>
      </c>
      <c r="X6" s="19">
        <v>1</v>
      </c>
      <c r="Y6" s="19">
        <v>2</v>
      </c>
      <c r="Z6" s="19">
        <v>3</v>
      </c>
      <c r="AA6" s="19">
        <v>4</v>
      </c>
      <c r="AB6" s="19">
        <v>5</v>
      </c>
      <c r="AC6" s="19">
        <v>6</v>
      </c>
      <c r="AD6" s="19">
        <v>7</v>
      </c>
      <c r="AE6" s="19">
        <v>8</v>
      </c>
      <c r="AF6" s="19">
        <v>9</v>
      </c>
      <c r="AG6" s="19">
        <v>10</v>
      </c>
      <c r="AH6" s="19">
        <v>11</v>
      </c>
      <c r="AI6" s="19">
        <v>12</v>
      </c>
      <c r="AJ6" s="19">
        <v>13</v>
      </c>
      <c r="AK6" s="19">
        <v>14</v>
      </c>
      <c r="AL6" s="19">
        <v>15</v>
      </c>
      <c r="AM6" s="19">
        <v>16</v>
      </c>
      <c r="AN6" s="19">
        <v>17</v>
      </c>
      <c r="AO6" s="19">
        <v>18</v>
      </c>
      <c r="AP6" s="19">
        <v>19</v>
      </c>
      <c r="AQ6" s="19">
        <v>20</v>
      </c>
    </row>
    <row r="7" spans="1:43" x14ac:dyDescent="0.25">
      <c r="A7" s="17">
        <v>16</v>
      </c>
      <c r="B7" s="20"/>
      <c r="C7" s="20"/>
      <c r="D7" s="20"/>
      <c r="E7" s="20"/>
      <c r="F7" s="20"/>
      <c r="G7" s="20"/>
      <c r="H7" s="20"/>
      <c r="I7" s="20"/>
      <c r="J7" s="20"/>
      <c r="K7" s="20"/>
      <c r="L7" s="20"/>
      <c r="M7" s="20"/>
      <c r="N7" s="20"/>
      <c r="O7" s="20"/>
      <c r="P7" s="20"/>
      <c r="Q7" s="20"/>
      <c r="R7" s="20"/>
      <c r="S7" s="20"/>
      <c r="T7" s="20"/>
      <c r="U7" s="20"/>
      <c r="W7" s="17">
        <v>16</v>
      </c>
      <c r="X7" s="20"/>
      <c r="Y7" s="20"/>
      <c r="Z7" s="20"/>
      <c r="AA7" s="20"/>
      <c r="AB7" s="20"/>
      <c r="AC7" s="20"/>
      <c r="AD7" s="20"/>
      <c r="AE7" s="20"/>
      <c r="AF7" s="20"/>
      <c r="AG7" s="20"/>
      <c r="AH7" s="20"/>
      <c r="AI7" s="20"/>
      <c r="AJ7" s="20"/>
      <c r="AK7" s="20"/>
      <c r="AL7" s="20"/>
      <c r="AM7" s="20"/>
      <c r="AN7" s="20"/>
      <c r="AO7" s="20"/>
      <c r="AP7" s="20"/>
      <c r="AQ7" s="20"/>
    </row>
    <row r="8" spans="1:43" x14ac:dyDescent="0.25">
      <c r="A8" s="17">
        <v>17</v>
      </c>
      <c r="B8" s="20"/>
      <c r="C8" s="20"/>
      <c r="D8" s="20"/>
      <c r="E8" s="20"/>
      <c r="F8" s="20"/>
      <c r="G8" s="20"/>
      <c r="H8" s="20"/>
      <c r="I8" s="20"/>
      <c r="J8" s="20"/>
      <c r="K8" s="20"/>
      <c r="L8" s="20"/>
      <c r="M8" s="20"/>
      <c r="N8" s="20"/>
      <c r="O8" s="20"/>
      <c r="P8" s="20"/>
      <c r="Q8" s="20"/>
      <c r="R8" s="20"/>
      <c r="S8" s="20"/>
      <c r="T8" s="20"/>
      <c r="U8" s="20"/>
      <c r="W8" s="17">
        <v>17</v>
      </c>
      <c r="X8" s="20"/>
      <c r="Y8" s="20"/>
      <c r="Z8" s="20"/>
      <c r="AA8" s="20"/>
      <c r="AB8" s="20"/>
      <c r="AC8" s="20"/>
      <c r="AD8" s="20"/>
      <c r="AE8" s="20"/>
      <c r="AF8" s="20"/>
      <c r="AG8" s="20"/>
      <c r="AH8" s="20"/>
      <c r="AI8" s="20"/>
      <c r="AJ8" s="20"/>
      <c r="AK8" s="20"/>
      <c r="AL8" s="20"/>
      <c r="AM8" s="20"/>
      <c r="AN8" s="20"/>
      <c r="AO8" s="20"/>
      <c r="AP8" s="20"/>
      <c r="AQ8" s="20"/>
    </row>
    <row r="9" spans="1:43" x14ac:dyDescent="0.25">
      <c r="A9" s="17">
        <v>18</v>
      </c>
      <c r="B9" s="20"/>
      <c r="C9" s="20"/>
      <c r="D9" s="20"/>
      <c r="E9" s="20"/>
      <c r="F9" s="20"/>
      <c r="G9" s="20"/>
      <c r="H9" s="20"/>
      <c r="I9" s="20"/>
      <c r="J9" s="20"/>
      <c r="K9" s="20"/>
      <c r="L9" s="20"/>
      <c r="M9" s="20"/>
      <c r="N9" s="20"/>
      <c r="O9" s="20"/>
      <c r="P9" s="20"/>
      <c r="Q9" s="20"/>
      <c r="R9" s="20"/>
      <c r="S9" s="20"/>
      <c r="T9" s="20"/>
      <c r="U9" s="20"/>
      <c r="W9" s="17">
        <v>18</v>
      </c>
      <c r="X9" s="20"/>
      <c r="Y9" s="20"/>
      <c r="Z9" s="20"/>
      <c r="AA9" s="20"/>
      <c r="AB9" s="20"/>
      <c r="AC9" s="20"/>
      <c r="AD9" s="20"/>
      <c r="AE9" s="20"/>
      <c r="AF9" s="20"/>
      <c r="AG9" s="20"/>
      <c r="AH9" s="20"/>
      <c r="AI9" s="20"/>
      <c r="AJ9" s="20"/>
      <c r="AK9" s="20"/>
      <c r="AL9" s="20"/>
      <c r="AM9" s="20"/>
      <c r="AN9" s="20"/>
      <c r="AO9" s="20"/>
      <c r="AP9" s="20"/>
      <c r="AQ9" s="20"/>
    </row>
    <row r="10" spans="1:43" x14ac:dyDescent="0.25">
      <c r="A10" s="17">
        <v>19</v>
      </c>
      <c r="B10" s="20"/>
      <c r="C10" s="20"/>
      <c r="D10" s="20"/>
      <c r="E10" s="20"/>
      <c r="F10" s="20"/>
      <c r="G10" s="20"/>
      <c r="H10" s="20"/>
      <c r="I10" s="20"/>
      <c r="J10" s="20"/>
      <c r="K10" s="20"/>
      <c r="L10" s="20"/>
      <c r="M10" s="20"/>
      <c r="N10" s="20"/>
      <c r="O10" s="20"/>
      <c r="P10" s="20"/>
      <c r="Q10" s="20"/>
      <c r="R10" s="20"/>
      <c r="S10" s="20"/>
      <c r="T10" s="20"/>
      <c r="U10" s="20"/>
      <c r="W10" s="17">
        <v>19</v>
      </c>
      <c r="X10" s="20"/>
      <c r="Y10" s="20"/>
      <c r="Z10" s="20"/>
      <c r="AA10" s="20"/>
      <c r="AB10" s="20"/>
      <c r="AC10" s="20"/>
      <c r="AD10" s="20"/>
      <c r="AE10" s="20"/>
      <c r="AF10" s="20"/>
      <c r="AG10" s="20"/>
      <c r="AH10" s="20"/>
      <c r="AI10" s="20"/>
      <c r="AJ10" s="20"/>
      <c r="AK10" s="20"/>
      <c r="AL10" s="20"/>
      <c r="AM10" s="20"/>
      <c r="AN10" s="20"/>
      <c r="AO10" s="20"/>
      <c r="AP10" s="20"/>
      <c r="AQ10" s="20"/>
    </row>
    <row r="11" spans="1:43" x14ac:dyDescent="0.25">
      <c r="A11" s="17">
        <v>20</v>
      </c>
      <c r="B11" s="103">
        <v>170.4</v>
      </c>
      <c r="C11" s="103">
        <v>86.9</v>
      </c>
      <c r="D11" s="103">
        <v>59.1</v>
      </c>
      <c r="E11" s="103">
        <v>45.2</v>
      </c>
      <c r="F11" s="103">
        <v>36.799999999999997</v>
      </c>
      <c r="G11" s="103">
        <v>31.3</v>
      </c>
      <c r="H11" s="103">
        <v>27.3</v>
      </c>
      <c r="I11" s="103">
        <v>24.4</v>
      </c>
      <c r="J11" s="103">
        <v>22.1</v>
      </c>
      <c r="K11" s="103">
        <v>20.2</v>
      </c>
      <c r="L11" s="103">
        <v>18.7</v>
      </c>
      <c r="M11" s="103">
        <v>17.5</v>
      </c>
      <c r="N11" s="103">
        <v>16.5</v>
      </c>
      <c r="O11" s="103">
        <v>15.6</v>
      </c>
      <c r="P11" s="103">
        <v>14.8</v>
      </c>
      <c r="Q11" s="103">
        <v>14.1</v>
      </c>
      <c r="R11" s="103">
        <v>13.5</v>
      </c>
      <c r="S11" s="103">
        <v>13</v>
      </c>
      <c r="T11" s="103">
        <v>12.5</v>
      </c>
      <c r="U11" s="103">
        <v>12.1</v>
      </c>
      <c r="W11" s="17">
        <v>20</v>
      </c>
      <c r="X11" s="103">
        <v>155.80000000000001</v>
      </c>
      <c r="Y11" s="103">
        <v>79.400000000000006</v>
      </c>
      <c r="Z11" s="103">
        <v>54</v>
      </c>
      <c r="AA11" s="103">
        <v>41.3</v>
      </c>
      <c r="AB11" s="103">
        <v>33.700000000000003</v>
      </c>
      <c r="AC11" s="103">
        <v>28.6</v>
      </c>
      <c r="AD11" s="103">
        <v>25</v>
      </c>
      <c r="AE11" s="103">
        <v>22.3</v>
      </c>
      <c r="AF11" s="103">
        <v>20.2</v>
      </c>
      <c r="AG11" s="103">
        <v>18.5</v>
      </c>
      <c r="AH11" s="103">
        <v>17.100000000000001</v>
      </c>
      <c r="AI11" s="103">
        <v>16</v>
      </c>
      <c r="AJ11" s="103">
        <v>15</v>
      </c>
      <c r="AK11" s="103">
        <v>14.2</v>
      </c>
      <c r="AL11" s="103">
        <v>13.5</v>
      </c>
      <c r="AM11" s="103">
        <v>12.9</v>
      </c>
      <c r="AN11" s="103">
        <v>12.4</v>
      </c>
      <c r="AO11" s="103">
        <v>11.9</v>
      </c>
      <c r="AP11" s="103">
        <v>11.5</v>
      </c>
      <c r="AQ11" s="103">
        <v>11.1</v>
      </c>
    </row>
    <row r="12" spans="1:43" x14ac:dyDescent="0.25">
      <c r="A12" s="17">
        <v>21</v>
      </c>
      <c r="B12" s="103">
        <v>173.4</v>
      </c>
      <c r="C12" s="103">
        <v>88.4</v>
      </c>
      <c r="D12" s="103">
        <v>60.1</v>
      </c>
      <c r="E12" s="103">
        <v>46</v>
      </c>
      <c r="F12" s="103">
        <v>37.5</v>
      </c>
      <c r="G12" s="103">
        <v>31.8</v>
      </c>
      <c r="H12" s="103">
        <v>27.8</v>
      </c>
      <c r="I12" s="103">
        <v>24.8</v>
      </c>
      <c r="J12" s="103">
        <v>22.5</v>
      </c>
      <c r="K12" s="103">
        <v>20.6</v>
      </c>
      <c r="L12" s="103">
        <v>19.100000000000001</v>
      </c>
      <c r="M12" s="103">
        <v>17.8</v>
      </c>
      <c r="N12" s="103">
        <v>16.7</v>
      </c>
      <c r="O12" s="103">
        <v>15.8</v>
      </c>
      <c r="P12" s="103">
        <v>15</v>
      </c>
      <c r="Q12" s="103">
        <v>14.4</v>
      </c>
      <c r="R12" s="103">
        <v>13.8</v>
      </c>
      <c r="S12" s="103">
        <v>13.2</v>
      </c>
      <c r="T12" s="103">
        <v>12.8</v>
      </c>
      <c r="U12" s="103">
        <v>12.3</v>
      </c>
      <c r="W12" s="17">
        <v>21</v>
      </c>
      <c r="X12" s="103">
        <v>158.6</v>
      </c>
      <c r="Y12" s="103">
        <v>80.900000000000006</v>
      </c>
      <c r="Z12" s="103">
        <v>55</v>
      </c>
      <c r="AA12" s="103">
        <v>42</v>
      </c>
      <c r="AB12" s="103">
        <v>34.299999999999997</v>
      </c>
      <c r="AC12" s="103">
        <v>29.1</v>
      </c>
      <c r="AD12" s="103">
        <v>25.4</v>
      </c>
      <c r="AE12" s="103">
        <v>22.7</v>
      </c>
      <c r="AF12" s="103">
        <v>20.5</v>
      </c>
      <c r="AG12" s="103">
        <v>18.8</v>
      </c>
      <c r="AH12" s="103">
        <v>17.399999999999999</v>
      </c>
      <c r="AI12" s="103">
        <v>16.3</v>
      </c>
      <c r="AJ12" s="103">
        <v>15.3</v>
      </c>
      <c r="AK12" s="103">
        <v>14.5</v>
      </c>
      <c r="AL12" s="103">
        <v>13.8</v>
      </c>
      <c r="AM12" s="103">
        <v>13.1</v>
      </c>
      <c r="AN12" s="103">
        <v>12.6</v>
      </c>
      <c r="AO12" s="103">
        <v>12.1</v>
      </c>
      <c r="AP12" s="103">
        <v>11.7</v>
      </c>
      <c r="AQ12" s="103">
        <v>11.3</v>
      </c>
    </row>
    <row r="13" spans="1:43" x14ac:dyDescent="0.25">
      <c r="A13" s="17">
        <v>22</v>
      </c>
      <c r="B13" s="103">
        <v>176.5</v>
      </c>
      <c r="C13" s="103">
        <v>90</v>
      </c>
      <c r="D13" s="103">
        <v>61.2</v>
      </c>
      <c r="E13" s="103">
        <v>46.8</v>
      </c>
      <c r="F13" s="103">
        <v>38.200000000000003</v>
      </c>
      <c r="G13" s="103">
        <v>32.4</v>
      </c>
      <c r="H13" s="103">
        <v>28.3</v>
      </c>
      <c r="I13" s="103">
        <v>25.3</v>
      </c>
      <c r="J13" s="103">
        <v>22.9</v>
      </c>
      <c r="K13" s="103">
        <v>21</v>
      </c>
      <c r="L13" s="103">
        <v>19.399999999999999</v>
      </c>
      <c r="M13" s="103">
        <v>18.100000000000001</v>
      </c>
      <c r="N13" s="103">
        <v>17</v>
      </c>
      <c r="O13" s="103">
        <v>16.100000000000001</v>
      </c>
      <c r="P13" s="103">
        <v>15.3</v>
      </c>
      <c r="Q13" s="103">
        <v>14.6</v>
      </c>
      <c r="R13" s="103">
        <v>14</v>
      </c>
      <c r="S13" s="103">
        <v>13.5</v>
      </c>
      <c r="T13" s="103">
        <v>13</v>
      </c>
      <c r="U13" s="103">
        <v>12.6</v>
      </c>
      <c r="W13" s="17">
        <v>22</v>
      </c>
      <c r="X13" s="103">
        <v>161.4</v>
      </c>
      <c r="Y13" s="103">
        <v>82.3</v>
      </c>
      <c r="Z13" s="103">
        <v>56</v>
      </c>
      <c r="AA13" s="103">
        <v>42.8</v>
      </c>
      <c r="AB13" s="103">
        <v>34.9</v>
      </c>
      <c r="AC13" s="103">
        <v>29.6</v>
      </c>
      <c r="AD13" s="103">
        <v>25.9</v>
      </c>
      <c r="AE13" s="103">
        <v>23.1</v>
      </c>
      <c r="AF13" s="103">
        <v>20.9</v>
      </c>
      <c r="AG13" s="103">
        <v>19.2</v>
      </c>
      <c r="AH13" s="103">
        <v>17.8</v>
      </c>
      <c r="AI13" s="103">
        <v>16.600000000000001</v>
      </c>
      <c r="AJ13" s="103">
        <v>15.6</v>
      </c>
      <c r="AK13" s="103">
        <v>14.7</v>
      </c>
      <c r="AL13" s="103">
        <v>14</v>
      </c>
      <c r="AM13" s="103">
        <v>13.4</v>
      </c>
      <c r="AN13" s="103">
        <v>12.8</v>
      </c>
      <c r="AO13" s="103">
        <v>12.3</v>
      </c>
      <c r="AP13" s="103">
        <v>11.9</v>
      </c>
      <c r="AQ13" s="103">
        <v>11.5</v>
      </c>
    </row>
    <row r="14" spans="1:43" x14ac:dyDescent="0.25">
      <c r="A14" s="17">
        <v>23</v>
      </c>
      <c r="B14" s="103">
        <v>179.7</v>
      </c>
      <c r="C14" s="103">
        <v>91.6</v>
      </c>
      <c r="D14" s="103">
        <v>62.3</v>
      </c>
      <c r="E14" s="103">
        <v>47.6</v>
      </c>
      <c r="F14" s="103">
        <v>38.799999999999997</v>
      </c>
      <c r="G14" s="103">
        <v>33</v>
      </c>
      <c r="H14" s="103">
        <v>28.8</v>
      </c>
      <c r="I14" s="103">
        <v>25.7</v>
      </c>
      <c r="J14" s="103">
        <v>23.3</v>
      </c>
      <c r="K14" s="103">
        <v>21.4</v>
      </c>
      <c r="L14" s="103">
        <v>19.8</v>
      </c>
      <c r="M14" s="103">
        <v>18.5</v>
      </c>
      <c r="N14" s="103">
        <v>17.399999999999999</v>
      </c>
      <c r="O14" s="103">
        <v>16.399999999999999</v>
      </c>
      <c r="P14" s="103">
        <v>15.6</v>
      </c>
      <c r="Q14" s="103">
        <v>14.9</v>
      </c>
      <c r="R14" s="103">
        <v>14.3</v>
      </c>
      <c r="S14" s="103">
        <v>13.7</v>
      </c>
      <c r="T14" s="103">
        <v>13.2</v>
      </c>
      <c r="U14" s="103">
        <v>12.8</v>
      </c>
      <c r="W14" s="17">
        <v>23</v>
      </c>
      <c r="X14" s="103">
        <v>164.3</v>
      </c>
      <c r="Y14" s="103">
        <v>83.8</v>
      </c>
      <c r="Z14" s="103">
        <v>57</v>
      </c>
      <c r="AA14" s="103">
        <v>43.6</v>
      </c>
      <c r="AB14" s="103">
        <v>35.5</v>
      </c>
      <c r="AC14" s="103">
        <v>30.2</v>
      </c>
      <c r="AD14" s="103">
        <v>26.4</v>
      </c>
      <c r="AE14" s="103">
        <v>23.5</v>
      </c>
      <c r="AF14" s="103">
        <v>21.3</v>
      </c>
      <c r="AG14" s="103">
        <v>19.5</v>
      </c>
      <c r="AH14" s="103">
        <v>18.100000000000001</v>
      </c>
      <c r="AI14" s="103">
        <v>16.899999999999999</v>
      </c>
      <c r="AJ14" s="103">
        <v>15.9</v>
      </c>
      <c r="AK14" s="103">
        <v>15</v>
      </c>
      <c r="AL14" s="103">
        <v>14.3</v>
      </c>
      <c r="AM14" s="103">
        <v>13.6</v>
      </c>
      <c r="AN14" s="103">
        <v>13</v>
      </c>
      <c r="AO14" s="103">
        <v>12.5</v>
      </c>
      <c r="AP14" s="103">
        <v>12.1</v>
      </c>
      <c r="AQ14" s="103">
        <v>11.7</v>
      </c>
    </row>
    <row r="15" spans="1:43" x14ac:dyDescent="0.25">
      <c r="A15" s="17">
        <v>24</v>
      </c>
      <c r="B15" s="103">
        <v>182.9</v>
      </c>
      <c r="C15" s="103">
        <v>93.3</v>
      </c>
      <c r="D15" s="103">
        <v>63.4</v>
      </c>
      <c r="E15" s="103">
        <v>48.5</v>
      </c>
      <c r="F15" s="103">
        <v>39.5</v>
      </c>
      <c r="G15" s="103">
        <v>33.6</v>
      </c>
      <c r="H15" s="103">
        <v>29.3</v>
      </c>
      <c r="I15" s="103">
        <v>26.2</v>
      </c>
      <c r="J15" s="103">
        <v>23.7</v>
      </c>
      <c r="K15" s="103">
        <v>21.7</v>
      </c>
      <c r="L15" s="103">
        <v>20.100000000000001</v>
      </c>
      <c r="M15" s="103">
        <v>18.8</v>
      </c>
      <c r="N15" s="103">
        <v>17.7</v>
      </c>
      <c r="O15" s="103">
        <v>16.7</v>
      </c>
      <c r="P15" s="103">
        <v>15.9</v>
      </c>
      <c r="Q15" s="103">
        <v>15.2</v>
      </c>
      <c r="R15" s="103">
        <v>14.5</v>
      </c>
      <c r="S15" s="103">
        <v>14</v>
      </c>
      <c r="T15" s="103">
        <v>13.5</v>
      </c>
      <c r="U15" s="103">
        <v>13</v>
      </c>
      <c r="W15" s="17">
        <v>24</v>
      </c>
      <c r="X15" s="103">
        <v>167.2</v>
      </c>
      <c r="Y15" s="103">
        <v>85.3</v>
      </c>
      <c r="Z15" s="103">
        <v>58</v>
      </c>
      <c r="AA15" s="103">
        <v>44.3</v>
      </c>
      <c r="AB15" s="103">
        <v>36.200000000000003</v>
      </c>
      <c r="AC15" s="103">
        <v>30.7</v>
      </c>
      <c r="AD15" s="103">
        <v>26.8</v>
      </c>
      <c r="AE15" s="103">
        <v>23.9</v>
      </c>
      <c r="AF15" s="103">
        <v>21.7</v>
      </c>
      <c r="AG15" s="103">
        <v>19.899999999999999</v>
      </c>
      <c r="AH15" s="103">
        <v>18.399999999999999</v>
      </c>
      <c r="AI15" s="103">
        <v>17.2</v>
      </c>
      <c r="AJ15" s="103">
        <v>16.2</v>
      </c>
      <c r="AK15" s="103">
        <v>15.3</v>
      </c>
      <c r="AL15" s="103">
        <v>14.5</v>
      </c>
      <c r="AM15" s="103">
        <v>13.9</v>
      </c>
      <c r="AN15" s="103">
        <v>13.3</v>
      </c>
      <c r="AO15" s="103">
        <v>12.8</v>
      </c>
      <c r="AP15" s="103">
        <v>12.3</v>
      </c>
      <c r="AQ15" s="103">
        <v>11.9</v>
      </c>
    </row>
    <row r="16" spans="1:43" x14ac:dyDescent="0.25">
      <c r="A16" s="17">
        <v>25</v>
      </c>
      <c r="B16" s="103">
        <v>186.2</v>
      </c>
      <c r="C16" s="103">
        <v>94.9</v>
      </c>
      <c r="D16" s="103">
        <v>64.5</v>
      </c>
      <c r="E16" s="103">
        <v>49.4</v>
      </c>
      <c r="F16" s="103">
        <v>40.200000000000003</v>
      </c>
      <c r="G16" s="103">
        <v>34.200000000000003</v>
      </c>
      <c r="H16" s="103">
        <v>29.9</v>
      </c>
      <c r="I16" s="103">
        <v>26.6</v>
      </c>
      <c r="J16" s="103">
        <v>24.1</v>
      </c>
      <c r="K16" s="103">
        <v>22.1</v>
      </c>
      <c r="L16" s="103">
        <v>20.5</v>
      </c>
      <c r="M16" s="103">
        <v>19.100000000000001</v>
      </c>
      <c r="N16" s="103">
        <v>18</v>
      </c>
      <c r="O16" s="103">
        <v>17</v>
      </c>
      <c r="P16" s="103">
        <v>16.2</v>
      </c>
      <c r="Q16" s="103">
        <v>15.4</v>
      </c>
      <c r="R16" s="103">
        <v>14.8</v>
      </c>
      <c r="S16" s="103">
        <v>14.2</v>
      </c>
      <c r="T16" s="103">
        <v>13.7</v>
      </c>
      <c r="U16" s="103">
        <v>13.2</v>
      </c>
      <c r="W16" s="17">
        <v>25</v>
      </c>
      <c r="X16" s="103">
        <v>170.2</v>
      </c>
      <c r="Y16" s="103">
        <v>86.8</v>
      </c>
      <c r="Z16" s="103">
        <v>59</v>
      </c>
      <c r="AA16" s="103">
        <v>45.1</v>
      </c>
      <c r="AB16" s="103">
        <v>36.799999999999997</v>
      </c>
      <c r="AC16" s="103">
        <v>31.3</v>
      </c>
      <c r="AD16" s="103">
        <v>27.3</v>
      </c>
      <c r="AE16" s="103">
        <v>24.4</v>
      </c>
      <c r="AF16" s="103">
        <v>22.1</v>
      </c>
      <c r="AG16" s="103">
        <v>20.2</v>
      </c>
      <c r="AH16" s="103">
        <v>18.7</v>
      </c>
      <c r="AI16" s="103">
        <v>17.5</v>
      </c>
      <c r="AJ16" s="103">
        <v>16.399999999999999</v>
      </c>
      <c r="AK16" s="103">
        <v>15.6</v>
      </c>
      <c r="AL16" s="103">
        <v>14.8</v>
      </c>
      <c r="AM16" s="103">
        <v>14.1</v>
      </c>
      <c r="AN16" s="103">
        <v>13.5</v>
      </c>
      <c r="AO16" s="103">
        <v>13</v>
      </c>
      <c r="AP16" s="103">
        <v>12.5</v>
      </c>
      <c r="AQ16" s="103">
        <v>12.1</v>
      </c>
    </row>
    <row r="17" spans="1:43" x14ac:dyDescent="0.25">
      <c r="A17" s="17">
        <v>26</v>
      </c>
      <c r="B17" s="103">
        <v>189.5</v>
      </c>
      <c r="C17" s="103">
        <v>96.6</v>
      </c>
      <c r="D17" s="103">
        <v>65.7</v>
      </c>
      <c r="E17" s="103">
        <v>50.2</v>
      </c>
      <c r="F17" s="103">
        <v>41</v>
      </c>
      <c r="G17" s="103">
        <v>34.799999999999997</v>
      </c>
      <c r="H17" s="103">
        <v>30.4</v>
      </c>
      <c r="I17" s="103">
        <v>27.1</v>
      </c>
      <c r="J17" s="103">
        <v>24.6</v>
      </c>
      <c r="K17" s="103">
        <v>22.5</v>
      </c>
      <c r="L17" s="103">
        <v>20.9</v>
      </c>
      <c r="M17" s="103">
        <v>19.5</v>
      </c>
      <c r="N17" s="103">
        <v>18.3</v>
      </c>
      <c r="O17" s="103">
        <v>17.3</v>
      </c>
      <c r="P17" s="103">
        <v>16.5</v>
      </c>
      <c r="Q17" s="103">
        <v>15.7</v>
      </c>
      <c r="R17" s="103">
        <v>15</v>
      </c>
      <c r="S17" s="103">
        <v>14.5</v>
      </c>
      <c r="T17" s="103">
        <v>13.9</v>
      </c>
      <c r="U17" s="103">
        <v>13.5</v>
      </c>
      <c r="W17" s="17">
        <v>26</v>
      </c>
      <c r="X17" s="103">
        <v>173.2</v>
      </c>
      <c r="Y17" s="103">
        <v>88.3</v>
      </c>
      <c r="Z17" s="103">
        <v>60.1</v>
      </c>
      <c r="AA17" s="103">
        <v>45.9</v>
      </c>
      <c r="AB17" s="103">
        <v>37.5</v>
      </c>
      <c r="AC17" s="103">
        <v>31.8</v>
      </c>
      <c r="AD17" s="103">
        <v>27.8</v>
      </c>
      <c r="AE17" s="103">
        <v>24.8</v>
      </c>
      <c r="AF17" s="103">
        <v>22.5</v>
      </c>
      <c r="AG17" s="103">
        <v>20.6</v>
      </c>
      <c r="AH17" s="103">
        <v>19.100000000000001</v>
      </c>
      <c r="AI17" s="103">
        <v>17.8</v>
      </c>
      <c r="AJ17" s="103">
        <v>16.7</v>
      </c>
      <c r="AK17" s="103">
        <v>15.8</v>
      </c>
      <c r="AL17" s="103">
        <v>15</v>
      </c>
      <c r="AM17" s="103">
        <v>14.4</v>
      </c>
      <c r="AN17" s="103">
        <v>13.8</v>
      </c>
      <c r="AO17" s="103">
        <v>13.2</v>
      </c>
      <c r="AP17" s="103">
        <v>12.8</v>
      </c>
      <c r="AQ17" s="103">
        <v>12.3</v>
      </c>
    </row>
    <row r="18" spans="1:43" x14ac:dyDescent="0.25">
      <c r="A18" s="17">
        <v>27</v>
      </c>
      <c r="B18" s="103">
        <v>192.8</v>
      </c>
      <c r="C18" s="103">
        <v>98.3</v>
      </c>
      <c r="D18" s="103">
        <v>66.900000000000006</v>
      </c>
      <c r="E18" s="103">
        <v>51.1</v>
      </c>
      <c r="F18" s="103">
        <v>41.7</v>
      </c>
      <c r="G18" s="103">
        <v>35.4</v>
      </c>
      <c r="H18" s="103">
        <v>30.9</v>
      </c>
      <c r="I18" s="103">
        <v>27.6</v>
      </c>
      <c r="J18" s="103">
        <v>25</v>
      </c>
      <c r="K18" s="103">
        <v>22.9</v>
      </c>
      <c r="L18" s="103">
        <v>21.2</v>
      </c>
      <c r="M18" s="103">
        <v>19.8</v>
      </c>
      <c r="N18" s="103">
        <v>18.600000000000001</v>
      </c>
      <c r="O18" s="103">
        <v>17.600000000000001</v>
      </c>
      <c r="P18" s="103">
        <v>16.7</v>
      </c>
      <c r="Q18" s="103">
        <v>16</v>
      </c>
      <c r="R18" s="103">
        <v>15.3</v>
      </c>
      <c r="S18" s="103">
        <v>14.7</v>
      </c>
      <c r="T18" s="103">
        <v>14.2</v>
      </c>
      <c r="U18" s="103">
        <v>13.7</v>
      </c>
      <c r="W18" s="17">
        <v>27</v>
      </c>
      <c r="X18" s="103">
        <v>176.3</v>
      </c>
      <c r="Y18" s="103">
        <v>89.9</v>
      </c>
      <c r="Z18" s="103">
        <v>61.1</v>
      </c>
      <c r="AA18" s="103">
        <v>46.7</v>
      </c>
      <c r="AB18" s="103">
        <v>38.1</v>
      </c>
      <c r="AC18" s="103">
        <v>32.4</v>
      </c>
      <c r="AD18" s="103">
        <v>28.3</v>
      </c>
      <c r="AE18" s="103">
        <v>25.2</v>
      </c>
      <c r="AF18" s="103">
        <v>22.9</v>
      </c>
      <c r="AG18" s="103">
        <v>21</v>
      </c>
      <c r="AH18" s="103">
        <v>19.399999999999999</v>
      </c>
      <c r="AI18" s="103">
        <v>18.100000000000001</v>
      </c>
      <c r="AJ18" s="103">
        <v>17</v>
      </c>
      <c r="AK18" s="103">
        <v>16.100000000000001</v>
      </c>
      <c r="AL18" s="103">
        <v>15.3</v>
      </c>
      <c r="AM18" s="103">
        <v>14.6</v>
      </c>
      <c r="AN18" s="103">
        <v>14</v>
      </c>
      <c r="AO18" s="103">
        <v>13.5</v>
      </c>
      <c r="AP18" s="103">
        <v>13</v>
      </c>
      <c r="AQ18" s="103">
        <v>12.6</v>
      </c>
    </row>
    <row r="19" spans="1:43" x14ac:dyDescent="0.25">
      <c r="A19" s="17">
        <v>28</v>
      </c>
      <c r="B19" s="103">
        <v>196.2</v>
      </c>
      <c r="C19" s="103">
        <v>100.1</v>
      </c>
      <c r="D19" s="103">
        <v>68</v>
      </c>
      <c r="E19" s="103">
        <v>52</v>
      </c>
      <c r="F19" s="103">
        <v>42.4</v>
      </c>
      <c r="G19" s="103">
        <v>36</v>
      </c>
      <c r="H19" s="103">
        <v>31.5</v>
      </c>
      <c r="I19" s="103">
        <v>28.1</v>
      </c>
      <c r="J19" s="103">
        <v>25.4</v>
      </c>
      <c r="K19" s="103">
        <v>23.3</v>
      </c>
      <c r="L19" s="103">
        <v>21.6</v>
      </c>
      <c r="M19" s="103">
        <v>20.2</v>
      </c>
      <c r="N19" s="103">
        <v>19</v>
      </c>
      <c r="O19" s="103">
        <v>17.899999999999999</v>
      </c>
      <c r="P19" s="103">
        <v>17.100000000000001</v>
      </c>
      <c r="Q19" s="103">
        <v>16.3</v>
      </c>
      <c r="R19" s="103">
        <v>15.6</v>
      </c>
      <c r="S19" s="103">
        <v>15</v>
      </c>
      <c r="T19" s="103">
        <v>14.5</v>
      </c>
      <c r="U19" s="103">
        <v>14</v>
      </c>
      <c r="W19" s="17">
        <v>28</v>
      </c>
      <c r="X19" s="103">
        <v>179.4</v>
      </c>
      <c r="Y19" s="103">
        <v>91.5</v>
      </c>
      <c r="Z19" s="103">
        <v>62.2</v>
      </c>
      <c r="AA19" s="103">
        <v>47.6</v>
      </c>
      <c r="AB19" s="103">
        <v>38.799999999999997</v>
      </c>
      <c r="AC19" s="103">
        <v>33</v>
      </c>
      <c r="AD19" s="103">
        <v>28.8</v>
      </c>
      <c r="AE19" s="103">
        <v>25.7</v>
      </c>
      <c r="AF19" s="103">
        <v>23.3</v>
      </c>
      <c r="AG19" s="103">
        <v>21.3</v>
      </c>
      <c r="AH19" s="103">
        <v>19.8</v>
      </c>
      <c r="AI19" s="103">
        <v>18.399999999999999</v>
      </c>
      <c r="AJ19" s="103">
        <v>17.3</v>
      </c>
      <c r="AK19" s="103">
        <v>16.399999999999999</v>
      </c>
      <c r="AL19" s="103">
        <v>15.6</v>
      </c>
      <c r="AM19" s="103">
        <v>14.9</v>
      </c>
      <c r="AN19" s="103">
        <v>14.3</v>
      </c>
      <c r="AO19" s="103">
        <v>13.7</v>
      </c>
      <c r="AP19" s="103">
        <v>13.2</v>
      </c>
      <c r="AQ19" s="103">
        <v>12.8</v>
      </c>
    </row>
    <row r="20" spans="1:43" x14ac:dyDescent="0.25">
      <c r="A20" s="17">
        <v>29</v>
      </c>
      <c r="B20" s="103">
        <v>199.7</v>
      </c>
      <c r="C20" s="103">
        <v>101.8</v>
      </c>
      <c r="D20" s="103">
        <v>69.2</v>
      </c>
      <c r="E20" s="103">
        <v>53</v>
      </c>
      <c r="F20" s="103">
        <v>43.2</v>
      </c>
      <c r="G20" s="103">
        <v>36.700000000000003</v>
      </c>
      <c r="H20" s="103">
        <v>32.1</v>
      </c>
      <c r="I20" s="103">
        <v>28.6</v>
      </c>
      <c r="J20" s="103">
        <v>25.9</v>
      </c>
      <c r="K20" s="103">
        <v>23.7</v>
      </c>
      <c r="L20" s="103">
        <v>22</v>
      </c>
      <c r="M20" s="103">
        <v>20.5</v>
      </c>
      <c r="N20" s="103">
        <v>19.3</v>
      </c>
      <c r="O20" s="103">
        <v>18.3</v>
      </c>
      <c r="P20" s="103">
        <v>17.399999999999999</v>
      </c>
      <c r="Q20" s="103">
        <v>16.600000000000001</v>
      </c>
      <c r="R20" s="103">
        <v>15.9</v>
      </c>
      <c r="S20" s="103">
        <v>15.3</v>
      </c>
      <c r="T20" s="103">
        <v>14.7</v>
      </c>
      <c r="U20" s="103">
        <v>14.2</v>
      </c>
      <c r="W20" s="17">
        <v>29</v>
      </c>
      <c r="X20" s="103">
        <v>182.6</v>
      </c>
      <c r="Y20" s="103">
        <v>93.1</v>
      </c>
      <c r="Z20" s="103">
        <v>63.3</v>
      </c>
      <c r="AA20" s="103">
        <v>48.4</v>
      </c>
      <c r="AB20" s="103">
        <v>39.5</v>
      </c>
      <c r="AC20" s="103">
        <v>33.5</v>
      </c>
      <c r="AD20" s="103">
        <v>29.3</v>
      </c>
      <c r="AE20" s="103">
        <v>26.1</v>
      </c>
      <c r="AF20" s="103">
        <v>23.7</v>
      </c>
      <c r="AG20" s="103">
        <v>21.7</v>
      </c>
      <c r="AH20" s="103">
        <v>20.100000000000001</v>
      </c>
      <c r="AI20" s="103">
        <v>18.8</v>
      </c>
      <c r="AJ20" s="103">
        <v>17.7</v>
      </c>
      <c r="AK20" s="103">
        <v>16.7</v>
      </c>
      <c r="AL20" s="103">
        <v>15.9</v>
      </c>
      <c r="AM20" s="103">
        <v>15.1</v>
      </c>
      <c r="AN20" s="103">
        <v>14.5</v>
      </c>
      <c r="AO20" s="103">
        <v>14</v>
      </c>
      <c r="AP20" s="103">
        <v>13.5</v>
      </c>
      <c r="AQ20" s="103">
        <v>13</v>
      </c>
    </row>
    <row r="21" spans="1:43" x14ac:dyDescent="0.25">
      <c r="A21" s="17">
        <v>30</v>
      </c>
      <c r="B21" s="103">
        <v>203.2</v>
      </c>
      <c r="C21" s="103">
        <v>103.6</v>
      </c>
      <c r="D21" s="103">
        <v>70.5</v>
      </c>
      <c r="E21" s="103">
        <v>53.9</v>
      </c>
      <c r="F21" s="103">
        <v>44</v>
      </c>
      <c r="G21" s="103">
        <v>37.299999999999997</v>
      </c>
      <c r="H21" s="103">
        <v>32.6</v>
      </c>
      <c r="I21" s="103">
        <v>29.1</v>
      </c>
      <c r="J21" s="103">
        <v>26.4</v>
      </c>
      <c r="K21" s="103">
        <v>24.2</v>
      </c>
      <c r="L21" s="103">
        <v>22.4</v>
      </c>
      <c r="M21" s="103">
        <v>20.9</v>
      </c>
      <c r="N21" s="103">
        <v>19.7</v>
      </c>
      <c r="O21" s="103">
        <v>18.600000000000001</v>
      </c>
      <c r="P21" s="103">
        <v>17.7</v>
      </c>
      <c r="Q21" s="103">
        <v>16.899999999999999</v>
      </c>
      <c r="R21" s="103">
        <v>16.2</v>
      </c>
      <c r="S21" s="103">
        <v>15.5</v>
      </c>
      <c r="T21" s="103">
        <v>15</v>
      </c>
      <c r="U21" s="103">
        <v>14.5</v>
      </c>
      <c r="W21" s="17">
        <v>30</v>
      </c>
      <c r="X21" s="103">
        <v>185.8</v>
      </c>
      <c r="Y21" s="103">
        <v>94.8</v>
      </c>
      <c r="Z21" s="103">
        <v>64.400000000000006</v>
      </c>
      <c r="AA21" s="103">
        <v>49.3</v>
      </c>
      <c r="AB21" s="103">
        <v>40.200000000000003</v>
      </c>
      <c r="AC21" s="103">
        <v>34.1</v>
      </c>
      <c r="AD21" s="103">
        <v>29.8</v>
      </c>
      <c r="AE21" s="103">
        <v>26.6</v>
      </c>
      <c r="AF21" s="103">
        <v>24.1</v>
      </c>
      <c r="AG21" s="103">
        <v>22.1</v>
      </c>
      <c r="AH21" s="103">
        <v>20.5</v>
      </c>
      <c r="AI21" s="103">
        <v>19.100000000000001</v>
      </c>
      <c r="AJ21" s="103">
        <v>18</v>
      </c>
      <c r="AK21" s="103">
        <v>17</v>
      </c>
      <c r="AL21" s="103">
        <v>16.2</v>
      </c>
      <c r="AM21" s="103">
        <v>15.4</v>
      </c>
      <c r="AN21" s="103">
        <v>14.8</v>
      </c>
      <c r="AO21" s="103">
        <v>14.2</v>
      </c>
      <c r="AP21" s="103">
        <v>13.7</v>
      </c>
      <c r="AQ21" s="103">
        <v>13.2</v>
      </c>
    </row>
    <row r="22" spans="1:43" x14ac:dyDescent="0.25">
      <c r="A22" s="17">
        <v>31</v>
      </c>
      <c r="B22" s="103">
        <v>206.8</v>
      </c>
      <c r="C22" s="103">
        <v>105.5</v>
      </c>
      <c r="D22" s="103">
        <v>71.7</v>
      </c>
      <c r="E22" s="103">
        <v>54.8</v>
      </c>
      <c r="F22" s="103">
        <v>44.7</v>
      </c>
      <c r="G22" s="103">
        <v>38</v>
      </c>
      <c r="H22" s="103">
        <v>33.200000000000003</v>
      </c>
      <c r="I22" s="103">
        <v>29.6</v>
      </c>
      <c r="J22" s="103">
        <v>26.8</v>
      </c>
      <c r="K22" s="103">
        <v>24.6</v>
      </c>
      <c r="L22" s="103">
        <v>22.8</v>
      </c>
      <c r="M22" s="103">
        <v>21.3</v>
      </c>
      <c r="N22" s="103">
        <v>20</v>
      </c>
      <c r="O22" s="103">
        <v>18.899999999999999</v>
      </c>
      <c r="P22" s="103">
        <v>18</v>
      </c>
      <c r="Q22" s="103">
        <v>17.2</v>
      </c>
      <c r="R22" s="103">
        <v>16.5</v>
      </c>
      <c r="S22" s="103">
        <v>15.8</v>
      </c>
      <c r="T22" s="103">
        <v>15.3</v>
      </c>
      <c r="U22" s="103">
        <v>14.8</v>
      </c>
      <c r="W22" s="17">
        <v>31</v>
      </c>
      <c r="X22" s="103">
        <v>189.1</v>
      </c>
      <c r="Y22" s="103">
        <v>96.4</v>
      </c>
      <c r="Z22" s="103">
        <v>65.599999999999994</v>
      </c>
      <c r="AA22" s="103">
        <v>50.1</v>
      </c>
      <c r="AB22" s="103">
        <v>40.9</v>
      </c>
      <c r="AC22" s="103">
        <v>34.700000000000003</v>
      </c>
      <c r="AD22" s="103">
        <v>30.4</v>
      </c>
      <c r="AE22" s="103">
        <v>27.1</v>
      </c>
      <c r="AF22" s="103">
        <v>24.5</v>
      </c>
      <c r="AG22" s="103">
        <v>22.5</v>
      </c>
      <c r="AH22" s="103">
        <v>20.8</v>
      </c>
      <c r="AI22" s="103">
        <v>19.5</v>
      </c>
      <c r="AJ22" s="103">
        <v>18.3</v>
      </c>
      <c r="AK22" s="103">
        <v>17.3</v>
      </c>
      <c r="AL22" s="103">
        <v>16.399999999999999</v>
      </c>
      <c r="AM22" s="103">
        <v>15.7</v>
      </c>
      <c r="AN22" s="103">
        <v>15</v>
      </c>
      <c r="AO22" s="103">
        <v>14.5</v>
      </c>
      <c r="AP22" s="103">
        <v>14</v>
      </c>
      <c r="AQ22" s="103">
        <v>13.5</v>
      </c>
    </row>
    <row r="23" spans="1:43" x14ac:dyDescent="0.25">
      <c r="A23" s="17">
        <v>32</v>
      </c>
      <c r="B23" s="103">
        <v>210.4</v>
      </c>
      <c r="C23" s="103">
        <v>107.3</v>
      </c>
      <c r="D23" s="103">
        <v>73</v>
      </c>
      <c r="E23" s="103">
        <v>55.8</v>
      </c>
      <c r="F23" s="103">
        <v>45.5</v>
      </c>
      <c r="G23" s="103">
        <v>38.700000000000003</v>
      </c>
      <c r="H23" s="103">
        <v>33.799999999999997</v>
      </c>
      <c r="I23" s="103">
        <v>30.1</v>
      </c>
      <c r="J23" s="103">
        <v>27.3</v>
      </c>
      <c r="K23" s="103">
        <v>25</v>
      </c>
      <c r="L23" s="103">
        <v>23.2</v>
      </c>
      <c r="M23" s="103">
        <v>21.7</v>
      </c>
      <c r="N23" s="103">
        <v>20.399999999999999</v>
      </c>
      <c r="O23" s="103">
        <v>19.3</v>
      </c>
      <c r="P23" s="103">
        <v>18.3</v>
      </c>
      <c r="Q23" s="103">
        <v>17.5</v>
      </c>
      <c r="R23" s="103">
        <v>16.7</v>
      </c>
      <c r="S23" s="103">
        <v>16.100000000000001</v>
      </c>
      <c r="T23" s="103">
        <v>15.5</v>
      </c>
      <c r="U23" s="103">
        <v>15</v>
      </c>
      <c r="W23" s="17">
        <v>32</v>
      </c>
      <c r="X23" s="103">
        <v>192.4</v>
      </c>
      <c r="Y23" s="103">
        <v>98.1</v>
      </c>
      <c r="Z23" s="103">
        <v>66.7</v>
      </c>
      <c r="AA23" s="103">
        <v>51</v>
      </c>
      <c r="AB23" s="103">
        <v>41.6</v>
      </c>
      <c r="AC23" s="103">
        <v>35.4</v>
      </c>
      <c r="AD23" s="103">
        <v>30.9</v>
      </c>
      <c r="AE23" s="103">
        <v>27.6</v>
      </c>
      <c r="AF23" s="103">
        <v>25</v>
      </c>
      <c r="AG23" s="103">
        <v>22.9</v>
      </c>
      <c r="AH23" s="103">
        <v>21.2</v>
      </c>
      <c r="AI23" s="103">
        <v>19.8</v>
      </c>
      <c r="AJ23" s="103">
        <v>18.600000000000001</v>
      </c>
      <c r="AK23" s="103">
        <v>17.600000000000001</v>
      </c>
      <c r="AL23" s="103">
        <v>16.7</v>
      </c>
      <c r="AM23" s="103">
        <v>16</v>
      </c>
      <c r="AN23" s="103">
        <v>15.3</v>
      </c>
      <c r="AO23" s="103">
        <v>14.7</v>
      </c>
      <c r="AP23" s="103">
        <v>14.2</v>
      </c>
      <c r="AQ23" s="103">
        <v>13.7</v>
      </c>
    </row>
    <row r="24" spans="1:43" x14ac:dyDescent="0.25">
      <c r="A24" s="17">
        <v>33</v>
      </c>
      <c r="B24" s="103">
        <v>214.1</v>
      </c>
      <c r="C24" s="103">
        <v>109.2</v>
      </c>
      <c r="D24" s="103">
        <v>74.2</v>
      </c>
      <c r="E24" s="103">
        <v>56.8</v>
      </c>
      <c r="F24" s="103">
        <v>46.3</v>
      </c>
      <c r="G24" s="103">
        <v>39.299999999999997</v>
      </c>
      <c r="H24" s="103">
        <v>34.4</v>
      </c>
      <c r="I24" s="103">
        <v>30.7</v>
      </c>
      <c r="J24" s="103">
        <v>27.8</v>
      </c>
      <c r="K24" s="103">
        <v>25.5</v>
      </c>
      <c r="L24" s="103">
        <v>23.6</v>
      </c>
      <c r="M24" s="103">
        <v>22</v>
      </c>
      <c r="N24" s="103">
        <v>20.7</v>
      </c>
      <c r="O24" s="103">
        <v>19.600000000000001</v>
      </c>
      <c r="P24" s="103">
        <v>18.600000000000001</v>
      </c>
      <c r="Q24" s="103">
        <v>17.8</v>
      </c>
      <c r="R24" s="103">
        <v>17.100000000000001</v>
      </c>
      <c r="S24" s="103">
        <v>16.399999999999999</v>
      </c>
      <c r="T24" s="103">
        <v>15.8</v>
      </c>
      <c r="U24" s="103">
        <v>15.3</v>
      </c>
      <c r="W24" s="17">
        <v>33</v>
      </c>
      <c r="X24" s="103">
        <v>195.8</v>
      </c>
      <c r="Y24" s="103">
        <v>99.8</v>
      </c>
      <c r="Z24" s="103">
        <v>67.900000000000006</v>
      </c>
      <c r="AA24" s="103">
        <v>51.9</v>
      </c>
      <c r="AB24" s="103">
        <v>42.4</v>
      </c>
      <c r="AC24" s="103">
        <v>36</v>
      </c>
      <c r="AD24" s="103">
        <v>31.4</v>
      </c>
      <c r="AE24" s="103">
        <v>28</v>
      </c>
      <c r="AF24" s="103">
        <v>25.4</v>
      </c>
      <c r="AG24" s="103">
        <v>23.3</v>
      </c>
      <c r="AH24" s="103">
        <v>21.6</v>
      </c>
      <c r="AI24" s="103">
        <v>20.2</v>
      </c>
      <c r="AJ24" s="103">
        <v>18.899999999999999</v>
      </c>
      <c r="AK24" s="103">
        <v>17.899999999999999</v>
      </c>
      <c r="AL24" s="103">
        <v>17</v>
      </c>
      <c r="AM24" s="103">
        <v>16.3</v>
      </c>
      <c r="AN24" s="103">
        <v>15.6</v>
      </c>
      <c r="AO24" s="103">
        <v>15</v>
      </c>
      <c r="AP24" s="103">
        <v>14.5</v>
      </c>
      <c r="AQ24" s="103">
        <v>14</v>
      </c>
    </row>
    <row r="25" spans="1:43" x14ac:dyDescent="0.25">
      <c r="A25" s="17">
        <v>34</v>
      </c>
      <c r="B25" s="103">
        <v>217.8</v>
      </c>
      <c r="C25" s="103">
        <v>111.1</v>
      </c>
      <c r="D25" s="103">
        <v>75.5</v>
      </c>
      <c r="E25" s="103">
        <v>57.8</v>
      </c>
      <c r="F25" s="103">
        <v>47.1</v>
      </c>
      <c r="G25" s="103">
        <v>40</v>
      </c>
      <c r="H25" s="103">
        <v>35</v>
      </c>
      <c r="I25" s="103">
        <v>31.2</v>
      </c>
      <c r="J25" s="103">
        <v>28.3</v>
      </c>
      <c r="K25" s="103">
        <v>25.9</v>
      </c>
      <c r="L25" s="103">
        <v>24</v>
      </c>
      <c r="M25" s="103">
        <v>22.4</v>
      </c>
      <c r="N25" s="103">
        <v>21.1</v>
      </c>
      <c r="O25" s="103">
        <v>20</v>
      </c>
      <c r="P25" s="103">
        <v>19</v>
      </c>
      <c r="Q25" s="103">
        <v>18.100000000000001</v>
      </c>
      <c r="R25" s="103">
        <v>17.399999999999999</v>
      </c>
      <c r="S25" s="103">
        <v>16.7</v>
      </c>
      <c r="T25" s="103">
        <v>16.100000000000001</v>
      </c>
      <c r="U25" s="103">
        <v>15.6</v>
      </c>
      <c r="W25" s="17">
        <v>34</v>
      </c>
      <c r="X25" s="103">
        <v>199.2</v>
      </c>
      <c r="Y25" s="103">
        <v>101.6</v>
      </c>
      <c r="Z25" s="103">
        <v>69.099999999999994</v>
      </c>
      <c r="AA25" s="103">
        <v>52.8</v>
      </c>
      <c r="AB25" s="103">
        <v>43.1</v>
      </c>
      <c r="AC25" s="103">
        <v>36.6</v>
      </c>
      <c r="AD25" s="103">
        <v>32</v>
      </c>
      <c r="AE25" s="103">
        <v>28.5</v>
      </c>
      <c r="AF25" s="103">
        <v>25.9</v>
      </c>
      <c r="AG25" s="103">
        <v>23.7</v>
      </c>
      <c r="AH25" s="103">
        <v>22</v>
      </c>
      <c r="AI25" s="103">
        <v>20.5</v>
      </c>
      <c r="AJ25" s="103">
        <v>19.3</v>
      </c>
      <c r="AK25" s="103">
        <v>18.2</v>
      </c>
      <c r="AL25" s="103">
        <v>17.3</v>
      </c>
      <c r="AM25" s="103">
        <v>16.600000000000001</v>
      </c>
      <c r="AN25" s="103">
        <v>15.9</v>
      </c>
      <c r="AO25" s="103">
        <v>15.3</v>
      </c>
      <c r="AP25" s="103">
        <v>14.7</v>
      </c>
      <c r="AQ25" s="103">
        <v>14.2</v>
      </c>
    </row>
    <row r="26" spans="1:43" x14ac:dyDescent="0.25">
      <c r="A26" s="17">
        <v>35</v>
      </c>
      <c r="B26" s="103">
        <v>221.6</v>
      </c>
      <c r="C26" s="103">
        <v>113</v>
      </c>
      <c r="D26" s="103">
        <v>76.900000000000006</v>
      </c>
      <c r="E26" s="103">
        <v>58.8</v>
      </c>
      <c r="F26" s="103">
        <v>48</v>
      </c>
      <c r="G26" s="103">
        <v>40.700000000000003</v>
      </c>
      <c r="H26" s="103">
        <v>35.6</v>
      </c>
      <c r="I26" s="103">
        <v>31.8</v>
      </c>
      <c r="J26" s="103">
        <v>28.8</v>
      </c>
      <c r="K26" s="103">
        <v>26.4</v>
      </c>
      <c r="L26" s="103">
        <v>24.4</v>
      </c>
      <c r="M26" s="103">
        <v>22.8</v>
      </c>
      <c r="N26" s="103">
        <v>21.5</v>
      </c>
      <c r="O26" s="103">
        <v>20.3</v>
      </c>
      <c r="P26" s="103">
        <v>19.3</v>
      </c>
      <c r="Q26" s="103">
        <v>18.399999999999999</v>
      </c>
      <c r="R26" s="103">
        <v>17.7</v>
      </c>
      <c r="S26" s="103">
        <v>17</v>
      </c>
      <c r="T26" s="103">
        <v>16.399999999999999</v>
      </c>
      <c r="U26" s="103">
        <v>15.9</v>
      </c>
      <c r="W26" s="17">
        <v>35</v>
      </c>
      <c r="X26" s="103">
        <v>202.7</v>
      </c>
      <c r="Y26" s="103">
        <v>103.4</v>
      </c>
      <c r="Z26" s="103">
        <v>70.3</v>
      </c>
      <c r="AA26" s="103">
        <v>53.8</v>
      </c>
      <c r="AB26" s="103">
        <v>43.9</v>
      </c>
      <c r="AC26" s="103">
        <v>37.299999999999997</v>
      </c>
      <c r="AD26" s="103">
        <v>32.6</v>
      </c>
      <c r="AE26" s="103">
        <v>29</v>
      </c>
      <c r="AF26" s="103">
        <v>26.3</v>
      </c>
      <c r="AG26" s="103">
        <v>24.1</v>
      </c>
      <c r="AH26" s="103">
        <v>22.4</v>
      </c>
      <c r="AI26" s="103">
        <v>20.9</v>
      </c>
      <c r="AJ26" s="103">
        <v>19.600000000000001</v>
      </c>
      <c r="AK26" s="103">
        <v>18.600000000000001</v>
      </c>
      <c r="AL26" s="103">
        <v>17.7</v>
      </c>
      <c r="AM26" s="103">
        <v>16.899999999999999</v>
      </c>
      <c r="AN26" s="103">
        <v>16.2</v>
      </c>
      <c r="AO26" s="103">
        <v>15.5</v>
      </c>
      <c r="AP26" s="103">
        <v>15</v>
      </c>
      <c r="AQ26" s="103">
        <v>14.5</v>
      </c>
    </row>
    <row r="27" spans="1:43" x14ac:dyDescent="0.25">
      <c r="A27" s="17">
        <v>36</v>
      </c>
      <c r="B27" s="103">
        <v>225.5</v>
      </c>
      <c r="C27" s="103">
        <v>115</v>
      </c>
      <c r="D27" s="103">
        <v>78.2</v>
      </c>
      <c r="E27" s="103">
        <v>59.8</v>
      </c>
      <c r="F27" s="103">
        <v>48.8</v>
      </c>
      <c r="G27" s="103">
        <v>41.5</v>
      </c>
      <c r="H27" s="103">
        <v>36.200000000000003</v>
      </c>
      <c r="I27" s="103">
        <v>32.299999999999997</v>
      </c>
      <c r="J27" s="103">
        <v>29.3</v>
      </c>
      <c r="K27" s="103">
        <v>26.9</v>
      </c>
      <c r="L27" s="103">
        <v>24.9</v>
      </c>
      <c r="M27" s="103">
        <v>23.2</v>
      </c>
      <c r="N27" s="103">
        <v>21.9</v>
      </c>
      <c r="O27" s="103">
        <v>20.7</v>
      </c>
      <c r="P27" s="103">
        <v>19.7</v>
      </c>
      <c r="Q27" s="103">
        <v>18.8</v>
      </c>
      <c r="R27" s="103">
        <v>18</v>
      </c>
      <c r="S27" s="103">
        <v>17.3</v>
      </c>
      <c r="T27" s="103">
        <v>16.7</v>
      </c>
      <c r="U27" s="103">
        <v>16.2</v>
      </c>
      <c r="W27" s="17">
        <v>36</v>
      </c>
      <c r="X27" s="103">
        <v>206.3</v>
      </c>
      <c r="Y27" s="103">
        <v>105.2</v>
      </c>
      <c r="Z27" s="103">
        <v>71.5</v>
      </c>
      <c r="AA27" s="103">
        <v>54.7</v>
      </c>
      <c r="AB27" s="103">
        <v>44.6</v>
      </c>
      <c r="AC27" s="103">
        <v>37.9</v>
      </c>
      <c r="AD27" s="103">
        <v>33.1</v>
      </c>
      <c r="AE27" s="103">
        <v>29.6</v>
      </c>
      <c r="AF27" s="103">
        <v>26.8</v>
      </c>
      <c r="AG27" s="103">
        <v>24.6</v>
      </c>
      <c r="AH27" s="103">
        <v>22.8</v>
      </c>
      <c r="AI27" s="103">
        <v>21.3</v>
      </c>
      <c r="AJ27" s="103">
        <v>20</v>
      </c>
      <c r="AK27" s="103">
        <v>18.899999999999999</v>
      </c>
      <c r="AL27" s="103">
        <v>18</v>
      </c>
      <c r="AM27" s="103">
        <v>17.2</v>
      </c>
      <c r="AN27" s="103">
        <v>16.5</v>
      </c>
      <c r="AO27" s="103">
        <v>15.8</v>
      </c>
      <c r="AP27" s="103">
        <v>15.3</v>
      </c>
      <c r="AQ27" s="103">
        <v>14.8</v>
      </c>
    </row>
    <row r="28" spans="1:43" x14ac:dyDescent="0.25">
      <c r="A28" s="17">
        <v>37</v>
      </c>
      <c r="B28" s="103">
        <v>229.4</v>
      </c>
      <c r="C28" s="103">
        <v>117</v>
      </c>
      <c r="D28" s="103">
        <v>79.599999999999994</v>
      </c>
      <c r="E28" s="103">
        <v>60.9</v>
      </c>
      <c r="F28" s="103">
        <v>49.6</v>
      </c>
      <c r="G28" s="103">
        <v>42.2</v>
      </c>
      <c r="H28" s="103">
        <v>36.9</v>
      </c>
      <c r="I28" s="103">
        <v>32.9</v>
      </c>
      <c r="J28" s="103">
        <v>29.8</v>
      </c>
      <c r="K28" s="103">
        <v>27.3</v>
      </c>
      <c r="L28" s="103">
        <v>25.3</v>
      </c>
      <c r="M28" s="103">
        <v>23.7</v>
      </c>
      <c r="N28" s="103">
        <v>22.2</v>
      </c>
      <c r="O28" s="103">
        <v>21</v>
      </c>
      <c r="P28" s="103">
        <v>20</v>
      </c>
      <c r="Q28" s="103">
        <v>19.100000000000001</v>
      </c>
      <c r="R28" s="103">
        <v>18.3</v>
      </c>
      <c r="S28" s="103">
        <v>17.600000000000001</v>
      </c>
      <c r="T28" s="103">
        <v>17</v>
      </c>
      <c r="U28" s="103">
        <v>16.5</v>
      </c>
      <c r="W28" s="17">
        <v>37</v>
      </c>
      <c r="X28" s="103">
        <v>209.9</v>
      </c>
      <c r="Y28" s="103">
        <v>107</v>
      </c>
      <c r="Z28" s="103">
        <v>72.8</v>
      </c>
      <c r="AA28" s="103">
        <v>55.7</v>
      </c>
      <c r="AB28" s="103">
        <v>45.4</v>
      </c>
      <c r="AC28" s="103">
        <v>38.6</v>
      </c>
      <c r="AD28" s="103">
        <v>33.700000000000003</v>
      </c>
      <c r="AE28" s="103">
        <v>30.1</v>
      </c>
      <c r="AF28" s="103">
        <v>27.3</v>
      </c>
      <c r="AG28" s="103">
        <v>25</v>
      </c>
      <c r="AH28" s="103">
        <v>23.2</v>
      </c>
      <c r="AI28" s="103">
        <v>21.6</v>
      </c>
      <c r="AJ28" s="103">
        <v>20.399999999999999</v>
      </c>
      <c r="AK28" s="103">
        <v>19.3</v>
      </c>
      <c r="AL28" s="103">
        <v>18.3</v>
      </c>
      <c r="AM28" s="103">
        <v>17.5</v>
      </c>
      <c r="AN28" s="103">
        <v>16.8</v>
      </c>
      <c r="AO28" s="103">
        <v>16.100000000000001</v>
      </c>
      <c r="AP28" s="103">
        <v>15.6</v>
      </c>
      <c r="AQ28" s="103">
        <v>15.1</v>
      </c>
    </row>
    <row r="29" spans="1:43" x14ac:dyDescent="0.25">
      <c r="A29" s="17">
        <v>38</v>
      </c>
      <c r="B29" s="103">
        <v>233.4</v>
      </c>
      <c r="C29" s="103">
        <v>119</v>
      </c>
      <c r="D29" s="103">
        <v>80.900000000000006</v>
      </c>
      <c r="E29" s="103">
        <v>61.9</v>
      </c>
      <c r="F29" s="103">
        <v>50.5</v>
      </c>
      <c r="G29" s="103">
        <v>42.9</v>
      </c>
      <c r="H29" s="103">
        <v>37.5</v>
      </c>
      <c r="I29" s="103">
        <v>33.5</v>
      </c>
      <c r="J29" s="103">
        <v>30.3</v>
      </c>
      <c r="K29" s="103">
        <v>27.8</v>
      </c>
      <c r="L29" s="103">
        <v>25.8</v>
      </c>
      <c r="M29" s="103">
        <v>24.1</v>
      </c>
      <c r="N29" s="103">
        <v>22.6</v>
      </c>
      <c r="O29" s="103">
        <v>21.4</v>
      </c>
      <c r="P29" s="103">
        <v>20.399999999999999</v>
      </c>
      <c r="Q29" s="103">
        <v>19.5</v>
      </c>
      <c r="R29" s="103">
        <v>18.7</v>
      </c>
      <c r="S29" s="103">
        <v>18</v>
      </c>
      <c r="T29" s="103">
        <v>17.3</v>
      </c>
      <c r="U29" s="103">
        <v>16.8</v>
      </c>
      <c r="W29" s="17">
        <v>38</v>
      </c>
      <c r="X29" s="103">
        <v>213.5</v>
      </c>
      <c r="Y29" s="103">
        <v>108.9</v>
      </c>
      <c r="Z29" s="103">
        <v>74.099999999999994</v>
      </c>
      <c r="AA29" s="103">
        <v>56.7</v>
      </c>
      <c r="AB29" s="103">
        <v>46.2</v>
      </c>
      <c r="AC29" s="103">
        <v>39.299999999999997</v>
      </c>
      <c r="AD29" s="103">
        <v>34.299999999999997</v>
      </c>
      <c r="AE29" s="103">
        <v>30.6</v>
      </c>
      <c r="AF29" s="103">
        <v>27.7</v>
      </c>
      <c r="AG29" s="103">
        <v>25.4</v>
      </c>
      <c r="AH29" s="103">
        <v>23.6</v>
      </c>
      <c r="AI29" s="103">
        <v>22</v>
      </c>
      <c r="AJ29" s="103">
        <v>20.7</v>
      </c>
      <c r="AK29" s="103">
        <v>19.600000000000001</v>
      </c>
      <c r="AL29" s="103">
        <v>18.600000000000001</v>
      </c>
      <c r="AM29" s="103">
        <v>17.8</v>
      </c>
      <c r="AN29" s="103">
        <v>17.100000000000001</v>
      </c>
      <c r="AO29" s="103">
        <v>16.399999999999999</v>
      </c>
      <c r="AP29" s="103">
        <v>15.9</v>
      </c>
      <c r="AQ29" s="103">
        <v>15.4</v>
      </c>
    </row>
    <row r="30" spans="1:43" x14ac:dyDescent="0.25">
      <c r="A30" s="17">
        <v>39</v>
      </c>
      <c r="B30" s="103">
        <v>237.4</v>
      </c>
      <c r="C30" s="103">
        <v>121.1</v>
      </c>
      <c r="D30" s="103">
        <v>82.4</v>
      </c>
      <c r="E30" s="103">
        <v>63</v>
      </c>
      <c r="F30" s="103">
        <v>51.4</v>
      </c>
      <c r="G30" s="103">
        <v>43.7</v>
      </c>
      <c r="H30" s="103">
        <v>38.200000000000003</v>
      </c>
      <c r="I30" s="103">
        <v>34.1</v>
      </c>
      <c r="J30" s="103">
        <v>30.9</v>
      </c>
      <c r="K30" s="103">
        <v>28.3</v>
      </c>
      <c r="L30" s="103">
        <v>26.2</v>
      </c>
      <c r="M30" s="103">
        <v>24.5</v>
      </c>
      <c r="N30" s="103">
        <v>23.1</v>
      </c>
      <c r="O30" s="103">
        <v>21.8</v>
      </c>
      <c r="P30" s="103">
        <v>20.8</v>
      </c>
      <c r="Q30" s="103">
        <v>19.8</v>
      </c>
      <c r="R30" s="103">
        <v>19</v>
      </c>
      <c r="S30" s="103">
        <v>18.3</v>
      </c>
      <c r="T30" s="103">
        <v>17.7</v>
      </c>
      <c r="U30" s="103">
        <v>17.100000000000001</v>
      </c>
      <c r="W30" s="17">
        <v>39</v>
      </c>
      <c r="X30" s="103">
        <v>217.3</v>
      </c>
      <c r="Y30" s="103">
        <v>110.8</v>
      </c>
      <c r="Z30" s="103">
        <v>75.400000000000006</v>
      </c>
      <c r="AA30" s="103">
        <v>57.6</v>
      </c>
      <c r="AB30" s="103">
        <v>47</v>
      </c>
      <c r="AC30" s="103">
        <v>40</v>
      </c>
      <c r="AD30" s="103">
        <v>34.9</v>
      </c>
      <c r="AE30" s="103">
        <v>31.2</v>
      </c>
      <c r="AF30" s="103">
        <v>28.2</v>
      </c>
      <c r="AG30" s="103">
        <v>25.9</v>
      </c>
      <c r="AH30" s="103">
        <v>24</v>
      </c>
      <c r="AI30" s="103">
        <v>22.4</v>
      </c>
      <c r="AJ30" s="103">
        <v>21.1</v>
      </c>
      <c r="AK30" s="103">
        <v>20</v>
      </c>
      <c r="AL30" s="103">
        <v>19</v>
      </c>
      <c r="AM30" s="103">
        <v>18.100000000000001</v>
      </c>
      <c r="AN30" s="103">
        <v>17.399999999999999</v>
      </c>
      <c r="AO30" s="103">
        <v>16.8</v>
      </c>
      <c r="AP30" s="103">
        <v>16.2</v>
      </c>
      <c r="AQ30" s="103">
        <v>15.6</v>
      </c>
    </row>
    <row r="31" spans="1:43" x14ac:dyDescent="0.25">
      <c r="A31" s="17">
        <v>40</v>
      </c>
      <c r="B31" s="103">
        <v>241.5</v>
      </c>
      <c r="C31" s="103">
        <v>123.2</v>
      </c>
      <c r="D31" s="103">
        <v>83.8</v>
      </c>
      <c r="E31" s="103">
        <v>64.099999999999994</v>
      </c>
      <c r="F31" s="103">
        <v>52.3</v>
      </c>
      <c r="G31" s="103">
        <v>44.4</v>
      </c>
      <c r="H31" s="103">
        <v>38.799999999999997</v>
      </c>
      <c r="I31" s="103">
        <v>34.700000000000003</v>
      </c>
      <c r="J31" s="103">
        <v>31.4</v>
      </c>
      <c r="K31" s="103">
        <v>28.8</v>
      </c>
      <c r="L31" s="103">
        <v>26.7</v>
      </c>
      <c r="M31" s="103">
        <v>25</v>
      </c>
      <c r="N31" s="103">
        <v>23.5</v>
      </c>
      <c r="O31" s="103">
        <v>22.2</v>
      </c>
      <c r="P31" s="103">
        <v>21.1</v>
      </c>
      <c r="Q31" s="103">
        <v>20.2</v>
      </c>
      <c r="R31" s="103">
        <v>19.399999999999999</v>
      </c>
      <c r="S31" s="103">
        <v>18.7</v>
      </c>
      <c r="T31" s="103">
        <v>18</v>
      </c>
      <c r="U31" s="103">
        <v>17.399999999999999</v>
      </c>
      <c r="W31" s="17">
        <v>40</v>
      </c>
      <c r="X31" s="103">
        <v>221.1</v>
      </c>
      <c r="Y31" s="103">
        <v>112.8</v>
      </c>
      <c r="Z31" s="103">
        <v>76.7</v>
      </c>
      <c r="AA31" s="103">
        <v>58.7</v>
      </c>
      <c r="AB31" s="103">
        <v>47.9</v>
      </c>
      <c r="AC31" s="103">
        <v>40.700000000000003</v>
      </c>
      <c r="AD31" s="103">
        <v>35.6</v>
      </c>
      <c r="AE31" s="103">
        <v>31.7</v>
      </c>
      <c r="AF31" s="103">
        <v>28.7</v>
      </c>
      <c r="AG31" s="103">
        <v>26.4</v>
      </c>
      <c r="AH31" s="103">
        <v>24.4</v>
      </c>
      <c r="AI31" s="103">
        <v>22.8</v>
      </c>
      <c r="AJ31" s="103">
        <v>21.5</v>
      </c>
      <c r="AK31" s="103">
        <v>20.3</v>
      </c>
      <c r="AL31" s="103">
        <v>19.399999999999999</v>
      </c>
      <c r="AM31" s="103">
        <v>18.5</v>
      </c>
      <c r="AN31" s="103">
        <v>17.7</v>
      </c>
      <c r="AO31" s="103">
        <v>17.100000000000001</v>
      </c>
      <c r="AP31" s="103">
        <v>16.5</v>
      </c>
      <c r="AQ31" s="103">
        <v>16</v>
      </c>
    </row>
    <row r="32" spans="1:43" x14ac:dyDescent="0.25">
      <c r="A32" s="17">
        <v>41</v>
      </c>
      <c r="B32" s="103">
        <v>245.7</v>
      </c>
      <c r="C32" s="103">
        <v>125.3</v>
      </c>
      <c r="D32" s="103">
        <v>85.2</v>
      </c>
      <c r="E32" s="103">
        <v>65.2</v>
      </c>
      <c r="F32" s="103">
        <v>53.2</v>
      </c>
      <c r="G32" s="103">
        <v>45.2</v>
      </c>
      <c r="H32" s="103">
        <v>39.5</v>
      </c>
      <c r="I32" s="103">
        <v>35.299999999999997</v>
      </c>
      <c r="J32" s="103">
        <v>32</v>
      </c>
      <c r="K32" s="103">
        <v>29.3</v>
      </c>
      <c r="L32" s="103">
        <v>27.2</v>
      </c>
      <c r="M32" s="103">
        <v>25.4</v>
      </c>
      <c r="N32" s="103">
        <v>23.9</v>
      </c>
      <c r="O32" s="103">
        <v>22.6</v>
      </c>
      <c r="P32" s="103">
        <v>21.5</v>
      </c>
      <c r="Q32" s="103">
        <v>20.6</v>
      </c>
      <c r="R32" s="103">
        <v>19.7</v>
      </c>
      <c r="S32" s="103">
        <v>19</v>
      </c>
      <c r="T32" s="103">
        <v>18.399999999999999</v>
      </c>
      <c r="U32" s="103">
        <v>17.8</v>
      </c>
      <c r="W32" s="17">
        <v>41</v>
      </c>
      <c r="X32" s="103">
        <v>225</v>
      </c>
      <c r="Y32" s="103">
        <v>114.8</v>
      </c>
      <c r="Z32" s="103">
        <v>78</v>
      </c>
      <c r="AA32" s="103">
        <v>59.7</v>
      </c>
      <c r="AB32" s="103">
        <v>48.7</v>
      </c>
      <c r="AC32" s="103">
        <v>41.4</v>
      </c>
      <c r="AD32" s="103">
        <v>36.200000000000003</v>
      </c>
      <c r="AE32" s="103">
        <v>32.299999999999997</v>
      </c>
      <c r="AF32" s="103">
        <v>29.3</v>
      </c>
      <c r="AG32" s="103">
        <v>26.9</v>
      </c>
      <c r="AH32" s="103">
        <v>24.9</v>
      </c>
      <c r="AI32" s="103">
        <v>23.3</v>
      </c>
      <c r="AJ32" s="103">
        <v>21.9</v>
      </c>
      <c r="AK32" s="103">
        <v>20.7</v>
      </c>
      <c r="AL32" s="103">
        <v>19.7</v>
      </c>
      <c r="AM32" s="103">
        <v>18.8</v>
      </c>
      <c r="AN32" s="103">
        <v>18.100000000000001</v>
      </c>
      <c r="AO32" s="103">
        <v>17.399999999999999</v>
      </c>
      <c r="AP32" s="103">
        <v>16.8</v>
      </c>
      <c r="AQ32" s="103">
        <v>16.3</v>
      </c>
    </row>
    <row r="33" spans="1:43" x14ac:dyDescent="0.25">
      <c r="A33" s="17">
        <v>42</v>
      </c>
      <c r="B33" s="103">
        <v>250</v>
      </c>
      <c r="C33" s="103">
        <v>127.5</v>
      </c>
      <c r="D33" s="103">
        <v>86.7</v>
      </c>
      <c r="E33" s="103">
        <v>66.400000000000006</v>
      </c>
      <c r="F33" s="103">
        <v>54.1</v>
      </c>
      <c r="G33" s="103">
        <v>46</v>
      </c>
      <c r="H33" s="103">
        <v>40.200000000000003</v>
      </c>
      <c r="I33" s="103">
        <v>35.9</v>
      </c>
      <c r="J33" s="103">
        <v>32.5</v>
      </c>
      <c r="K33" s="103">
        <v>29.9</v>
      </c>
      <c r="L33" s="103">
        <v>27.7</v>
      </c>
      <c r="M33" s="103">
        <v>25.9</v>
      </c>
      <c r="N33" s="103">
        <v>24.4</v>
      </c>
      <c r="O33" s="103">
        <v>23.1</v>
      </c>
      <c r="P33" s="103">
        <v>21.9</v>
      </c>
      <c r="Q33" s="103">
        <v>21</v>
      </c>
      <c r="R33" s="103">
        <v>20.100000000000001</v>
      </c>
      <c r="S33" s="103">
        <v>19.399999999999999</v>
      </c>
      <c r="T33" s="103">
        <v>18.7</v>
      </c>
      <c r="U33" s="103">
        <v>18.100000000000001</v>
      </c>
      <c r="W33" s="17">
        <v>42</v>
      </c>
      <c r="X33" s="103">
        <v>228.9</v>
      </c>
      <c r="Y33" s="103">
        <v>116.8</v>
      </c>
      <c r="Z33" s="103">
        <v>79.400000000000006</v>
      </c>
      <c r="AA33" s="103">
        <v>60.8</v>
      </c>
      <c r="AB33" s="103">
        <v>49.6</v>
      </c>
      <c r="AC33" s="103">
        <v>42.1</v>
      </c>
      <c r="AD33" s="103">
        <v>36.799999999999997</v>
      </c>
      <c r="AE33" s="103">
        <v>32.9</v>
      </c>
      <c r="AF33" s="103">
        <v>29.8</v>
      </c>
      <c r="AG33" s="103">
        <v>27.4</v>
      </c>
      <c r="AH33" s="103">
        <v>25.4</v>
      </c>
      <c r="AI33" s="103">
        <v>23.7</v>
      </c>
      <c r="AJ33" s="103">
        <v>22.3</v>
      </c>
      <c r="AK33" s="103">
        <v>21.1</v>
      </c>
      <c r="AL33" s="103">
        <v>20.100000000000001</v>
      </c>
      <c r="AM33" s="103">
        <v>19.2</v>
      </c>
      <c r="AN33" s="103">
        <v>18.399999999999999</v>
      </c>
      <c r="AO33" s="103">
        <v>17.7</v>
      </c>
      <c r="AP33" s="103">
        <v>17.100000000000001</v>
      </c>
      <c r="AQ33" s="103">
        <v>16.600000000000001</v>
      </c>
    </row>
    <row r="34" spans="1:43" x14ac:dyDescent="0.25">
      <c r="A34" s="17">
        <v>43</v>
      </c>
      <c r="B34" s="103">
        <v>254.3</v>
      </c>
      <c r="C34" s="103">
        <v>129.69999999999999</v>
      </c>
      <c r="D34" s="103">
        <v>88.2</v>
      </c>
      <c r="E34" s="103">
        <v>67.5</v>
      </c>
      <c r="F34" s="103">
        <v>55.1</v>
      </c>
      <c r="G34" s="103">
        <v>46.8</v>
      </c>
      <c r="H34" s="103">
        <v>41</v>
      </c>
      <c r="I34" s="103">
        <v>36.6</v>
      </c>
      <c r="J34" s="103">
        <v>33.1</v>
      </c>
      <c r="K34" s="103">
        <v>30.4</v>
      </c>
      <c r="L34" s="103">
        <v>28.2</v>
      </c>
      <c r="M34" s="103">
        <v>26.4</v>
      </c>
      <c r="N34" s="103">
        <v>24.8</v>
      </c>
      <c r="O34" s="103">
        <v>23.5</v>
      </c>
      <c r="P34" s="103">
        <v>22.4</v>
      </c>
      <c r="Q34" s="103">
        <v>21.4</v>
      </c>
      <c r="R34" s="103">
        <v>20.5</v>
      </c>
      <c r="S34" s="103">
        <v>19.8</v>
      </c>
      <c r="T34" s="103">
        <v>19.100000000000001</v>
      </c>
      <c r="U34" s="103">
        <v>18.5</v>
      </c>
      <c r="W34" s="17">
        <v>43</v>
      </c>
      <c r="X34" s="103">
        <v>232.9</v>
      </c>
      <c r="Y34" s="103">
        <v>118.8</v>
      </c>
      <c r="Z34" s="103">
        <v>80.8</v>
      </c>
      <c r="AA34" s="103">
        <v>61.8</v>
      </c>
      <c r="AB34" s="103">
        <v>50.5</v>
      </c>
      <c r="AC34" s="103">
        <v>42.9</v>
      </c>
      <c r="AD34" s="103">
        <v>37.5</v>
      </c>
      <c r="AE34" s="103">
        <v>33.5</v>
      </c>
      <c r="AF34" s="103">
        <v>30.4</v>
      </c>
      <c r="AG34" s="103">
        <v>27.9</v>
      </c>
      <c r="AH34" s="103">
        <v>25.8</v>
      </c>
      <c r="AI34" s="103">
        <v>24.2</v>
      </c>
      <c r="AJ34" s="103">
        <v>22.7</v>
      </c>
      <c r="AK34" s="103">
        <v>21.5</v>
      </c>
      <c r="AL34" s="103">
        <v>20.5</v>
      </c>
      <c r="AM34" s="103">
        <v>19.600000000000001</v>
      </c>
      <c r="AN34" s="103">
        <v>18.8</v>
      </c>
      <c r="AO34" s="103">
        <v>18.100000000000001</v>
      </c>
      <c r="AP34" s="103">
        <v>17.5</v>
      </c>
      <c r="AQ34" s="103">
        <v>16.899999999999999</v>
      </c>
    </row>
    <row r="35" spans="1:43" x14ac:dyDescent="0.25">
      <c r="A35" s="17">
        <v>44</v>
      </c>
      <c r="B35" s="103">
        <v>258.60000000000002</v>
      </c>
      <c r="C35" s="103">
        <v>132</v>
      </c>
      <c r="D35" s="103">
        <v>89.8</v>
      </c>
      <c r="E35" s="103">
        <v>68.7</v>
      </c>
      <c r="F35" s="103">
        <v>56.1</v>
      </c>
      <c r="G35" s="103">
        <v>47.7</v>
      </c>
      <c r="H35" s="103">
        <v>41.7</v>
      </c>
      <c r="I35" s="103">
        <v>37.200000000000003</v>
      </c>
      <c r="J35" s="103">
        <v>33.700000000000003</v>
      </c>
      <c r="K35" s="103">
        <v>31</v>
      </c>
      <c r="L35" s="103">
        <v>28.7</v>
      </c>
      <c r="M35" s="103">
        <v>26.9</v>
      </c>
      <c r="N35" s="103">
        <v>25.3</v>
      </c>
      <c r="O35" s="103">
        <v>24</v>
      </c>
      <c r="P35" s="103">
        <v>22.8</v>
      </c>
      <c r="Q35" s="103">
        <v>21.8</v>
      </c>
      <c r="R35" s="103">
        <v>20.9</v>
      </c>
      <c r="S35" s="103">
        <v>20.2</v>
      </c>
      <c r="T35" s="103">
        <v>19.5</v>
      </c>
      <c r="U35" s="103">
        <v>18.899999999999999</v>
      </c>
      <c r="W35" s="17">
        <v>44</v>
      </c>
      <c r="X35" s="103">
        <v>236.9</v>
      </c>
      <c r="Y35" s="103">
        <v>120.9</v>
      </c>
      <c r="Z35" s="103">
        <v>82.2</v>
      </c>
      <c r="AA35" s="103">
        <v>62.9</v>
      </c>
      <c r="AB35" s="103">
        <v>51.4</v>
      </c>
      <c r="AC35" s="103">
        <v>43.7</v>
      </c>
      <c r="AD35" s="103">
        <v>38.200000000000003</v>
      </c>
      <c r="AE35" s="103">
        <v>34.1</v>
      </c>
      <c r="AF35" s="103">
        <v>30.9</v>
      </c>
      <c r="AG35" s="103">
        <v>28.4</v>
      </c>
      <c r="AH35" s="103">
        <v>26.3</v>
      </c>
      <c r="AI35" s="103">
        <v>24.6</v>
      </c>
      <c r="AJ35" s="103">
        <v>23.2</v>
      </c>
      <c r="AK35" s="103">
        <v>21.9</v>
      </c>
      <c r="AL35" s="103">
        <v>20.9</v>
      </c>
      <c r="AM35" s="103">
        <v>20</v>
      </c>
      <c r="AN35" s="103">
        <v>19.2</v>
      </c>
      <c r="AO35" s="103">
        <v>18.5</v>
      </c>
      <c r="AP35" s="103">
        <v>17.8</v>
      </c>
      <c r="AQ35" s="103">
        <v>17.3</v>
      </c>
    </row>
    <row r="36" spans="1:43" x14ac:dyDescent="0.25">
      <c r="A36" s="17">
        <v>45</v>
      </c>
      <c r="B36" s="103">
        <v>263</v>
      </c>
      <c r="C36" s="103">
        <v>134.19999999999999</v>
      </c>
      <c r="D36" s="103">
        <v>91.3</v>
      </c>
      <c r="E36" s="103">
        <v>69.900000000000006</v>
      </c>
      <c r="F36" s="103">
        <v>57</v>
      </c>
      <c r="G36" s="103">
        <v>48.5</v>
      </c>
      <c r="H36" s="103">
        <v>42.4</v>
      </c>
      <c r="I36" s="103">
        <v>37.9</v>
      </c>
      <c r="J36" s="103">
        <v>34.4</v>
      </c>
      <c r="K36" s="103">
        <v>31.5</v>
      </c>
      <c r="L36" s="103">
        <v>29.3</v>
      </c>
      <c r="M36" s="103">
        <v>27.4</v>
      </c>
      <c r="N36" s="103">
        <v>25.8</v>
      </c>
      <c r="O36" s="103">
        <v>24.4</v>
      </c>
      <c r="P36" s="103">
        <v>23.2</v>
      </c>
      <c r="Q36" s="103">
        <v>22.2</v>
      </c>
      <c r="R36" s="103">
        <v>21.3</v>
      </c>
      <c r="S36" s="103">
        <v>20.5</v>
      </c>
      <c r="T36" s="103">
        <v>19.899999999999999</v>
      </c>
      <c r="U36" s="103">
        <v>19.2</v>
      </c>
      <c r="W36" s="17">
        <v>45</v>
      </c>
      <c r="X36" s="103">
        <v>241</v>
      </c>
      <c r="Y36" s="103">
        <v>123</v>
      </c>
      <c r="Z36" s="103">
        <v>83.7</v>
      </c>
      <c r="AA36" s="103">
        <v>64</v>
      </c>
      <c r="AB36" s="103">
        <v>52.3</v>
      </c>
      <c r="AC36" s="103">
        <v>44.5</v>
      </c>
      <c r="AD36" s="103">
        <v>38.9</v>
      </c>
      <c r="AE36" s="103">
        <v>34.700000000000003</v>
      </c>
      <c r="AF36" s="103">
        <v>31.5</v>
      </c>
      <c r="AG36" s="103">
        <v>28.9</v>
      </c>
      <c r="AH36" s="103">
        <v>26.8</v>
      </c>
      <c r="AI36" s="103">
        <v>25.1</v>
      </c>
      <c r="AJ36" s="103">
        <v>23.6</v>
      </c>
      <c r="AK36" s="103">
        <v>22.4</v>
      </c>
      <c r="AL36" s="103">
        <v>21.3</v>
      </c>
      <c r="AM36" s="103">
        <v>20.399999999999999</v>
      </c>
      <c r="AN36" s="103">
        <v>19.5</v>
      </c>
      <c r="AO36" s="103">
        <v>18.8</v>
      </c>
      <c r="AP36" s="103">
        <v>18.2</v>
      </c>
      <c r="AQ36" s="103">
        <v>17.600000000000001</v>
      </c>
    </row>
    <row r="37" spans="1:43" x14ac:dyDescent="0.25">
      <c r="A37" s="17">
        <v>46</v>
      </c>
      <c r="B37" s="103">
        <v>267.39999999999998</v>
      </c>
      <c r="C37" s="103">
        <v>136.5</v>
      </c>
      <c r="D37" s="103">
        <v>92.9</v>
      </c>
      <c r="E37" s="103">
        <v>71.099999999999994</v>
      </c>
      <c r="F37" s="103">
        <v>58</v>
      </c>
      <c r="G37" s="103">
        <v>49.4</v>
      </c>
      <c r="H37" s="103">
        <v>43.2</v>
      </c>
      <c r="I37" s="103">
        <v>38.6</v>
      </c>
      <c r="J37" s="103">
        <v>35</v>
      </c>
      <c r="K37" s="103">
        <v>32.1</v>
      </c>
      <c r="L37" s="103">
        <v>29.8</v>
      </c>
      <c r="M37" s="103">
        <v>27.9</v>
      </c>
      <c r="N37" s="103">
        <v>26.2</v>
      </c>
      <c r="O37" s="103">
        <v>24.9</v>
      </c>
      <c r="P37" s="103">
        <v>23.7</v>
      </c>
      <c r="Q37" s="103">
        <v>22.7</v>
      </c>
      <c r="R37" s="103">
        <v>21.7</v>
      </c>
      <c r="S37" s="103">
        <v>21</v>
      </c>
      <c r="T37" s="103">
        <v>20.2</v>
      </c>
      <c r="U37" s="103">
        <v>19.600000000000001</v>
      </c>
      <c r="W37" s="17">
        <v>46</v>
      </c>
      <c r="X37" s="103">
        <v>245.1</v>
      </c>
      <c r="Y37" s="103">
        <v>125.1</v>
      </c>
      <c r="Z37" s="103">
        <v>85.1</v>
      </c>
      <c r="AA37" s="103">
        <v>65.2</v>
      </c>
      <c r="AB37" s="103">
        <v>53.2</v>
      </c>
      <c r="AC37" s="103">
        <v>45.2</v>
      </c>
      <c r="AD37" s="103">
        <v>39.6</v>
      </c>
      <c r="AE37" s="103">
        <v>35.299999999999997</v>
      </c>
      <c r="AF37" s="103">
        <v>32.1</v>
      </c>
      <c r="AG37" s="103">
        <v>29.4</v>
      </c>
      <c r="AH37" s="103">
        <v>27.3</v>
      </c>
      <c r="AI37" s="103">
        <v>25.6</v>
      </c>
      <c r="AJ37" s="103">
        <v>24.1</v>
      </c>
      <c r="AK37" s="103">
        <v>22.8</v>
      </c>
      <c r="AL37" s="103">
        <v>21.7</v>
      </c>
      <c r="AM37" s="103">
        <v>20.8</v>
      </c>
      <c r="AN37" s="103">
        <v>19.899999999999999</v>
      </c>
      <c r="AO37" s="103">
        <v>19.2</v>
      </c>
      <c r="AP37" s="103">
        <v>18.600000000000001</v>
      </c>
      <c r="AQ37" s="103">
        <v>18</v>
      </c>
    </row>
    <row r="38" spans="1:43" x14ac:dyDescent="0.25">
      <c r="A38" s="17">
        <v>47</v>
      </c>
      <c r="B38" s="103">
        <v>271.8</v>
      </c>
      <c r="C38" s="103">
        <v>138.80000000000001</v>
      </c>
      <c r="D38" s="103">
        <v>94.4</v>
      </c>
      <c r="E38" s="103">
        <v>72.3</v>
      </c>
      <c r="F38" s="103">
        <v>59</v>
      </c>
      <c r="G38" s="103">
        <v>50.2</v>
      </c>
      <c r="H38" s="103">
        <v>43.9</v>
      </c>
      <c r="I38" s="103">
        <v>39.200000000000003</v>
      </c>
      <c r="J38" s="103">
        <v>35.6</v>
      </c>
      <c r="K38" s="103">
        <v>32.700000000000003</v>
      </c>
      <c r="L38" s="103">
        <v>30.3</v>
      </c>
      <c r="M38" s="103">
        <v>28.4</v>
      </c>
      <c r="N38" s="103">
        <v>26.7</v>
      </c>
      <c r="O38" s="103">
        <v>25.3</v>
      </c>
      <c r="P38" s="103">
        <v>24.1</v>
      </c>
      <c r="Q38" s="103">
        <v>23.1</v>
      </c>
      <c r="R38" s="103">
        <v>22.2</v>
      </c>
      <c r="S38" s="103">
        <v>21.4</v>
      </c>
      <c r="T38" s="103">
        <v>20.7</v>
      </c>
      <c r="U38" s="103">
        <v>20</v>
      </c>
      <c r="W38" s="17">
        <v>47</v>
      </c>
      <c r="X38" s="103">
        <v>249.3</v>
      </c>
      <c r="Y38" s="103">
        <v>127.3</v>
      </c>
      <c r="Z38" s="103">
        <v>86.6</v>
      </c>
      <c r="AA38" s="103">
        <v>66.3</v>
      </c>
      <c r="AB38" s="103">
        <v>54.1</v>
      </c>
      <c r="AC38" s="103">
        <v>46.1</v>
      </c>
      <c r="AD38" s="103">
        <v>40.299999999999997</v>
      </c>
      <c r="AE38" s="103">
        <v>36</v>
      </c>
      <c r="AF38" s="103">
        <v>32.700000000000003</v>
      </c>
      <c r="AG38" s="103">
        <v>30</v>
      </c>
      <c r="AH38" s="103">
        <v>27.8</v>
      </c>
      <c r="AI38" s="103">
        <v>26</v>
      </c>
      <c r="AJ38" s="103">
        <v>24.5</v>
      </c>
      <c r="AK38" s="103">
        <v>23.2</v>
      </c>
      <c r="AL38" s="103">
        <v>22.1</v>
      </c>
      <c r="AM38" s="103">
        <v>21.2</v>
      </c>
      <c r="AN38" s="103">
        <v>20.3</v>
      </c>
      <c r="AO38" s="103">
        <v>19.600000000000001</v>
      </c>
      <c r="AP38" s="103">
        <v>18.899999999999999</v>
      </c>
      <c r="AQ38" s="103">
        <v>18.399999999999999</v>
      </c>
    </row>
    <row r="39" spans="1:43" x14ac:dyDescent="0.25">
      <c r="A39" s="17">
        <v>48</v>
      </c>
      <c r="B39" s="103">
        <v>276.3</v>
      </c>
      <c r="C39" s="103">
        <v>141.1</v>
      </c>
      <c r="D39" s="103">
        <v>96</v>
      </c>
      <c r="E39" s="103">
        <v>73.5</v>
      </c>
      <c r="F39" s="103">
        <v>60.1</v>
      </c>
      <c r="G39" s="103">
        <v>51.1</v>
      </c>
      <c r="H39" s="103">
        <v>44.7</v>
      </c>
      <c r="I39" s="103">
        <v>39.9</v>
      </c>
      <c r="J39" s="103">
        <v>36.299999999999997</v>
      </c>
      <c r="K39" s="103">
        <v>33.299999999999997</v>
      </c>
      <c r="L39" s="103">
        <v>30.9</v>
      </c>
      <c r="M39" s="103">
        <v>28.9</v>
      </c>
      <c r="N39" s="103">
        <v>27.3</v>
      </c>
      <c r="O39" s="103">
        <v>25.8</v>
      </c>
      <c r="P39" s="103">
        <v>24.6</v>
      </c>
      <c r="Q39" s="103">
        <v>23.5</v>
      </c>
      <c r="R39" s="103">
        <v>22.6</v>
      </c>
      <c r="S39" s="103">
        <v>21.8</v>
      </c>
      <c r="T39" s="103">
        <v>21.1</v>
      </c>
      <c r="U39" s="103">
        <v>20.399999999999999</v>
      </c>
      <c r="W39" s="17">
        <v>48</v>
      </c>
      <c r="X39" s="103">
        <v>253.5</v>
      </c>
      <c r="Y39" s="103">
        <v>129.4</v>
      </c>
      <c r="Z39" s="103">
        <v>88.1</v>
      </c>
      <c r="AA39" s="103">
        <v>67.5</v>
      </c>
      <c r="AB39" s="103">
        <v>55.1</v>
      </c>
      <c r="AC39" s="103">
        <v>46.9</v>
      </c>
      <c r="AD39" s="103">
        <v>41</v>
      </c>
      <c r="AE39" s="103">
        <v>36.6</v>
      </c>
      <c r="AF39" s="103">
        <v>33.299999999999997</v>
      </c>
      <c r="AG39" s="103">
        <v>30.6</v>
      </c>
      <c r="AH39" s="103">
        <v>28.4</v>
      </c>
      <c r="AI39" s="103">
        <v>26.5</v>
      </c>
      <c r="AJ39" s="103">
        <v>25</v>
      </c>
      <c r="AK39" s="103">
        <v>23.7</v>
      </c>
      <c r="AL39" s="103">
        <v>22.6</v>
      </c>
      <c r="AM39" s="103">
        <v>21.6</v>
      </c>
      <c r="AN39" s="103">
        <v>20.7</v>
      </c>
      <c r="AO39" s="103">
        <v>20</v>
      </c>
      <c r="AP39" s="103">
        <v>19.3</v>
      </c>
      <c r="AQ39" s="103">
        <v>18.7</v>
      </c>
    </row>
    <row r="40" spans="1:43" x14ac:dyDescent="0.25">
      <c r="A40" s="17">
        <v>49</v>
      </c>
      <c r="B40" s="103">
        <v>280.89999999999998</v>
      </c>
      <c r="C40" s="103">
        <v>143.4</v>
      </c>
      <c r="D40" s="103">
        <v>97.7</v>
      </c>
      <c r="E40" s="103">
        <v>74.8</v>
      </c>
      <c r="F40" s="103">
        <v>61.1</v>
      </c>
      <c r="G40" s="103">
        <v>52</v>
      </c>
      <c r="H40" s="103">
        <v>45.5</v>
      </c>
      <c r="I40" s="103">
        <v>40.700000000000003</v>
      </c>
      <c r="J40" s="103">
        <v>36.9</v>
      </c>
      <c r="K40" s="103">
        <v>33.9</v>
      </c>
      <c r="L40" s="103">
        <v>31.5</v>
      </c>
      <c r="M40" s="103">
        <v>29.5</v>
      </c>
      <c r="N40" s="103">
        <v>27.8</v>
      </c>
      <c r="O40" s="103">
        <v>26.3</v>
      </c>
      <c r="P40" s="103">
        <v>25.1</v>
      </c>
      <c r="Q40" s="103">
        <v>24</v>
      </c>
      <c r="R40" s="103">
        <v>23.1</v>
      </c>
      <c r="S40" s="103">
        <v>22.2</v>
      </c>
      <c r="T40" s="103">
        <v>21.5</v>
      </c>
      <c r="U40" s="103"/>
      <c r="W40" s="17">
        <v>49</v>
      </c>
      <c r="X40" s="103">
        <v>257.8</v>
      </c>
      <c r="Y40" s="103">
        <v>131.6</v>
      </c>
      <c r="Z40" s="103">
        <v>89.6</v>
      </c>
      <c r="AA40" s="103">
        <v>68.599999999999994</v>
      </c>
      <c r="AB40" s="103">
        <v>56.1</v>
      </c>
      <c r="AC40" s="103">
        <v>47.7</v>
      </c>
      <c r="AD40" s="103">
        <v>41.8</v>
      </c>
      <c r="AE40" s="103">
        <v>37.299999999999997</v>
      </c>
      <c r="AF40" s="103">
        <v>33.9</v>
      </c>
      <c r="AG40" s="103">
        <v>31.1</v>
      </c>
      <c r="AH40" s="103">
        <v>28.9</v>
      </c>
      <c r="AI40" s="103">
        <v>27</v>
      </c>
      <c r="AJ40" s="103">
        <v>25.5</v>
      </c>
      <c r="AK40" s="103">
        <v>24.2</v>
      </c>
      <c r="AL40" s="103">
        <v>23</v>
      </c>
      <c r="AM40" s="103">
        <v>22</v>
      </c>
      <c r="AN40" s="103">
        <v>21.2</v>
      </c>
      <c r="AO40" s="103">
        <v>20.399999999999999</v>
      </c>
      <c r="AP40" s="103">
        <v>19.7</v>
      </c>
      <c r="AQ40" s="103"/>
    </row>
    <row r="41" spans="1:43" x14ac:dyDescent="0.25">
      <c r="A41" s="17">
        <v>50</v>
      </c>
      <c r="B41" s="103">
        <v>285.5</v>
      </c>
      <c r="C41" s="103">
        <v>145.80000000000001</v>
      </c>
      <c r="D41" s="103">
        <v>99.3</v>
      </c>
      <c r="E41" s="103">
        <v>76.099999999999994</v>
      </c>
      <c r="F41" s="103">
        <v>62.2</v>
      </c>
      <c r="G41" s="103">
        <v>52.9</v>
      </c>
      <c r="H41" s="103">
        <v>46.3</v>
      </c>
      <c r="I41" s="103">
        <v>41.4</v>
      </c>
      <c r="J41" s="103">
        <v>37.6</v>
      </c>
      <c r="K41" s="103">
        <v>34.5</v>
      </c>
      <c r="L41" s="103">
        <v>32.1</v>
      </c>
      <c r="M41" s="103">
        <v>30</v>
      </c>
      <c r="N41" s="103">
        <v>28.3</v>
      </c>
      <c r="O41" s="103">
        <v>26.8</v>
      </c>
      <c r="P41" s="103">
        <v>25.6</v>
      </c>
      <c r="Q41" s="103">
        <v>24.5</v>
      </c>
      <c r="R41" s="103">
        <v>23.5</v>
      </c>
      <c r="S41" s="103">
        <v>22.7</v>
      </c>
      <c r="T41" s="103"/>
      <c r="U41" s="103"/>
      <c r="W41" s="17">
        <v>50</v>
      </c>
      <c r="X41" s="103">
        <v>262.2</v>
      </c>
      <c r="Y41" s="103">
        <v>133.9</v>
      </c>
      <c r="Z41" s="103">
        <v>91.2</v>
      </c>
      <c r="AA41" s="103">
        <v>69.8</v>
      </c>
      <c r="AB41" s="103">
        <v>57.1</v>
      </c>
      <c r="AC41" s="103">
        <v>48.6</v>
      </c>
      <c r="AD41" s="103">
        <v>42.5</v>
      </c>
      <c r="AE41" s="103">
        <v>38</v>
      </c>
      <c r="AF41" s="103">
        <v>34.5</v>
      </c>
      <c r="AG41" s="103">
        <v>31.7</v>
      </c>
      <c r="AH41" s="103">
        <v>29.4</v>
      </c>
      <c r="AI41" s="103">
        <v>27.6</v>
      </c>
      <c r="AJ41" s="103">
        <v>26</v>
      </c>
      <c r="AK41" s="103">
        <v>24.6</v>
      </c>
      <c r="AL41" s="103">
        <v>23.5</v>
      </c>
      <c r="AM41" s="103">
        <v>22.5</v>
      </c>
      <c r="AN41" s="103">
        <v>21.6</v>
      </c>
      <c r="AO41" s="103">
        <v>20.8</v>
      </c>
      <c r="AP41" s="103"/>
      <c r="AQ41" s="103"/>
    </row>
    <row r="42" spans="1:43" x14ac:dyDescent="0.25">
      <c r="A42" s="17">
        <v>51</v>
      </c>
      <c r="B42" s="103">
        <v>290.2</v>
      </c>
      <c r="C42" s="103">
        <v>148.19999999999999</v>
      </c>
      <c r="D42" s="103">
        <v>101</v>
      </c>
      <c r="E42" s="103">
        <v>77.400000000000006</v>
      </c>
      <c r="F42" s="103">
        <v>63.2</v>
      </c>
      <c r="G42" s="103">
        <v>53.8</v>
      </c>
      <c r="H42" s="103">
        <v>47.1</v>
      </c>
      <c r="I42" s="103">
        <v>42.1</v>
      </c>
      <c r="J42" s="103">
        <v>38.299999999999997</v>
      </c>
      <c r="K42" s="103">
        <v>35.200000000000003</v>
      </c>
      <c r="L42" s="103">
        <v>32.700000000000003</v>
      </c>
      <c r="M42" s="103">
        <v>30.6</v>
      </c>
      <c r="N42" s="103">
        <v>28.8</v>
      </c>
      <c r="O42" s="103">
        <v>27.3</v>
      </c>
      <c r="P42" s="103">
        <v>26.1</v>
      </c>
      <c r="Q42" s="103">
        <v>24.9</v>
      </c>
      <c r="R42" s="103">
        <v>24</v>
      </c>
      <c r="S42" s="103"/>
      <c r="T42" s="103"/>
      <c r="U42" s="103"/>
      <c r="W42" s="17">
        <v>51</v>
      </c>
      <c r="X42" s="103">
        <v>266.60000000000002</v>
      </c>
      <c r="Y42" s="103">
        <v>136.19999999999999</v>
      </c>
      <c r="Z42" s="103">
        <v>92.8</v>
      </c>
      <c r="AA42" s="103">
        <v>71.099999999999994</v>
      </c>
      <c r="AB42" s="103">
        <v>58.1</v>
      </c>
      <c r="AC42" s="103">
        <v>49.5</v>
      </c>
      <c r="AD42" s="103">
        <v>43.3</v>
      </c>
      <c r="AE42" s="103">
        <v>38.700000000000003</v>
      </c>
      <c r="AF42" s="103">
        <v>35.1</v>
      </c>
      <c r="AG42" s="103">
        <v>32.299999999999997</v>
      </c>
      <c r="AH42" s="103">
        <v>30</v>
      </c>
      <c r="AI42" s="103">
        <v>28.1</v>
      </c>
      <c r="AJ42" s="103">
        <v>26.5</v>
      </c>
      <c r="AK42" s="103">
        <v>25.1</v>
      </c>
      <c r="AL42" s="103">
        <v>23.9</v>
      </c>
      <c r="AM42" s="103">
        <v>22.9</v>
      </c>
      <c r="AN42" s="103">
        <v>22</v>
      </c>
      <c r="AO42" s="103"/>
      <c r="AP42" s="103"/>
      <c r="AQ42" s="103"/>
    </row>
    <row r="43" spans="1:43" x14ac:dyDescent="0.25">
      <c r="A43" s="17">
        <v>52</v>
      </c>
      <c r="B43" s="103">
        <v>294.89999999999998</v>
      </c>
      <c r="C43" s="103">
        <v>150.69999999999999</v>
      </c>
      <c r="D43" s="103">
        <v>102.7</v>
      </c>
      <c r="E43" s="103">
        <v>78.7</v>
      </c>
      <c r="F43" s="103">
        <v>64.3</v>
      </c>
      <c r="G43" s="103">
        <v>54.8</v>
      </c>
      <c r="H43" s="103">
        <v>48</v>
      </c>
      <c r="I43" s="103">
        <v>42.9</v>
      </c>
      <c r="J43" s="103">
        <v>39</v>
      </c>
      <c r="K43" s="103">
        <v>35.799999999999997</v>
      </c>
      <c r="L43" s="103">
        <v>33.299999999999997</v>
      </c>
      <c r="M43" s="103">
        <v>31.2</v>
      </c>
      <c r="N43" s="103">
        <v>29.4</v>
      </c>
      <c r="O43" s="103">
        <v>27.9</v>
      </c>
      <c r="P43" s="103">
        <v>26.6</v>
      </c>
      <c r="Q43" s="103">
        <v>25.4</v>
      </c>
      <c r="R43" s="103"/>
      <c r="S43" s="103"/>
      <c r="T43" s="103"/>
      <c r="U43" s="103"/>
      <c r="W43" s="17">
        <v>52</v>
      </c>
      <c r="X43" s="103">
        <v>271.10000000000002</v>
      </c>
      <c r="Y43" s="103">
        <v>138.5</v>
      </c>
      <c r="Z43" s="103">
        <v>94.4</v>
      </c>
      <c r="AA43" s="103">
        <v>72.3</v>
      </c>
      <c r="AB43" s="103">
        <v>59.1</v>
      </c>
      <c r="AC43" s="103">
        <v>50.3</v>
      </c>
      <c r="AD43" s="103">
        <v>44.1</v>
      </c>
      <c r="AE43" s="103">
        <v>39.4</v>
      </c>
      <c r="AF43" s="103">
        <v>35.799999999999997</v>
      </c>
      <c r="AG43" s="103">
        <v>32.9</v>
      </c>
      <c r="AH43" s="103">
        <v>30.6</v>
      </c>
      <c r="AI43" s="103">
        <v>28.6</v>
      </c>
      <c r="AJ43" s="103">
        <v>27</v>
      </c>
      <c r="AK43" s="103">
        <v>25.6</v>
      </c>
      <c r="AL43" s="103">
        <v>24.4</v>
      </c>
      <c r="AM43" s="103">
        <v>23.4</v>
      </c>
      <c r="AN43" s="103"/>
      <c r="AO43" s="103"/>
      <c r="AP43" s="103"/>
      <c r="AQ43" s="103"/>
    </row>
    <row r="44" spans="1:43" x14ac:dyDescent="0.25">
      <c r="A44" s="17">
        <v>53</v>
      </c>
      <c r="B44" s="103">
        <v>299.7</v>
      </c>
      <c r="C44" s="103">
        <v>153.19999999999999</v>
      </c>
      <c r="D44" s="103">
        <v>104.4</v>
      </c>
      <c r="E44" s="103">
        <v>80</v>
      </c>
      <c r="F44" s="103">
        <v>65.400000000000006</v>
      </c>
      <c r="G44" s="103">
        <v>55.7</v>
      </c>
      <c r="H44" s="103">
        <v>48.8</v>
      </c>
      <c r="I44" s="103">
        <v>43.7</v>
      </c>
      <c r="J44" s="103">
        <v>39.700000000000003</v>
      </c>
      <c r="K44" s="103">
        <v>36.5</v>
      </c>
      <c r="L44" s="103">
        <v>33.9</v>
      </c>
      <c r="M44" s="103">
        <v>31.7</v>
      </c>
      <c r="N44" s="103">
        <v>29.9</v>
      </c>
      <c r="O44" s="103">
        <v>28.4</v>
      </c>
      <c r="P44" s="103">
        <v>27.1</v>
      </c>
      <c r="Q44" s="103"/>
      <c r="R44" s="103"/>
      <c r="S44" s="103"/>
      <c r="T44" s="103"/>
      <c r="U44" s="103"/>
      <c r="W44" s="17">
        <v>53</v>
      </c>
      <c r="X44" s="103">
        <v>275.60000000000002</v>
      </c>
      <c r="Y44" s="103">
        <v>140.9</v>
      </c>
      <c r="Z44" s="103">
        <v>96</v>
      </c>
      <c r="AA44" s="103">
        <v>73.599999999999994</v>
      </c>
      <c r="AB44" s="103">
        <v>60.2</v>
      </c>
      <c r="AC44" s="103">
        <v>51.2</v>
      </c>
      <c r="AD44" s="103">
        <v>44.9</v>
      </c>
      <c r="AE44" s="103">
        <v>40.1</v>
      </c>
      <c r="AF44" s="103">
        <v>36.5</v>
      </c>
      <c r="AG44" s="103">
        <v>33.5</v>
      </c>
      <c r="AH44" s="103">
        <v>31.2</v>
      </c>
      <c r="AI44" s="103">
        <v>29.2</v>
      </c>
      <c r="AJ44" s="103">
        <v>27.5</v>
      </c>
      <c r="AK44" s="103">
        <v>26.1</v>
      </c>
      <c r="AL44" s="103">
        <v>24.9</v>
      </c>
      <c r="AM44" s="103"/>
      <c r="AN44" s="103"/>
      <c r="AO44" s="103"/>
      <c r="AP44" s="103"/>
      <c r="AQ44" s="103"/>
    </row>
    <row r="45" spans="1:43" x14ac:dyDescent="0.25">
      <c r="A45" s="17">
        <v>54</v>
      </c>
      <c r="B45" s="103">
        <v>304.60000000000002</v>
      </c>
      <c r="C45" s="103">
        <v>155.69999999999999</v>
      </c>
      <c r="D45" s="103">
        <v>106.1</v>
      </c>
      <c r="E45" s="103">
        <v>81.400000000000006</v>
      </c>
      <c r="F45" s="103">
        <v>66.5</v>
      </c>
      <c r="G45" s="103">
        <v>56.7</v>
      </c>
      <c r="H45" s="103">
        <v>49.7</v>
      </c>
      <c r="I45" s="103">
        <v>44.4</v>
      </c>
      <c r="J45" s="103">
        <v>40.4</v>
      </c>
      <c r="K45" s="103">
        <v>37.1</v>
      </c>
      <c r="L45" s="103">
        <v>34.5</v>
      </c>
      <c r="M45" s="103">
        <v>32.299999999999997</v>
      </c>
      <c r="N45" s="103">
        <v>30.5</v>
      </c>
      <c r="O45" s="103">
        <v>28.9</v>
      </c>
      <c r="P45" s="103"/>
      <c r="Q45" s="103"/>
      <c r="R45" s="103"/>
      <c r="S45" s="103"/>
      <c r="T45" s="103"/>
      <c r="U45" s="103"/>
      <c r="W45" s="17">
        <v>54</v>
      </c>
      <c r="X45" s="103">
        <v>280.2</v>
      </c>
      <c r="Y45" s="103">
        <v>143.19999999999999</v>
      </c>
      <c r="Z45" s="103">
        <v>97.6</v>
      </c>
      <c r="AA45" s="103">
        <v>74.900000000000006</v>
      </c>
      <c r="AB45" s="103">
        <v>61.2</v>
      </c>
      <c r="AC45" s="103">
        <v>52.2</v>
      </c>
      <c r="AD45" s="103">
        <v>45.7</v>
      </c>
      <c r="AE45" s="103">
        <v>40.9</v>
      </c>
      <c r="AF45" s="103">
        <v>37.1</v>
      </c>
      <c r="AG45" s="103">
        <v>34.200000000000003</v>
      </c>
      <c r="AH45" s="103">
        <v>31.7</v>
      </c>
      <c r="AI45" s="103">
        <v>29.7</v>
      </c>
      <c r="AJ45" s="103">
        <v>28.1</v>
      </c>
      <c r="AK45" s="103">
        <v>26.6</v>
      </c>
      <c r="AL45" s="103"/>
      <c r="AM45" s="103"/>
      <c r="AN45" s="103"/>
      <c r="AO45" s="103"/>
      <c r="AP45" s="103"/>
      <c r="AQ45" s="103"/>
    </row>
    <row r="46" spans="1:43" x14ac:dyDescent="0.25">
      <c r="A46" s="17">
        <v>55</v>
      </c>
      <c r="B46" s="103">
        <v>309.5</v>
      </c>
      <c r="C46" s="103">
        <v>158.30000000000001</v>
      </c>
      <c r="D46" s="103">
        <v>107.9</v>
      </c>
      <c r="E46" s="103">
        <v>82.7</v>
      </c>
      <c r="F46" s="103">
        <v>67.7</v>
      </c>
      <c r="G46" s="103">
        <v>57.7</v>
      </c>
      <c r="H46" s="103">
        <v>50.5</v>
      </c>
      <c r="I46" s="103">
        <v>45.2</v>
      </c>
      <c r="J46" s="103">
        <v>41.1</v>
      </c>
      <c r="K46" s="103">
        <v>37.799999999999997</v>
      </c>
      <c r="L46" s="103">
        <v>35.1</v>
      </c>
      <c r="M46" s="103">
        <v>32.9</v>
      </c>
      <c r="N46" s="103">
        <v>31.1</v>
      </c>
      <c r="O46" s="103"/>
      <c r="P46" s="103"/>
      <c r="Q46" s="103"/>
      <c r="R46" s="103"/>
      <c r="S46" s="103"/>
      <c r="T46" s="103"/>
      <c r="U46" s="103"/>
      <c r="W46" s="17">
        <v>55</v>
      </c>
      <c r="X46" s="103">
        <v>284.89999999999998</v>
      </c>
      <c r="Y46" s="103">
        <v>145.69999999999999</v>
      </c>
      <c r="Z46" s="103">
        <v>99.3</v>
      </c>
      <c r="AA46" s="103">
        <v>76.2</v>
      </c>
      <c r="AB46" s="103">
        <v>62.3</v>
      </c>
      <c r="AC46" s="103">
        <v>53.1</v>
      </c>
      <c r="AD46" s="103">
        <v>46.5</v>
      </c>
      <c r="AE46" s="103">
        <v>41.6</v>
      </c>
      <c r="AF46" s="103">
        <v>37.799999999999997</v>
      </c>
      <c r="AG46" s="103">
        <v>34.799999999999997</v>
      </c>
      <c r="AH46" s="103">
        <v>32.4</v>
      </c>
      <c r="AI46" s="103">
        <v>30.3</v>
      </c>
      <c r="AJ46" s="103">
        <v>28.6</v>
      </c>
      <c r="AK46" s="103"/>
      <c r="AL46" s="103"/>
      <c r="AM46" s="103"/>
      <c r="AN46" s="103"/>
      <c r="AO46" s="103"/>
      <c r="AP46" s="103"/>
      <c r="AQ46" s="103"/>
    </row>
    <row r="47" spans="1:43" x14ac:dyDescent="0.25">
      <c r="A47" s="17">
        <v>56</v>
      </c>
      <c r="B47" s="103">
        <v>314.5</v>
      </c>
      <c r="C47" s="103">
        <v>160.80000000000001</v>
      </c>
      <c r="D47" s="103">
        <v>109.7</v>
      </c>
      <c r="E47" s="103">
        <v>84.1</v>
      </c>
      <c r="F47" s="103">
        <v>68.8</v>
      </c>
      <c r="G47" s="103">
        <v>58.7</v>
      </c>
      <c r="H47" s="103">
        <v>51.4</v>
      </c>
      <c r="I47" s="103">
        <v>46</v>
      </c>
      <c r="J47" s="103">
        <v>41.8</v>
      </c>
      <c r="K47" s="103">
        <v>38.5</v>
      </c>
      <c r="L47" s="103">
        <v>35.799999999999997</v>
      </c>
      <c r="M47" s="103">
        <v>33.5</v>
      </c>
      <c r="N47" s="103"/>
      <c r="O47" s="103"/>
      <c r="P47" s="103"/>
      <c r="Q47" s="103"/>
      <c r="R47" s="103"/>
      <c r="S47" s="103"/>
      <c r="T47" s="103"/>
      <c r="U47" s="103"/>
      <c r="W47" s="17">
        <v>56</v>
      </c>
      <c r="X47" s="103">
        <v>289.7</v>
      </c>
      <c r="Y47" s="103">
        <v>148.19999999999999</v>
      </c>
      <c r="Z47" s="103">
        <v>101</v>
      </c>
      <c r="AA47" s="103">
        <v>77.5</v>
      </c>
      <c r="AB47" s="103">
        <v>63.4</v>
      </c>
      <c r="AC47" s="103">
        <v>54</v>
      </c>
      <c r="AD47" s="103">
        <v>47.4</v>
      </c>
      <c r="AE47" s="103">
        <v>42.4</v>
      </c>
      <c r="AF47" s="103">
        <v>38.5</v>
      </c>
      <c r="AG47" s="103">
        <v>35.5</v>
      </c>
      <c r="AH47" s="103">
        <v>33</v>
      </c>
      <c r="AI47" s="103">
        <v>30.9</v>
      </c>
      <c r="AJ47" s="103"/>
      <c r="AK47" s="103"/>
      <c r="AL47" s="103"/>
      <c r="AM47" s="103"/>
      <c r="AN47" s="103"/>
      <c r="AO47" s="103"/>
      <c r="AP47" s="103"/>
      <c r="AQ47" s="103"/>
    </row>
    <row r="48" spans="1:43" x14ac:dyDescent="0.25">
      <c r="A48" s="17">
        <v>57</v>
      </c>
      <c r="B48" s="103">
        <v>319.60000000000002</v>
      </c>
      <c r="C48" s="103">
        <v>163.5</v>
      </c>
      <c r="D48" s="103">
        <v>111.5</v>
      </c>
      <c r="E48" s="103">
        <v>85.6</v>
      </c>
      <c r="F48" s="103">
        <v>70</v>
      </c>
      <c r="G48" s="103">
        <v>59.7</v>
      </c>
      <c r="H48" s="103">
        <v>52.3</v>
      </c>
      <c r="I48" s="103">
        <v>46.8</v>
      </c>
      <c r="J48" s="103">
        <v>42.6</v>
      </c>
      <c r="K48" s="103">
        <v>39.200000000000003</v>
      </c>
      <c r="L48" s="103">
        <v>36.4</v>
      </c>
      <c r="M48" s="103"/>
      <c r="N48" s="103"/>
      <c r="O48" s="103"/>
      <c r="P48" s="103"/>
      <c r="Q48" s="103"/>
      <c r="R48" s="103"/>
      <c r="S48" s="103"/>
      <c r="T48" s="103"/>
      <c r="U48" s="103"/>
      <c r="W48" s="17">
        <v>57</v>
      </c>
      <c r="X48" s="103">
        <v>294.60000000000002</v>
      </c>
      <c r="Y48" s="103">
        <v>150.69999999999999</v>
      </c>
      <c r="Z48" s="103">
        <v>102.8</v>
      </c>
      <c r="AA48" s="103">
        <v>78.900000000000006</v>
      </c>
      <c r="AB48" s="103">
        <v>64.5</v>
      </c>
      <c r="AC48" s="103">
        <v>55</v>
      </c>
      <c r="AD48" s="103">
        <v>48.2</v>
      </c>
      <c r="AE48" s="103">
        <v>43.2</v>
      </c>
      <c r="AF48" s="103">
        <v>39.299999999999997</v>
      </c>
      <c r="AG48" s="103">
        <v>36.1</v>
      </c>
      <c r="AH48" s="103">
        <v>33.6</v>
      </c>
      <c r="AI48" s="103"/>
      <c r="AJ48" s="103"/>
      <c r="AK48" s="103"/>
      <c r="AL48" s="103"/>
      <c r="AM48" s="103"/>
      <c r="AN48" s="103"/>
      <c r="AO48" s="103"/>
      <c r="AP48" s="103"/>
      <c r="AQ48" s="103"/>
    </row>
    <row r="49" spans="1:43" x14ac:dyDescent="0.25">
      <c r="A49" s="17">
        <v>58</v>
      </c>
      <c r="B49" s="103">
        <v>324.8</v>
      </c>
      <c r="C49" s="103">
        <v>166.2</v>
      </c>
      <c r="D49" s="103">
        <v>113.4</v>
      </c>
      <c r="E49" s="103">
        <v>87</v>
      </c>
      <c r="F49" s="103">
        <v>71.2</v>
      </c>
      <c r="G49" s="103">
        <v>60.7</v>
      </c>
      <c r="H49" s="103">
        <v>53.3</v>
      </c>
      <c r="I49" s="103">
        <v>47.7</v>
      </c>
      <c r="J49" s="103">
        <v>43.4</v>
      </c>
      <c r="K49" s="103">
        <v>39.9</v>
      </c>
      <c r="L49" s="103"/>
      <c r="M49" s="103"/>
      <c r="N49" s="103"/>
      <c r="O49" s="103"/>
      <c r="P49" s="103"/>
      <c r="Q49" s="103"/>
      <c r="R49" s="103"/>
      <c r="S49" s="103"/>
      <c r="T49" s="103"/>
      <c r="U49" s="103"/>
      <c r="W49" s="17">
        <v>58</v>
      </c>
      <c r="X49" s="103">
        <v>299.60000000000002</v>
      </c>
      <c r="Y49" s="103">
        <v>153.30000000000001</v>
      </c>
      <c r="Z49" s="103">
        <v>104.6</v>
      </c>
      <c r="AA49" s="103">
        <v>80.3</v>
      </c>
      <c r="AB49" s="103">
        <v>65.7</v>
      </c>
      <c r="AC49" s="103">
        <v>56</v>
      </c>
      <c r="AD49" s="103">
        <v>49.1</v>
      </c>
      <c r="AE49" s="103">
        <v>44</v>
      </c>
      <c r="AF49" s="103">
        <v>40</v>
      </c>
      <c r="AG49" s="103">
        <v>36.799999999999997</v>
      </c>
      <c r="AH49" s="103"/>
      <c r="AI49" s="103"/>
      <c r="AJ49" s="103"/>
      <c r="AK49" s="103"/>
      <c r="AL49" s="103"/>
      <c r="AM49" s="103"/>
      <c r="AN49" s="103"/>
      <c r="AO49" s="103"/>
      <c r="AP49" s="103"/>
      <c r="AQ49" s="103"/>
    </row>
    <row r="50" spans="1:43" x14ac:dyDescent="0.25">
      <c r="A50" s="17">
        <v>59</v>
      </c>
      <c r="B50" s="103">
        <v>330.1</v>
      </c>
      <c r="C50" s="103">
        <v>169</v>
      </c>
      <c r="D50" s="103">
        <v>115.3</v>
      </c>
      <c r="E50" s="103">
        <v>88.5</v>
      </c>
      <c r="F50" s="103">
        <v>72.5</v>
      </c>
      <c r="G50" s="103">
        <v>61.8</v>
      </c>
      <c r="H50" s="103">
        <v>54.2</v>
      </c>
      <c r="I50" s="103">
        <v>48.5</v>
      </c>
      <c r="J50" s="103">
        <v>44.2</v>
      </c>
      <c r="K50" s="103"/>
      <c r="L50" s="103"/>
      <c r="M50" s="103"/>
      <c r="N50" s="103"/>
      <c r="O50" s="103"/>
      <c r="P50" s="103"/>
      <c r="Q50" s="103"/>
      <c r="R50" s="103"/>
      <c r="S50" s="103"/>
      <c r="T50" s="103"/>
      <c r="U50" s="103"/>
      <c r="W50" s="17">
        <v>59</v>
      </c>
      <c r="X50" s="103">
        <v>304.8</v>
      </c>
      <c r="Y50" s="103">
        <v>156</v>
      </c>
      <c r="Z50" s="103">
        <v>106.4</v>
      </c>
      <c r="AA50" s="103">
        <v>81.7</v>
      </c>
      <c r="AB50" s="103">
        <v>66.900000000000006</v>
      </c>
      <c r="AC50" s="103">
        <v>57.1</v>
      </c>
      <c r="AD50" s="103">
        <v>50.1</v>
      </c>
      <c r="AE50" s="103">
        <v>44.8</v>
      </c>
      <c r="AF50" s="103">
        <v>40.799999999999997</v>
      </c>
      <c r="AG50" s="103"/>
      <c r="AH50" s="103"/>
      <c r="AI50" s="103"/>
      <c r="AJ50" s="103"/>
      <c r="AK50" s="103"/>
      <c r="AL50" s="103"/>
      <c r="AM50" s="103"/>
      <c r="AN50" s="103"/>
      <c r="AO50" s="103"/>
      <c r="AP50" s="103"/>
      <c r="AQ50" s="103"/>
    </row>
    <row r="51" spans="1:43" x14ac:dyDescent="0.25">
      <c r="A51" s="17">
        <v>60</v>
      </c>
      <c r="B51" s="103">
        <v>335.6</v>
      </c>
      <c r="C51" s="103">
        <v>171.8</v>
      </c>
      <c r="D51" s="103">
        <v>117.2</v>
      </c>
      <c r="E51" s="103">
        <v>90</v>
      </c>
      <c r="F51" s="103">
        <v>73.7</v>
      </c>
      <c r="G51" s="103">
        <v>62.9</v>
      </c>
      <c r="H51" s="103">
        <v>55.2</v>
      </c>
      <c r="I51" s="103">
        <v>49.4</v>
      </c>
      <c r="J51" s="103"/>
      <c r="K51" s="103"/>
      <c r="L51" s="103"/>
      <c r="M51" s="103"/>
      <c r="N51" s="103"/>
      <c r="O51" s="103"/>
      <c r="P51" s="103"/>
      <c r="Q51" s="103"/>
      <c r="R51" s="103"/>
      <c r="S51" s="103"/>
      <c r="T51" s="103"/>
      <c r="U51" s="103"/>
      <c r="W51" s="17">
        <v>60</v>
      </c>
      <c r="X51" s="103">
        <v>310.10000000000002</v>
      </c>
      <c r="Y51" s="103">
        <v>158.69999999999999</v>
      </c>
      <c r="Z51" s="103">
        <v>108.3</v>
      </c>
      <c r="AA51" s="103">
        <v>83.2</v>
      </c>
      <c r="AB51" s="103">
        <v>68.099999999999994</v>
      </c>
      <c r="AC51" s="103">
        <v>58.1</v>
      </c>
      <c r="AD51" s="103">
        <v>51</v>
      </c>
      <c r="AE51" s="103">
        <v>45.7</v>
      </c>
      <c r="AF51" s="103"/>
      <c r="AG51" s="103"/>
      <c r="AH51" s="103"/>
      <c r="AI51" s="103"/>
      <c r="AJ51" s="103"/>
      <c r="AK51" s="103"/>
      <c r="AL51" s="103"/>
      <c r="AM51" s="103"/>
      <c r="AN51" s="103"/>
      <c r="AO51" s="103"/>
      <c r="AP51" s="103"/>
      <c r="AQ51" s="103"/>
    </row>
    <row r="52" spans="1:43" x14ac:dyDescent="0.25">
      <c r="A52" s="17">
        <v>61</v>
      </c>
      <c r="B52" s="103">
        <v>341.1</v>
      </c>
      <c r="C52" s="103">
        <v>174.7</v>
      </c>
      <c r="D52" s="103">
        <v>119.3</v>
      </c>
      <c r="E52" s="103">
        <v>91.6</v>
      </c>
      <c r="F52" s="103">
        <v>75</v>
      </c>
      <c r="G52" s="103">
        <v>64</v>
      </c>
      <c r="H52" s="103">
        <v>56.2</v>
      </c>
      <c r="I52" s="103"/>
      <c r="J52" s="103"/>
      <c r="K52" s="103"/>
      <c r="L52" s="103"/>
      <c r="M52" s="103"/>
      <c r="N52" s="103"/>
      <c r="O52" s="103"/>
      <c r="P52" s="103"/>
      <c r="Q52" s="103"/>
      <c r="R52" s="103"/>
      <c r="S52" s="103"/>
      <c r="T52" s="103"/>
      <c r="U52" s="103"/>
      <c r="W52" s="17">
        <v>61</v>
      </c>
      <c r="X52" s="103">
        <v>315.5</v>
      </c>
      <c r="Y52" s="103">
        <v>161.5</v>
      </c>
      <c r="Z52" s="103">
        <v>110.3</v>
      </c>
      <c r="AA52" s="103">
        <v>84.7</v>
      </c>
      <c r="AB52" s="103">
        <v>69.400000000000006</v>
      </c>
      <c r="AC52" s="103">
        <v>59.2</v>
      </c>
      <c r="AD52" s="103">
        <v>52</v>
      </c>
      <c r="AE52" s="103"/>
      <c r="AF52" s="103"/>
      <c r="AG52" s="103"/>
      <c r="AH52" s="103"/>
      <c r="AI52" s="103"/>
      <c r="AJ52" s="103"/>
      <c r="AK52" s="103"/>
      <c r="AL52" s="103"/>
      <c r="AM52" s="103"/>
      <c r="AN52" s="103"/>
      <c r="AO52" s="103"/>
      <c r="AP52" s="103"/>
      <c r="AQ52" s="103"/>
    </row>
    <row r="53" spans="1:43" x14ac:dyDescent="0.25">
      <c r="A53" s="17">
        <v>62</v>
      </c>
      <c r="B53" s="103">
        <v>346.8</v>
      </c>
      <c r="C53" s="103">
        <v>177.6</v>
      </c>
      <c r="D53" s="103">
        <v>121.3</v>
      </c>
      <c r="E53" s="103">
        <v>93.2</v>
      </c>
      <c r="F53" s="103">
        <v>76.400000000000006</v>
      </c>
      <c r="G53" s="103">
        <v>65.2</v>
      </c>
      <c r="H53" s="103"/>
      <c r="I53" s="103"/>
      <c r="J53" s="103"/>
      <c r="K53" s="103"/>
      <c r="L53" s="103"/>
      <c r="M53" s="103"/>
      <c r="N53" s="103"/>
      <c r="O53" s="103"/>
      <c r="P53" s="103"/>
      <c r="Q53" s="103"/>
      <c r="R53" s="103"/>
      <c r="S53" s="103"/>
      <c r="T53" s="103"/>
      <c r="U53" s="103"/>
      <c r="W53" s="17">
        <v>62</v>
      </c>
      <c r="X53" s="103">
        <v>321.10000000000002</v>
      </c>
      <c r="Y53" s="103">
        <v>164.4</v>
      </c>
      <c r="Z53" s="103">
        <v>112.3</v>
      </c>
      <c r="AA53" s="103">
        <v>86.3</v>
      </c>
      <c r="AB53" s="103">
        <v>70.7</v>
      </c>
      <c r="AC53" s="103">
        <v>60.3</v>
      </c>
      <c r="AD53" s="103"/>
      <c r="AE53" s="103"/>
      <c r="AF53" s="103"/>
      <c r="AG53" s="103"/>
      <c r="AH53" s="103"/>
      <c r="AI53" s="103"/>
      <c r="AJ53" s="103"/>
      <c r="AK53" s="103"/>
      <c r="AL53" s="103"/>
      <c r="AM53" s="103"/>
      <c r="AN53" s="103"/>
      <c r="AO53" s="103"/>
      <c r="AP53" s="103"/>
      <c r="AQ53" s="103"/>
    </row>
    <row r="54" spans="1:43" x14ac:dyDescent="0.25">
      <c r="A54" s="17">
        <v>63</v>
      </c>
      <c r="B54" s="103">
        <v>352.7</v>
      </c>
      <c r="C54" s="103">
        <v>180.7</v>
      </c>
      <c r="D54" s="103">
        <v>123.4</v>
      </c>
      <c r="E54" s="103">
        <v>94.8</v>
      </c>
      <c r="F54" s="103">
        <v>77.7</v>
      </c>
      <c r="G54" s="103"/>
      <c r="H54" s="103"/>
      <c r="I54" s="103"/>
      <c r="J54" s="103"/>
      <c r="K54" s="103"/>
      <c r="L54" s="103"/>
      <c r="M54" s="103"/>
      <c r="N54" s="103"/>
      <c r="O54" s="103"/>
      <c r="P54" s="103"/>
      <c r="Q54" s="103"/>
      <c r="R54" s="103"/>
      <c r="S54" s="103"/>
      <c r="T54" s="103"/>
      <c r="U54" s="103"/>
      <c r="W54" s="17">
        <v>63</v>
      </c>
      <c r="X54" s="103">
        <v>326.89999999999998</v>
      </c>
      <c r="Y54" s="103">
        <v>167.5</v>
      </c>
      <c r="Z54" s="103">
        <v>114.4</v>
      </c>
      <c r="AA54" s="103">
        <v>87.9</v>
      </c>
      <c r="AB54" s="103">
        <v>72</v>
      </c>
      <c r="AC54" s="103"/>
      <c r="AD54" s="103"/>
      <c r="AE54" s="103"/>
      <c r="AF54" s="103"/>
      <c r="AG54" s="103"/>
      <c r="AH54" s="103"/>
      <c r="AI54" s="103"/>
      <c r="AJ54" s="103"/>
      <c r="AK54" s="103"/>
      <c r="AL54" s="103"/>
      <c r="AM54" s="103"/>
      <c r="AN54" s="103"/>
      <c r="AO54" s="103"/>
      <c r="AP54" s="103"/>
      <c r="AQ54" s="103"/>
    </row>
    <row r="55" spans="1:43" x14ac:dyDescent="0.25">
      <c r="A55" s="17">
        <v>64</v>
      </c>
      <c r="B55" s="103">
        <v>358.9</v>
      </c>
      <c r="C55" s="103">
        <v>183.9</v>
      </c>
      <c r="D55" s="103">
        <v>125.6</v>
      </c>
      <c r="E55" s="103">
        <v>96.6</v>
      </c>
      <c r="F55" s="103"/>
      <c r="G55" s="103"/>
      <c r="H55" s="103"/>
      <c r="I55" s="103"/>
      <c r="J55" s="103"/>
      <c r="K55" s="103"/>
      <c r="L55" s="103"/>
      <c r="M55" s="103"/>
      <c r="N55" s="103"/>
      <c r="O55" s="103"/>
      <c r="P55" s="103"/>
      <c r="Q55" s="103"/>
      <c r="R55" s="103"/>
      <c r="S55" s="103"/>
      <c r="T55" s="103"/>
      <c r="U55" s="103"/>
      <c r="W55" s="17">
        <v>64</v>
      </c>
      <c r="X55" s="103">
        <v>332.9</v>
      </c>
      <c r="Y55" s="103">
        <v>170.6</v>
      </c>
      <c r="Z55" s="103">
        <v>116.6</v>
      </c>
      <c r="AA55" s="103">
        <v>89.6</v>
      </c>
      <c r="AB55" s="103"/>
      <c r="AC55" s="103"/>
      <c r="AD55" s="103"/>
      <c r="AE55" s="103"/>
      <c r="AF55" s="103"/>
      <c r="AG55" s="103"/>
      <c r="AH55" s="103"/>
      <c r="AI55" s="103"/>
      <c r="AJ55" s="103"/>
      <c r="AK55" s="103"/>
      <c r="AL55" s="103"/>
      <c r="AM55" s="103"/>
      <c r="AN55" s="103"/>
      <c r="AO55" s="103"/>
      <c r="AP55" s="103"/>
      <c r="AQ55" s="103"/>
    </row>
    <row r="56" spans="1:43" x14ac:dyDescent="0.25">
      <c r="A56" s="17">
        <v>65</v>
      </c>
      <c r="B56" s="103">
        <v>365.4</v>
      </c>
      <c r="C56" s="103">
        <v>187.3</v>
      </c>
      <c r="D56" s="103">
        <v>128</v>
      </c>
      <c r="E56" s="103"/>
      <c r="F56" s="103"/>
      <c r="G56" s="103"/>
      <c r="H56" s="103"/>
      <c r="I56" s="103"/>
      <c r="J56" s="103"/>
      <c r="K56" s="103"/>
      <c r="L56" s="103"/>
      <c r="M56" s="103"/>
      <c r="N56" s="103"/>
      <c r="O56" s="103"/>
      <c r="P56" s="103"/>
      <c r="Q56" s="103"/>
      <c r="R56" s="103"/>
      <c r="S56" s="103"/>
      <c r="T56" s="103"/>
      <c r="U56" s="103"/>
      <c r="W56" s="17">
        <v>65</v>
      </c>
      <c r="X56" s="103">
        <v>339.3</v>
      </c>
      <c r="Y56" s="103">
        <v>173.9</v>
      </c>
      <c r="Z56" s="103">
        <v>118.8</v>
      </c>
      <c r="AA56" s="103"/>
      <c r="AB56" s="103"/>
      <c r="AC56" s="103"/>
      <c r="AD56" s="103"/>
      <c r="AE56" s="103"/>
      <c r="AF56" s="103"/>
      <c r="AG56" s="103"/>
      <c r="AH56" s="103"/>
      <c r="AI56" s="103"/>
      <c r="AJ56" s="103"/>
      <c r="AK56" s="103"/>
      <c r="AL56" s="103"/>
      <c r="AM56" s="103"/>
      <c r="AN56" s="103"/>
      <c r="AO56" s="103"/>
      <c r="AP56" s="103"/>
      <c r="AQ56" s="103"/>
    </row>
    <row r="57" spans="1:43" x14ac:dyDescent="0.25">
      <c r="A57" s="17">
        <v>66</v>
      </c>
      <c r="B57" s="103">
        <v>371.9</v>
      </c>
      <c r="C57" s="103">
        <v>190.6</v>
      </c>
      <c r="D57" s="103"/>
      <c r="E57" s="103"/>
      <c r="F57" s="103"/>
      <c r="G57" s="103"/>
      <c r="H57" s="103"/>
      <c r="I57" s="103"/>
      <c r="J57" s="103"/>
      <c r="K57" s="103"/>
      <c r="L57" s="103"/>
      <c r="M57" s="103"/>
      <c r="N57" s="103"/>
      <c r="O57" s="103"/>
      <c r="P57" s="103"/>
      <c r="Q57" s="103"/>
      <c r="R57" s="103"/>
      <c r="S57" s="103"/>
      <c r="T57" s="103"/>
      <c r="U57" s="103"/>
      <c r="W57" s="17">
        <v>66</v>
      </c>
      <c r="X57" s="103">
        <v>345.7</v>
      </c>
      <c r="Y57" s="103">
        <v>177.2</v>
      </c>
      <c r="Z57" s="103"/>
      <c r="AA57" s="103"/>
      <c r="AB57" s="103"/>
      <c r="AC57" s="103"/>
      <c r="AD57" s="103"/>
      <c r="AE57" s="103"/>
      <c r="AF57" s="103"/>
      <c r="AG57" s="103"/>
      <c r="AH57" s="103"/>
      <c r="AI57" s="103"/>
      <c r="AJ57" s="103"/>
      <c r="AK57" s="103"/>
      <c r="AL57" s="103"/>
      <c r="AM57" s="103"/>
      <c r="AN57" s="103"/>
      <c r="AO57" s="103"/>
      <c r="AP57" s="103"/>
      <c r="AQ57" s="103"/>
    </row>
    <row r="58" spans="1:43" x14ac:dyDescent="0.25">
      <c r="A58" s="17">
        <v>67</v>
      </c>
      <c r="B58" s="103">
        <v>378.7</v>
      </c>
      <c r="C58" s="103"/>
      <c r="D58" s="103"/>
      <c r="E58" s="103"/>
      <c r="F58" s="103"/>
      <c r="G58" s="103"/>
      <c r="H58" s="103"/>
      <c r="I58" s="103"/>
      <c r="J58" s="103"/>
      <c r="K58" s="103"/>
      <c r="L58" s="103"/>
      <c r="M58" s="103"/>
      <c r="N58" s="103"/>
      <c r="O58" s="103"/>
      <c r="P58" s="103"/>
      <c r="Q58" s="103"/>
      <c r="R58" s="103"/>
      <c r="S58" s="103"/>
      <c r="T58" s="103"/>
      <c r="U58" s="103"/>
      <c r="W58" s="17">
        <v>67</v>
      </c>
      <c r="X58" s="103">
        <v>352.4</v>
      </c>
      <c r="Y58" s="103"/>
      <c r="Z58" s="103"/>
      <c r="AA58" s="103"/>
      <c r="AB58" s="103"/>
      <c r="AC58" s="103"/>
      <c r="AD58" s="103"/>
      <c r="AE58" s="103"/>
      <c r="AF58" s="103"/>
      <c r="AG58" s="103"/>
      <c r="AH58" s="103"/>
      <c r="AI58" s="103"/>
      <c r="AJ58" s="103"/>
      <c r="AK58" s="103"/>
      <c r="AL58" s="103"/>
      <c r="AM58" s="103"/>
      <c r="AN58" s="103"/>
      <c r="AO58" s="103"/>
      <c r="AP58" s="103"/>
      <c r="AQ58" s="103"/>
    </row>
  </sheetData>
  <mergeCells count="2">
    <mergeCell ref="B5:U5"/>
    <mergeCell ref="X5:AQ5"/>
  </mergeCells>
  <conditionalFormatting sqref="U1:V2">
    <cfRule type="expression" dxfId="5" priority="1" stopIfTrue="1">
      <formula>MOD(ROW(),2)=0</formula>
    </cfRule>
    <cfRule type="expression" dxfId="4" priority="2" stopIfTrue="1">
      <formula>MOD(ROW(),2)&lt;&gt;0</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Z25"/>
  <sheetViews>
    <sheetView workbookViewId="0">
      <selection activeCell="J11" sqref="J11"/>
    </sheetView>
  </sheetViews>
  <sheetFormatPr defaultColWidth="9.140625" defaultRowHeight="15" x14ac:dyDescent="0.25"/>
  <cols>
    <col min="1" max="1" width="18.42578125" style="15" customWidth="1"/>
    <col min="2" max="13" width="9.140625" style="15"/>
    <col min="14" max="14" width="11.7109375" style="15" bestFit="1" customWidth="1"/>
    <col min="15" max="16384" width="9.140625" style="15"/>
  </cols>
  <sheetData>
    <row r="1" spans="1:26" ht="64.5" x14ac:dyDescent="0.25">
      <c r="M1" s="112" t="s">
        <v>140</v>
      </c>
      <c r="N1" s="114">
        <v>46204</v>
      </c>
      <c r="P1" s="112" t="s">
        <v>142</v>
      </c>
      <c r="Q1" s="112" t="s">
        <v>143</v>
      </c>
    </row>
    <row r="2" spans="1:26" x14ac:dyDescent="0.25">
      <c r="A2" s="223" t="s">
        <v>46</v>
      </c>
      <c r="B2" s="223"/>
      <c r="C2" s="223"/>
      <c r="D2" s="223"/>
      <c r="E2" s="223"/>
      <c r="F2" s="223"/>
      <c r="G2" s="223"/>
      <c r="H2" s="223"/>
      <c r="I2" s="223"/>
      <c r="J2" s="223"/>
      <c r="K2" s="223"/>
      <c r="L2" s="223"/>
      <c r="M2" s="223"/>
      <c r="N2" s="223"/>
    </row>
    <row r="3" spans="1:26" x14ac:dyDescent="0.25">
      <c r="A3" s="224" t="s">
        <v>47</v>
      </c>
      <c r="B3" s="224"/>
      <c r="C3" s="224"/>
      <c r="D3" s="224"/>
      <c r="E3" s="224"/>
      <c r="F3" s="224"/>
      <c r="G3" s="224"/>
      <c r="H3" s="224"/>
      <c r="I3" s="224"/>
      <c r="J3" s="224"/>
      <c r="K3" s="224"/>
      <c r="L3" s="224"/>
      <c r="M3" s="224"/>
      <c r="N3" s="224"/>
    </row>
    <row r="4" spans="1:26" x14ac:dyDescent="0.25">
      <c r="A4" s="224" t="s">
        <v>48</v>
      </c>
      <c r="B4" s="224"/>
      <c r="C4" s="224"/>
      <c r="D4" s="224"/>
      <c r="E4" s="224"/>
      <c r="F4" s="224"/>
      <c r="G4" s="224"/>
      <c r="H4" s="224"/>
      <c r="I4" s="224"/>
      <c r="J4" s="224"/>
      <c r="K4" s="224"/>
      <c r="L4" s="224"/>
      <c r="M4" s="224"/>
      <c r="N4" s="224"/>
    </row>
    <row r="5" spans="1:26" ht="15.75" thickBot="1" x14ac:dyDescent="0.3">
      <c r="A5" s="224" t="s">
        <v>49</v>
      </c>
      <c r="B5" s="224"/>
      <c r="C5" s="224"/>
      <c r="D5" s="224"/>
      <c r="E5" s="224"/>
      <c r="F5" s="224"/>
      <c r="G5" s="224"/>
      <c r="H5" s="224"/>
      <c r="I5" s="224"/>
      <c r="J5" s="224"/>
      <c r="K5" s="224"/>
      <c r="L5" s="224"/>
      <c r="M5" s="224"/>
      <c r="N5" s="224"/>
    </row>
    <row r="6" spans="1:26" ht="18.75" thickBot="1" x14ac:dyDescent="0.3">
      <c r="A6" s="225" t="s">
        <v>50</v>
      </c>
      <c r="B6" s="226"/>
      <c r="C6" s="226"/>
      <c r="D6" s="226"/>
      <c r="E6" s="226"/>
      <c r="F6" s="226"/>
      <c r="G6" s="226"/>
      <c r="H6" s="226"/>
      <c r="I6" s="226"/>
      <c r="J6" s="226"/>
      <c r="K6" s="226"/>
      <c r="L6" s="226"/>
      <c r="M6" s="227"/>
      <c r="N6" s="51"/>
      <c r="P6" s="111" t="s">
        <v>139</v>
      </c>
    </row>
    <row r="7" spans="1:26" ht="29.25" customHeight="1" thickBot="1" x14ac:dyDescent="0.3">
      <c r="A7" s="71" t="s">
        <v>65</v>
      </c>
      <c r="B7" s="49">
        <v>0</v>
      </c>
      <c r="C7" s="49">
        <v>1</v>
      </c>
      <c r="D7" s="49">
        <v>2</v>
      </c>
      <c r="E7" s="49">
        <v>3</v>
      </c>
      <c r="F7" s="49">
        <v>4</v>
      </c>
      <c r="G7" s="49">
        <v>5</v>
      </c>
      <c r="H7" s="49">
        <v>6</v>
      </c>
      <c r="I7" s="49">
        <v>7</v>
      </c>
      <c r="J7" s="49">
        <v>8</v>
      </c>
      <c r="K7" s="49">
        <v>9</v>
      </c>
      <c r="L7" s="49">
        <v>10</v>
      </c>
      <c r="M7" s="49">
        <v>11</v>
      </c>
      <c r="N7" s="50"/>
    </row>
    <row r="8" spans="1:26" ht="15.75" thickBot="1" x14ac:dyDescent="0.3">
      <c r="A8" s="53">
        <v>0</v>
      </c>
      <c r="B8" s="115">
        <v>1</v>
      </c>
      <c r="C8" s="115">
        <v>0.995</v>
      </c>
      <c r="D8" s="115">
        <v>0.99099999999999999</v>
      </c>
      <c r="E8" s="115">
        <v>0.98599999999999999</v>
      </c>
      <c r="F8" s="115">
        <v>0.98199999999999998</v>
      </c>
      <c r="G8" s="115">
        <v>0.97699999999999998</v>
      </c>
      <c r="H8" s="115">
        <v>0.97299999999999998</v>
      </c>
      <c r="I8" s="115">
        <v>0.96799999999999997</v>
      </c>
      <c r="J8" s="115">
        <v>0.96399999999999997</v>
      </c>
      <c r="K8" s="115">
        <v>0.95899999999999996</v>
      </c>
      <c r="L8" s="115">
        <v>0.95499999999999996</v>
      </c>
      <c r="M8" s="115">
        <v>0.95</v>
      </c>
      <c r="N8" s="50"/>
      <c r="O8" s="54"/>
      <c r="P8" s="54"/>
      <c r="Q8" s="54"/>
      <c r="R8" s="54"/>
      <c r="S8" s="54"/>
      <c r="T8" s="54"/>
      <c r="U8" s="54"/>
      <c r="V8" s="54"/>
      <c r="W8" s="54"/>
      <c r="X8" s="54"/>
      <c r="Y8" s="54"/>
      <c r="Z8" s="54"/>
    </row>
    <row r="9" spans="1:26" ht="15.75" thickBot="1" x14ac:dyDescent="0.3">
      <c r="A9" s="53">
        <v>1</v>
      </c>
      <c r="B9" s="115">
        <v>0.94599999999999995</v>
      </c>
      <c r="C9" s="115">
        <v>0.94199999999999995</v>
      </c>
      <c r="D9" s="115">
        <v>0.93799999999999994</v>
      </c>
      <c r="E9" s="115">
        <v>0.93300000000000005</v>
      </c>
      <c r="F9" s="115">
        <v>0.92900000000000005</v>
      </c>
      <c r="G9" s="115">
        <v>0.92500000000000004</v>
      </c>
      <c r="H9" s="115">
        <v>0.92100000000000004</v>
      </c>
      <c r="I9" s="115">
        <v>0.91700000000000004</v>
      </c>
      <c r="J9" s="115">
        <v>0.91300000000000003</v>
      </c>
      <c r="K9" s="115">
        <v>0.90900000000000003</v>
      </c>
      <c r="L9" s="115">
        <v>0.90400000000000003</v>
      </c>
      <c r="M9" s="115">
        <v>0.9</v>
      </c>
      <c r="N9" s="50"/>
      <c r="O9" s="54"/>
      <c r="P9" s="54"/>
      <c r="Q9" s="54"/>
      <c r="R9" s="54"/>
      <c r="S9" s="54"/>
      <c r="T9" s="54"/>
      <c r="U9" s="54"/>
      <c r="V9" s="54"/>
      <c r="W9" s="54"/>
      <c r="X9" s="54"/>
      <c r="Y9" s="54"/>
      <c r="Z9" s="54"/>
    </row>
    <row r="10" spans="1:26" ht="15.75" thickBot="1" x14ac:dyDescent="0.3">
      <c r="A10" s="53">
        <v>2</v>
      </c>
      <c r="B10" s="115">
        <v>0.89600000000000002</v>
      </c>
      <c r="C10" s="115">
        <v>0.89200000000000002</v>
      </c>
      <c r="D10" s="115">
        <v>0.88900000000000001</v>
      </c>
      <c r="E10" s="115">
        <v>0.88500000000000001</v>
      </c>
      <c r="F10" s="115">
        <v>0.88100000000000001</v>
      </c>
      <c r="G10" s="115">
        <v>0.877</v>
      </c>
      <c r="H10" s="115">
        <v>0.873</v>
      </c>
      <c r="I10" s="115">
        <v>0.87</v>
      </c>
      <c r="J10" s="115">
        <v>0.86599999999999999</v>
      </c>
      <c r="K10" s="115">
        <v>0.86199999999999999</v>
      </c>
      <c r="L10" s="115">
        <v>0.85799999999999998</v>
      </c>
      <c r="M10" s="115">
        <v>0.85499999999999998</v>
      </c>
      <c r="N10" s="50"/>
      <c r="O10" s="54"/>
      <c r="P10" s="54"/>
      <c r="Q10" s="54"/>
      <c r="R10" s="54"/>
      <c r="S10" s="54"/>
      <c r="T10" s="54"/>
      <c r="U10" s="54"/>
      <c r="V10" s="54"/>
      <c r="W10" s="54"/>
      <c r="X10" s="54"/>
      <c r="Y10" s="54"/>
      <c r="Z10" s="54"/>
    </row>
    <row r="11" spans="1:26" ht="15.75" thickBot="1" x14ac:dyDescent="0.3">
      <c r="A11" s="116">
        <v>3</v>
      </c>
      <c r="B11" s="115">
        <v>0.85099999999999998</v>
      </c>
      <c r="C11" s="115">
        <v>0.84699999999999998</v>
      </c>
      <c r="D11" s="115">
        <v>0.84399999999999997</v>
      </c>
      <c r="E11" s="115">
        <v>0.84</v>
      </c>
      <c r="F11" s="115">
        <v>0.83699999999999997</v>
      </c>
      <c r="G11" s="115">
        <v>0.83299999999999996</v>
      </c>
      <c r="H11" s="115">
        <v>0.83</v>
      </c>
      <c r="I11" s="115">
        <v>0.82599999999999996</v>
      </c>
      <c r="J11" s="115">
        <v>0.82299999999999995</v>
      </c>
      <c r="K11" s="115">
        <v>0.81899999999999995</v>
      </c>
      <c r="L11" s="115">
        <v>0.81599999999999995</v>
      </c>
      <c r="M11" s="115">
        <v>0.81200000000000006</v>
      </c>
      <c r="N11" s="50"/>
      <c r="O11" s="54"/>
      <c r="P11" s="54"/>
      <c r="Q11" s="54"/>
      <c r="R11" s="54"/>
      <c r="S11" s="54"/>
      <c r="T11" s="54"/>
      <c r="U11" s="54"/>
      <c r="V11" s="54"/>
      <c r="W11" s="54"/>
      <c r="X11" s="54"/>
      <c r="Y11" s="54"/>
      <c r="Z11" s="54"/>
    </row>
    <row r="12" spans="1:26" ht="15.75" thickBot="1" x14ac:dyDescent="0.3">
      <c r="A12" s="116">
        <v>4</v>
      </c>
      <c r="B12" s="115">
        <v>0.80900000000000005</v>
      </c>
      <c r="C12" s="115">
        <v>0.80600000000000005</v>
      </c>
      <c r="D12" s="115">
        <v>0.80200000000000005</v>
      </c>
      <c r="E12" s="115">
        <v>0.79900000000000004</v>
      </c>
      <c r="F12" s="115">
        <v>0.79600000000000004</v>
      </c>
      <c r="G12" s="115">
        <v>0.79300000000000004</v>
      </c>
      <c r="H12" s="115">
        <v>0.79</v>
      </c>
      <c r="I12" s="115">
        <v>0.78600000000000003</v>
      </c>
      <c r="J12" s="115">
        <v>0.78300000000000003</v>
      </c>
      <c r="K12" s="115">
        <v>0.78</v>
      </c>
      <c r="L12" s="115">
        <v>0.77700000000000002</v>
      </c>
      <c r="M12" s="115">
        <v>0.77300000000000002</v>
      </c>
      <c r="N12" s="50"/>
      <c r="O12" s="54"/>
      <c r="P12" s="54"/>
      <c r="Q12" s="54"/>
      <c r="R12" s="54"/>
      <c r="S12" s="54"/>
      <c r="T12" s="54"/>
      <c r="U12" s="54"/>
      <c r="V12" s="54"/>
      <c r="W12" s="54"/>
      <c r="X12" s="54"/>
      <c r="Y12" s="54"/>
      <c r="Z12" s="54"/>
    </row>
    <row r="13" spans="1:26" ht="15.75" thickBot="1" x14ac:dyDescent="0.3">
      <c r="A13" s="116">
        <v>5</v>
      </c>
      <c r="B13" s="115">
        <v>0.77</v>
      </c>
      <c r="C13" s="115">
        <v>0.76700000000000002</v>
      </c>
      <c r="D13" s="115">
        <v>0.76400000000000001</v>
      </c>
      <c r="E13" s="115">
        <v>0.76100000000000001</v>
      </c>
      <c r="F13" s="115">
        <v>0.75800000000000001</v>
      </c>
      <c r="G13" s="115">
        <v>0.755</v>
      </c>
      <c r="H13" s="115">
        <v>0.752</v>
      </c>
      <c r="I13" s="115">
        <v>0.749</v>
      </c>
      <c r="J13" s="115">
        <v>0.746</v>
      </c>
      <c r="K13" s="115">
        <v>0.74299999999999999</v>
      </c>
      <c r="L13" s="115">
        <v>0.74</v>
      </c>
      <c r="M13" s="115">
        <v>0.73699999999999999</v>
      </c>
      <c r="N13" s="50"/>
      <c r="O13" s="54"/>
      <c r="P13" s="54"/>
      <c r="Q13" s="54"/>
      <c r="R13" s="54"/>
      <c r="S13" s="54"/>
      <c r="T13" s="54"/>
      <c r="U13" s="54"/>
      <c r="V13" s="54"/>
      <c r="W13" s="54"/>
      <c r="X13" s="54"/>
      <c r="Y13" s="54"/>
      <c r="Z13" s="54"/>
    </row>
    <row r="14" spans="1:26" ht="15.75" thickBot="1" x14ac:dyDescent="0.3">
      <c r="A14" s="116">
        <v>6</v>
      </c>
      <c r="B14" s="115">
        <v>0.73399999999999999</v>
      </c>
      <c r="C14" s="115">
        <v>0.73199999999999998</v>
      </c>
      <c r="D14" s="115">
        <v>0.72899999999999998</v>
      </c>
      <c r="E14" s="115">
        <v>0.72599999999999998</v>
      </c>
      <c r="F14" s="115">
        <v>0.72299999999999998</v>
      </c>
      <c r="G14" s="115">
        <v>0.72099999999999997</v>
      </c>
      <c r="H14" s="115">
        <v>0.71799999999999997</v>
      </c>
      <c r="I14" s="115">
        <v>0.71499999999999997</v>
      </c>
      <c r="J14" s="115">
        <v>0.71199999999999997</v>
      </c>
      <c r="K14" s="115">
        <v>0.71</v>
      </c>
      <c r="L14" s="115">
        <v>0.70699999999999996</v>
      </c>
      <c r="M14" s="115">
        <v>0.70399999999999996</v>
      </c>
      <c r="N14" s="50"/>
      <c r="O14" s="54"/>
      <c r="P14" s="54"/>
      <c r="Q14" s="54"/>
      <c r="R14" s="54"/>
      <c r="S14" s="54"/>
      <c r="T14" s="54"/>
      <c r="U14" s="54"/>
      <c r="V14" s="54"/>
      <c r="W14" s="54"/>
      <c r="X14" s="54"/>
      <c r="Y14" s="54"/>
      <c r="Z14" s="54"/>
    </row>
    <row r="15" spans="1:26" ht="15.75" thickBot="1" x14ac:dyDescent="0.3">
      <c r="A15" s="116">
        <v>7</v>
      </c>
      <c r="B15" s="115">
        <v>0.70099999999999996</v>
      </c>
      <c r="C15" s="115">
        <v>0.69899999999999995</v>
      </c>
      <c r="D15" s="115">
        <v>0.69599999999999995</v>
      </c>
      <c r="E15" s="115">
        <v>0.69399999999999995</v>
      </c>
      <c r="F15" s="115">
        <v>0.69099999999999995</v>
      </c>
      <c r="G15" s="115">
        <v>0.68799999999999994</v>
      </c>
      <c r="H15" s="115">
        <v>0.68600000000000005</v>
      </c>
      <c r="I15" s="115">
        <v>0.68300000000000005</v>
      </c>
      <c r="J15" s="115">
        <v>0.68100000000000005</v>
      </c>
      <c r="K15" s="115">
        <v>0.67800000000000005</v>
      </c>
      <c r="L15" s="115">
        <v>0.67600000000000005</v>
      </c>
      <c r="M15" s="115">
        <v>0.67300000000000004</v>
      </c>
      <c r="N15" s="50"/>
      <c r="O15" s="54"/>
      <c r="P15" s="54"/>
      <c r="Q15" s="54"/>
      <c r="R15" s="54"/>
      <c r="S15" s="54"/>
      <c r="T15" s="54"/>
      <c r="U15" s="54"/>
      <c r="V15" s="54"/>
      <c r="W15" s="54"/>
      <c r="X15" s="54"/>
      <c r="Y15" s="54"/>
      <c r="Z15" s="54"/>
    </row>
    <row r="16" spans="1:26" ht="15.75" thickBot="1" x14ac:dyDescent="0.3">
      <c r="A16" s="116">
        <v>8</v>
      </c>
      <c r="B16" s="115">
        <v>0.67</v>
      </c>
      <c r="C16" s="115">
        <v>0.66800000000000004</v>
      </c>
      <c r="D16" s="115">
        <v>0.66600000000000004</v>
      </c>
      <c r="E16" s="115">
        <v>0.66300000000000003</v>
      </c>
      <c r="F16" s="115">
        <v>0.66100000000000003</v>
      </c>
      <c r="G16" s="115">
        <v>0.65800000000000003</v>
      </c>
      <c r="H16" s="115">
        <v>0.65600000000000003</v>
      </c>
      <c r="I16" s="115">
        <v>0.65400000000000003</v>
      </c>
      <c r="J16" s="115">
        <v>0.65100000000000002</v>
      </c>
      <c r="K16" s="115">
        <v>0.64900000000000002</v>
      </c>
      <c r="L16" s="115">
        <v>0.64600000000000002</v>
      </c>
      <c r="M16" s="115">
        <v>0.64400000000000002</v>
      </c>
      <c r="N16" s="50"/>
      <c r="O16" s="54"/>
      <c r="P16" s="54"/>
      <c r="Q16" s="54"/>
      <c r="R16" s="54"/>
      <c r="S16" s="54"/>
      <c r="T16" s="54"/>
      <c r="U16" s="54"/>
      <c r="V16" s="54"/>
      <c r="W16" s="54"/>
      <c r="X16" s="54"/>
      <c r="Y16" s="54"/>
      <c r="Z16" s="54"/>
    </row>
    <row r="17" spans="1:26" ht="15.75" thickBot="1" x14ac:dyDescent="0.3">
      <c r="A17" s="116">
        <v>9</v>
      </c>
      <c r="B17" s="115">
        <v>0.64200000000000002</v>
      </c>
      <c r="C17" s="115">
        <v>0.63900000000000001</v>
      </c>
      <c r="D17" s="115">
        <v>0.63700000000000001</v>
      </c>
      <c r="E17" s="115">
        <v>0.63500000000000001</v>
      </c>
      <c r="F17" s="115">
        <v>0.63300000000000001</v>
      </c>
      <c r="G17" s="115">
        <v>0.63100000000000001</v>
      </c>
      <c r="H17" s="115">
        <v>0.628</v>
      </c>
      <c r="I17" s="115">
        <v>0.626</v>
      </c>
      <c r="J17" s="115">
        <v>0.624</v>
      </c>
      <c r="K17" s="115">
        <v>0.622</v>
      </c>
      <c r="L17" s="115">
        <v>0.61899999999999999</v>
      </c>
      <c r="M17" s="115">
        <v>0.61699999999999999</v>
      </c>
      <c r="N17" s="50"/>
      <c r="O17" s="54"/>
      <c r="P17" s="54"/>
      <c r="Q17" s="54"/>
      <c r="R17" s="54"/>
      <c r="S17" s="54"/>
      <c r="T17" s="54"/>
      <c r="U17" s="54"/>
      <c r="V17" s="54"/>
      <c r="W17" s="54"/>
      <c r="X17" s="54"/>
      <c r="Y17" s="54"/>
      <c r="Z17" s="54"/>
    </row>
    <row r="18" spans="1:26" ht="15.75" thickBot="1" x14ac:dyDescent="0.3">
      <c r="A18" s="116">
        <v>10</v>
      </c>
      <c r="B18" s="115">
        <v>0.61499999999999999</v>
      </c>
      <c r="C18" s="115">
        <v>0.61299999999999999</v>
      </c>
      <c r="D18" s="115">
        <v>0.61099999999999999</v>
      </c>
      <c r="E18" s="115">
        <v>0.60899999999999999</v>
      </c>
      <c r="F18" s="115">
        <v>0.60699999999999998</v>
      </c>
      <c r="G18" s="115">
        <v>0.60399999999999998</v>
      </c>
      <c r="H18" s="115">
        <v>0.60199999999999998</v>
      </c>
      <c r="I18" s="115">
        <v>0.6</v>
      </c>
      <c r="J18" s="115">
        <v>0.59799999999999998</v>
      </c>
      <c r="K18" s="115">
        <v>0.59599999999999997</v>
      </c>
      <c r="L18" s="115">
        <v>0.59399999999999997</v>
      </c>
      <c r="M18" s="115">
        <v>0.59199999999999997</v>
      </c>
      <c r="N18" s="50"/>
      <c r="O18" s="54"/>
      <c r="P18" s="54"/>
      <c r="Q18" s="54"/>
      <c r="R18" s="54"/>
      <c r="S18" s="54"/>
      <c r="T18" s="54"/>
      <c r="U18" s="54"/>
      <c r="V18" s="54"/>
      <c r="W18" s="54"/>
      <c r="X18" s="54"/>
      <c r="Y18" s="54"/>
      <c r="Z18" s="54"/>
    </row>
    <row r="19" spans="1:26" ht="15.75" thickBot="1" x14ac:dyDescent="0.3">
      <c r="A19" s="116">
        <v>11</v>
      </c>
      <c r="B19" s="115">
        <v>0.59</v>
      </c>
      <c r="C19" s="115">
        <v>0.58799999999999997</v>
      </c>
      <c r="D19" s="115">
        <v>0.58599999999999997</v>
      </c>
      <c r="E19" s="115">
        <v>0.58399999999999996</v>
      </c>
      <c r="F19" s="115">
        <v>0.58199999999999996</v>
      </c>
      <c r="G19" s="115">
        <v>0.57999999999999996</v>
      </c>
      <c r="H19" s="115">
        <v>0.57799999999999996</v>
      </c>
      <c r="I19" s="115">
        <v>0.57599999999999996</v>
      </c>
      <c r="J19" s="115">
        <v>0.57399999999999995</v>
      </c>
      <c r="K19" s="115">
        <v>0.57199999999999995</v>
      </c>
      <c r="L19" s="115">
        <v>0.56999999999999995</v>
      </c>
      <c r="M19" s="115">
        <v>0.56799999999999995</v>
      </c>
      <c r="N19" s="50"/>
      <c r="O19" s="54"/>
      <c r="P19" s="54"/>
      <c r="Q19" s="54"/>
      <c r="R19" s="54"/>
      <c r="S19" s="54"/>
      <c r="T19" s="54"/>
      <c r="U19" s="54"/>
      <c r="V19" s="54"/>
      <c r="W19" s="54"/>
      <c r="X19" s="54"/>
      <c r="Y19" s="54"/>
      <c r="Z19" s="54"/>
    </row>
    <row r="20" spans="1:26" ht="15.75" thickBot="1" x14ac:dyDescent="0.3">
      <c r="A20" s="116">
        <v>12</v>
      </c>
      <c r="B20" s="115">
        <v>0.56599999999999995</v>
      </c>
      <c r="C20" s="115">
        <v>0.56399999999999995</v>
      </c>
      <c r="D20" s="115">
        <v>0.56299999999999994</v>
      </c>
      <c r="E20" s="115">
        <v>0.56100000000000005</v>
      </c>
      <c r="F20" s="115">
        <v>0.55900000000000005</v>
      </c>
      <c r="G20" s="115">
        <v>0.55700000000000005</v>
      </c>
      <c r="H20" s="115">
        <v>0.55500000000000005</v>
      </c>
      <c r="I20" s="115">
        <v>0.55300000000000005</v>
      </c>
      <c r="J20" s="115">
        <v>0.55200000000000005</v>
      </c>
      <c r="K20" s="115">
        <v>0.55000000000000004</v>
      </c>
      <c r="L20" s="115">
        <v>0.54800000000000004</v>
      </c>
      <c r="M20" s="115">
        <v>0.54600000000000004</v>
      </c>
      <c r="N20" s="50"/>
      <c r="O20" s="54"/>
      <c r="P20" s="54"/>
      <c r="Q20" s="54"/>
      <c r="R20" s="54"/>
      <c r="S20" s="54"/>
      <c r="T20" s="54"/>
      <c r="U20" s="54"/>
      <c r="V20" s="54"/>
      <c r="W20" s="54"/>
      <c r="X20" s="54"/>
      <c r="Y20" s="54"/>
      <c r="Z20" s="54"/>
    </row>
    <row r="21" spans="1:26" ht="15.75" thickBot="1" x14ac:dyDescent="0.3">
      <c r="A21" s="117">
        <v>13</v>
      </c>
      <c r="B21" s="115">
        <v>0.54400000000000004</v>
      </c>
      <c r="C21" s="52"/>
      <c r="D21" s="52"/>
      <c r="E21" s="52"/>
      <c r="F21" s="52"/>
      <c r="G21" s="52"/>
      <c r="H21" s="52"/>
      <c r="I21" s="52"/>
      <c r="J21" s="52"/>
      <c r="K21" s="52"/>
      <c r="L21" s="52"/>
      <c r="M21" s="52"/>
      <c r="N21" s="50"/>
    </row>
    <row r="22" spans="1:26" x14ac:dyDescent="0.25">
      <c r="A22" s="55"/>
    </row>
    <row r="23" spans="1:26" x14ac:dyDescent="0.25">
      <c r="A23" s="56" t="s">
        <v>51</v>
      </c>
      <c r="B23" s="56" t="s">
        <v>52</v>
      </c>
    </row>
    <row r="24" spans="1:26" x14ac:dyDescent="0.25">
      <c r="A24" s="55" t="s">
        <v>53</v>
      </c>
      <c r="B24" s="56" t="s">
        <v>54</v>
      </c>
    </row>
    <row r="25" spans="1:26" x14ac:dyDescent="0.25">
      <c r="A25" s="57"/>
      <c r="B25" s="57" t="s">
        <v>55</v>
      </c>
    </row>
  </sheetData>
  <mergeCells count="5">
    <mergeCell ref="A2:N2"/>
    <mergeCell ref="A3:N3"/>
    <mergeCell ref="A4:N4"/>
    <mergeCell ref="A5:N5"/>
    <mergeCell ref="A6:M6"/>
  </mergeCells>
  <conditionalFormatting sqref="M1:N1">
    <cfRule type="expression" dxfId="3" priority="3" stopIfTrue="1">
      <formula>MOD(ROW(),2)=0</formula>
    </cfRule>
    <cfRule type="expression" dxfId="2" priority="4" stopIfTrue="1">
      <formula>MOD(ROW(),2)&lt;&gt;0</formula>
    </cfRule>
  </conditionalFormatting>
  <conditionalFormatting sqref="P1:Q1">
    <cfRule type="expression" dxfId="1" priority="1" stopIfTrue="1">
      <formula>MOD(ROW(),2)=0</formula>
    </cfRule>
    <cfRule type="expression" dxfId="0" priority="2" stopIfTrue="1">
      <formula>MOD(ROW(),2)&lt;&gt;0</formula>
    </cfRule>
  </conditionalFormatting>
  <pageMargins left="0.7" right="0.7" top="0.75" bottom="0.75" header="0.3" footer="0.3"/>
</worksheet>
</file>

<file path=docMetadata/LabelInfo.xml><?xml version="1.0" encoding="utf-8"?>
<clbl:labelList xmlns:clbl="http://schemas.microsoft.com/office/2020/mipLabelMetadata">
  <clbl:label id="{0ef77447-1083-4dec-b89f-27c765076840}" enabled="0" method="" siteId="{0ef77447-1083-4dec-b89f-27c76507684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13</vt:i4>
      </vt:variant>
    </vt:vector>
  </HeadingPairs>
  <TitlesOfParts>
    <vt:vector size="15" baseType="lpstr">
      <vt:lpstr>Contributions calculator</vt:lpstr>
      <vt:lpstr>Illustration and Guidance</vt:lpstr>
      <vt:lpstr>AP_Available</vt:lpstr>
      <vt:lpstr>Buy_out_months</vt:lpstr>
      <vt:lpstr>Contribution_period</vt:lpstr>
      <vt:lpstr>Existing_AP</vt:lpstr>
      <vt:lpstr>Form_of_AP</vt:lpstr>
      <vt:lpstr>Oldest_allowed</vt:lpstr>
      <vt:lpstr>Payment_type</vt:lpstr>
      <vt:lpstr>'Contributions calculator'!Print_Area</vt:lpstr>
      <vt:lpstr>'Guidance notes'!Print_Area</vt:lpstr>
      <vt:lpstr>'Illustration and Guidance'!Print_Area</vt:lpstr>
      <vt:lpstr>Years</vt:lpstr>
      <vt:lpstr>Yes_No</vt:lpstr>
      <vt:lpstr>Youngest_allowed</vt:lpstr>
    </vt:vector>
  </TitlesOfParts>
  <Company>Scottish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u418778</dc:creator>
  <cp:lastModifiedBy>Teri Fawcett</cp:lastModifiedBy>
  <cp:lastPrinted>2026-09-29T06:48:17Z</cp:lastPrinted>
  <dcterms:created xsi:type="dcterms:W3CDTF">2015-04-02T11:10:56Z</dcterms:created>
  <dcterms:modified xsi:type="dcterms:W3CDTF">2026-09-29T07:15:47Z</dcterms:modified>
</cp:coreProperties>
</file>