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G:\S O P A\All SPPA Users\GAD\GAD Factor Review 2026\Calculators\2. Undergoing testing\"/>
    </mc:Choice>
  </mc:AlternateContent>
  <xr:revisionPtr revIDLastSave="0" documentId="13_ncr:1_{DD130E48-E497-4D01-A450-60537597E6DC}" xr6:coauthVersionLast="47" xr6:coauthVersionMax="47" xr10:uidLastSave="{00000000-0000-0000-0000-000000000000}"/>
  <bookViews>
    <workbookView xWindow="28680" yWindow="-120" windowWidth="29040" windowHeight="15720" tabRatio="765" xr2:uid="{CF46E827-4714-43A0-A5AB-6B12287F2D5C}"/>
  </bookViews>
  <sheets>
    <sheet name="Contributions calculator" sheetId="1" r:id="rId1"/>
    <sheet name="Factor list" sheetId="22" state="veryHidden" r:id="rId2"/>
    <sheet name="Codes" sheetId="3" state="veryHidden" r:id="rId3"/>
    <sheet name="State pension age" sheetId="7" state="veryHidden" r:id="rId4"/>
    <sheet name="Lump Sum" sheetId="5" state="veryHidden" r:id="rId5"/>
    <sheet name="NRA60 (1995)" sheetId="18" state="veryHidden" r:id="rId6"/>
    <sheet name="NRA65 (2008)" sheetId="21" state="veryHidden" r:id="rId7"/>
    <sheet name="NRA65 (CARE)" sheetId="10" state="veryHidden" r:id="rId8"/>
    <sheet name="NRA66 (CARE)" sheetId="11" state="veryHidden" r:id="rId9"/>
    <sheet name="NRA67 (CARE)" sheetId="12" state="veryHidden" r:id="rId10"/>
    <sheet name="NRA68 (CARE)" sheetId="8" state="veryHidden" r:id="rId11"/>
    <sheet name="ERF" sheetId="17" state="veryHidden" r:id="rId12"/>
    <sheet name="Illustration and Guidance" sheetId="19" r:id="rId13"/>
    <sheet name="Guidance notes" sheetId="20" state="veryHidden" r:id="rId14"/>
  </sheets>
  <definedNames>
    <definedName name="AP_Available">Codes!$C$13:$C$40</definedName>
    <definedName name="Buy_out_months">Codes!$D$7:$D$8</definedName>
    <definedName name="Contribution_period">Codes!$D$13:$D$32</definedName>
    <definedName name="Existing_AP">Codes!$B$13:$B$40</definedName>
    <definedName name="Form_of_AP">Codes!$D$2:$D$3</definedName>
    <definedName name="Oldest_allowed">Codes!$B$2</definedName>
    <definedName name="Payment_type">Codes!$C$2:$C$3</definedName>
    <definedName name="_xlnm.Print_Area" localSheetId="0">'Contributions calculator'!$B$2:$G$20</definedName>
    <definedName name="_xlnm.Print_Area" localSheetId="13">'Guidance notes'!$B$2:$B$5</definedName>
    <definedName name="_xlnm.Print_Area" localSheetId="12">'Illustration and Guidance'!$B$1:$E$25</definedName>
    <definedName name="Years">Codes!$C$7:$C$10</definedName>
    <definedName name="Yes_No">Codes!$B$7:$B$8</definedName>
    <definedName name="Youngest_allowed">Codes!$B$3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1" l="1"/>
  <c r="C19" i="19"/>
  <c r="C13" i="19"/>
  <c r="C12" i="19"/>
  <c r="C14" i="19"/>
  <c r="E10" i="3" l="1"/>
  <c r="M16" i="7"/>
  <c r="M29" i="7"/>
  <c r="C11" i="19"/>
  <c r="C7" i="19"/>
  <c r="C5" i="19"/>
  <c r="B20" i="1"/>
  <c r="B19" i="1"/>
  <c r="D7" i="1"/>
  <c r="J9" i="3" s="1"/>
  <c r="B40" i="7"/>
  <c r="D40" i="7" s="1"/>
  <c r="P14" i="3"/>
  <c r="D10" i="1" s="1"/>
  <c r="F2" i="3"/>
  <c r="B2" i="3"/>
  <c r="B4" i="7"/>
  <c r="K15" i="7"/>
  <c r="B15" i="7"/>
  <c r="C15" i="7" s="1"/>
  <c r="B6" i="7"/>
  <c r="D6" i="7" s="1"/>
  <c r="B7" i="7"/>
  <c r="F7" i="7" s="1"/>
  <c r="B8" i="7"/>
  <c r="G8" i="7" s="1"/>
  <c r="B9" i="7"/>
  <c r="M9" i="7" s="1"/>
  <c r="B10" i="7"/>
  <c r="F10" i="7" s="1"/>
  <c r="B11" i="7"/>
  <c r="G11" i="7" s="1"/>
  <c r="B12" i="7"/>
  <c r="C12" i="7" s="1"/>
  <c r="B13" i="7"/>
  <c r="C13" i="7" s="1"/>
  <c r="B14" i="7"/>
  <c r="D14" i="7" s="1"/>
  <c r="B17" i="7"/>
  <c r="F17" i="7" s="1"/>
  <c r="E17" i="7" s="1"/>
  <c r="B18" i="7"/>
  <c r="D18" i="7" s="1"/>
  <c r="B19" i="7"/>
  <c r="F19" i="7" s="1"/>
  <c r="E19" i="7" s="1"/>
  <c r="B20" i="7"/>
  <c r="F20" i="7" s="1"/>
  <c r="E20" i="7" s="1"/>
  <c r="B21" i="7"/>
  <c r="D21" i="7" s="1"/>
  <c r="B22" i="7"/>
  <c r="D22" i="7" s="1"/>
  <c r="B23" i="7"/>
  <c r="F23" i="7" s="1"/>
  <c r="E23" i="7" s="1"/>
  <c r="B24" i="7"/>
  <c r="D24" i="7" s="1"/>
  <c r="B25" i="7"/>
  <c r="D25" i="7" s="1"/>
  <c r="B26" i="7"/>
  <c r="D26" i="7" s="1"/>
  <c r="B27" i="7"/>
  <c r="D27" i="7" s="1"/>
  <c r="B28" i="7"/>
  <c r="D28" i="7" s="1"/>
  <c r="B30" i="7"/>
  <c r="G30" i="7" s="1"/>
  <c r="B31" i="7"/>
  <c r="B32" i="7"/>
  <c r="F32" i="7" s="1"/>
  <c r="B33" i="7"/>
  <c r="G33" i="7" s="1"/>
  <c r="B34" i="7"/>
  <c r="D34" i="7" s="1"/>
  <c r="B35" i="7"/>
  <c r="F35" i="7" s="1"/>
  <c r="B36" i="7"/>
  <c r="F36" i="7" s="1"/>
  <c r="B37" i="7"/>
  <c r="M37" i="7" s="1"/>
  <c r="B38" i="7"/>
  <c r="M38" i="7" s="1"/>
  <c r="B39" i="7"/>
  <c r="C39" i="7" s="1"/>
  <c r="B41" i="7"/>
  <c r="G41" i="7" s="1"/>
  <c r="B5" i="7"/>
  <c r="G5" i="7" s="1"/>
  <c r="J42" i="7"/>
  <c r="B42" i="7" s="1"/>
  <c r="B3" i="3"/>
  <c r="J2" i="3" l="1"/>
  <c r="J3" i="3"/>
  <c r="J4" i="3"/>
  <c r="G9" i="7"/>
  <c r="C32" i="7"/>
  <c r="M12" i="7"/>
  <c r="F39" i="7"/>
  <c r="G39" i="7"/>
  <c r="F12" i="7"/>
  <c r="F22" i="7"/>
  <c r="E22" i="7" s="1"/>
  <c r="F40" i="7"/>
  <c r="M10" i="7"/>
  <c r="D15" i="7"/>
  <c r="D33" i="7"/>
  <c r="F24" i="7"/>
  <c r="E24" i="7" s="1"/>
  <c r="M33" i="7"/>
  <c r="G10" i="7"/>
  <c r="E10" i="7" s="1"/>
  <c r="F9" i="7"/>
  <c r="D9" i="7"/>
  <c r="D10" i="7"/>
  <c r="G35" i="7"/>
  <c r="E35" i="7" s="1"/>
  <c r="C36" i="7"/>
  <c r="C10" i="7"/>
  <c r="C9" i="7"/>
  <c r="M35" i="7"/>
  <c r="D8" i="7"/>
  <c r="C35" i="7"/>
  <c r="M8" i="7"/>
  <c r="G32" i="7"/>
  <c r="E32" i="7" s="1"/>
  <c r="D17" i="7"/>
  <c r="D35" i="7"/>
  <c r="D39" i="7"/>
  <c r="F8" i="7"/>
  <c r="E8" i="7" s="1"/>
  <c r="F26" i="7"/>
  <c r="E26" i="7" s="1"/>
  <c r="F34" i="7"/>
  <c r="G36" i="7"/>
  <c r="E36" i="7" s="1"/>
  <c r="C34" i="7"/>
  <c r="G34" i="7"/>
  <c r="D41" i="7"/>
  <c r="F27" i="7"/>
  <c r="E27" i="7" s="1"/>
  <c r="M34" i="7"/>
  <c r="F41" i="7"/>
  <c r="G13" i="7"/>
  <c r="F6" i="7"/>
  <c r="D23" i="7"/>
  <c r="M41" i="7"/>
  <c r="F25" i="7"/>
  <c r="E25" i="7" s="1"/>
  <c r="C41" i="7"/>
  <c r="C40" i="7"/>
  <c r="D7" i="7"/>
  <c r="M36" i="7"/>
  <c r="G6" i="7"/>
  <c r="C31" i="7"/>
  <c r="D31" i="7" s="1"/>
  <c r="C7" i="7"/>
  <c r="M40" i="7"/>
  <c r="F14" i="7"/>
  <c r="M39" i="7"/>
  <c r="F5" i="7"/>
  <c r="E5" i="7" s="1"/>
  <c r="G7" i="7"/>
  <c r="E7" i="7" s="1"/>
  <c r="G40" i="7"/>
  <c r="C6" i="7"/>
  <c r="M13" i="7"/>
  <c r="J14" i="3"/>
  <c r="F13" i="7"/>
  <c r="C30" i="7"/>
  <c r="D30" i="7"/>
  <c r="D36" i="7"/>
  <c r="M6" i="7"/>
  <c r="D13" i="7"/>
  <c r="D38" i="7"/>
  <c r="G15" i="7"/>
  <c r="C11" i="7"/>
  <c r="F11" i="7"/>
  <c r="E11" i="7" s="1"/>
  <c r="D11" i="7"/>
  <c r="F38" i="7"/>
  <c r="D19" i="7"/>
  <c r="M30" i="7"/>
  <c r="M7" i="7"/>
  <c r="G14" i="7"/>
  <c r="C37" i="7"/>
  <c r="C14" i="7"/>
  <c r="F30" i="7"/>
  <c r="E30" i="7" s="1"/>
  <c r="M32" i="7"/>
  <c r="C38" i="7"/>
  <c r="F15" i="7"/>
  <c r="G38" i="7"/>
  <c r="D32" i="7"/>
  <c r="M11" i="7"/>
  <c r="D20" i="7"/>
  <c r="M14" i="7"/>
  <c r="G12" i="7"/>
  <c r="I11" i="1"/>
  <c r="C13" i="3"/>
  <c r="C14" i="3" s="1"/>
  <c r="C15" i="3" s="1"/>
  <c r="C16" i="3" s="1"/>
  <c r="C17" i="3" s="1"/>
  <c r="C18" i="3" s="1"/>
  <c r="C19" i="3" s="1"/>
  <c r="C20" i="3" s="1"/>
  <c r="C21" i="3" s="1"/>
  <c r="C22" i="3" s="1"/>
  <c r="C23" i="3" s="1"/>
  <c r="C24" i="3" s="1"/>
  <c r="C25" i="3" s="1"/>
  <c r="C26" i="3" s="1"/>
  <c r="C27" i="3" s="1"/>
  <c r="C28" i="3" s="1"/>
  <c r="C29" i="3" s="1"/>
  <c r="C30" i="3" s="1"/>
  <c r="C31" i="3" s="1"/>
  <c r="C32" i="3" s="1"/>
  <c r="C33" i="3" s="1"/>
  <c r="C34" i="3" s="1"/>
  <c r="C35" i="3" s="1"/>
  <c r="C36" i="3" s="1"/>
  <c r="C37" i="3" s="1"/>
  <c r="C38" i="3" s="1"/>
  <c r="C39" i="3" s="1"/>
  <c r="C40" i="3" s="1"/>
  <c r="C41" i="3" s="1"/>
  <c r="C42" i="3" s="1"/>
  <c r="C43" i="3" s="1"/>
  <c r="C44" i="3" s="1"/>
  <c r="C45" i="3" s="1"/>
  <c r="C46" i="3" s="1"/>
  <c r="C47" i="3" s="1"/>
  <c r="C48" i="3" s="1"/>
  <c r="C49" i="3" s="1"/>
  <c r="C50" i="3" s="1"/>
  <c r="C51" i="3" s="1"/>
  <c r="C52" i="3" s="1"/>
  <c r="C53" i="3" s="1"/>
  <c r="C54" i="3" s="1"/>
  <c r="C55" i="3" s="1"/>
  <c r="C56" i="3" s="1"/>
  <c r="C57" i="3" s="1"/>
  <c r="C58" i="3" s="1"/>
  <c r="C59" i="3" s="1"/>
  <c r="C60" i="3" s="1"/>
  <c r="C61" i="3" s="1"/>
  <c r="C62" i="3" s="1"/>
  <c r="C63" i="3" s="1"/>
  <c r="C64" i="3" s="1"/>
  <c r="C65" i="3" s="1"/>
  <c r="C66" i="3" s="1"/>
  <c r="B14" i="3"/>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B65" i="3" s="1"/>
  <c r="B66" i="3" s="1"/>
  <c r="J11" i="3"/>
  <c r="J16" i="3"/>
  <c r="J12" i="3"/>
  <c r="J13" i="3"/>
  <c r="C8" i="7"/>
  <c r="C5" i="7"/>
  <c r="C8" i="19"/>
  <c r="J7" i="3"/>
  <c r="F21" i="7"/>
  <c r="E21" i="7" s="1"/>
  <c r="F18" i="7"/>
  <c r="E18" i="7" s="1"/>
  <c r="C33" i="7"/>
  <c r="D12" i="7"/>
  <c r="G37" i="7"/>
  <c r="J5" i="3"/>
  <c r="D5" i="7"/>
  <c r="J15" i="3"/>
  <c r="J10" i="3"/>
  <c r="D37" i="7"/>
  <c r="F37" i="7"/>
  <c r="F33" i="7"/>
  <c r="E33" i="7" s="1"/>
  <c r="J6" i="3"/>
  <c r="J8" i="3"/>
  <c r="M5" i="7"/>
  <c r="I7" i="1"/>
  <c r="M42" i="7"/>
  <c r="G42" i="7" s="1"/>
  <c r="D42" i="7"/>
  <c r="E9" i="7" l="1"/>
  <c r="F31" i="7"/>
  <c r="M31" i="7" s="1"/>
  <c r="G31" i="7" s="1"/>
  <c r="E31" i="7" s="1"/>
  <c r="F6" i="1" s="1"/>
  <c r="D6" i="1"/>
  <c r="E8" i="3" s="1"/>
  <c r="H27" i="3" s="1"/>
  <c r="E12" i="7"/>
  <c r="E39" i="7"/>
  <c r="E34" i="7"/>
  <c r="B67" i="3"/>
  <c r="B68" i="3" s="1"/>
  <c r="B69" i="3" s="1"/>
  <c r="B70" i="3" s="1"/>
  <c r="B71" i="3" s="1"/>
  <c r="B72" i="3" s="1"/>
  <c r="B73" i="3" s="1"/>
  <c r="B74" i="3" s="1"/>
  <c r="B75" i="3" s="1"/>
  <c r="B76" i="3" s="1"/>
  <c r="B77" i="3" s="1"/>
  <c r="B78" i="3" s="1"/>
  <c r="B79" i="3" s="1"/>
  <c r="B80" i="3" s="1"/>
  <c r="B81" i="3" s="1"/>
  <c r="B82" i="3" s="1"/>
  <c r="B83" i="3" s="1"/>
  <c r="B84" i="3" s="1"/>
  <c r="B85" i="3" s="1"/>
  <c r="B86" i="3" s="1"/>
  <c r="B87" i="3" s="1"/>
  <c r="B88" i="3" s="1"/>
  <c r="B89" i="3" s="1"/>
  <c r="B90" i="3" s="1"/>
  <c r="B91" i="3" s="1"/>
  <c r="B92" i="3" s="1"/>
  <c r="B93" i="3" s="1"/>
  <c r="B94" i="3" s="1"/>
  <c r="B95" i="3" s="1"/>
  <c r="B96" i="3" s="1"/>
  <c r="B97" i="3" s="1"/>
  <c r="B98" i="3" s="1"/>
  <c r="B99" i="3" s="1"/>
  <c r="B100" i="3" s="1"/>
  <c r="B101" i="3" s="1"/>
  <c r="B102" i="3" s="1"/>
  <c r="B103" i="3" s="1"/>
  <c r="B104" i="3" s="1"/>
  <c r="B105" i="3" s="1"/>
  <c r="B106" i="3" s="1"/>
  <c r="B107" i="3" s="1"/>
  <c r="B108" i="3" s="1"/>
  <c r="B109" i="3" s="1"/>
  <c r="B110" i="3" s="1"/>
  <c r="B111" i="3" s="1"/>
  <c r="B112" i="3" s="1"/>
  <c r="B113" i="3" s="1"/>
  <c r="B114" i="3" s="1"/>
  <c r="B115" i="3" s="1"/>
  <c r="B116" i="3" s="1"/>
  <c r="B117" i="3" s="1"/>
  <c r="B118" i="3" s="1"/>
  <c r="B119" i="3" s="1"/>
  <c r="B120" i="3" s="1"/>
  <c r="B121" i="3" s="1"/>
  <c r="B122" i="3" s="1"/>
  <c r="B123" i="3" s="1"/>
  <c r="B124" i="3" s="1"/>
  <c r="B125" i="3" s="1"/>
  <c r="B126" i="3" s="1"/>
  <c r="B127" i="3" s="1"/>
  <c r="B128" i="3" s="1"/>
  <c r="B129" i="3" s="1"/>
  <c r="B130" i="3" s="1"/>
  <c r="B131" i="3" s="1"/>
  <c r="B132" i="3" s="1"/>
  <c r="B133" i="3" s="1"/>
  <c r="B134" i="3" s="1"/>
  <c r="B135" i="3" s="1"/>
  <c r="B136" i="3" s="1"/>
  <c r="B137" i="3" s="1"/>
  <c r="B138" i="3" s="1"/>
  <c r="B139" i="3" s="1"/>
  <c r="B140" i="3" s="1"/>
  <c r="B141" i="3" s="1"/>
  <c r="B142" i="3" s="1"/>
  <c r="B143" i="3" s="1"/>
  <c r="B144" i="3" s="1"/>
  <c r="B145" i="3" s="1"/>
  <c r="B146" i="3" s="1"/>
  <c r="B147" i="3" s="1"/>
  <c r="B148" i="3" s="1"/>
  <c r="B149" i="3" s="1"/>
  <c r="B150" i="3" s="1"/>
  <c r="B151" i="3" s="1"/>
  <c r="B152" i="3" s="1"/>
  <c r="B153" i="3" s="1"/>
  <c r="B154" i="3" s="1"/>
  <c r="B155" i="3" s="1"/>
  <c r="B156" i="3" s="1"/>
  <c r="B157" i="3" s="1"/>
  <c r="B158" i="3" s="1"/>
  <c r="B159" i="3" s="1"/>
  <c r="B160" i="3" s="1"/>
  <c r="B161" i="3" s="1"/>
  <c r="B162" i="3" s="1"/>
  <c r="B163" i="3" s="1"/>
  <c r="B164" i="3" s="1"/>
  <c r="B165" i="3" s="1"/>
  <c r="B166" i="3" s="1"/>
  <c r="B167" i="3" s="1"/>
  <c r="B168" i="3" s="1"/>
  <c r="B169" i="3" s="1"/>
  <c r="B170" i="3" s="1"/>
  <c r="B171" i="3" s="1"/>
  <c r="B172" i="3" s="1"/>
  <c r="B173" i="3" s="1"/>
  <c r="B174" i="3" s="1"/>
  <c r="B175" i="3" s="1"/>
  <c r="B176" i="3" s="1"/>
  <c r="B177" i="3" s="1"/>
  <c r="B178" i="3" s="1"/>
  <c r="B179" i="3" s="1"/>
  <c r="B180" i="3" s="1"/>
  <c r="B181" i="3" s="1"/>
  <c r="B182" i="3" s="1"/>
  <c r="B183" i="3" s="1"/>
  <c r="B184" i="3" s="1"/>
  <c r="B185" i="3" s="1"/>
  <c r="B186" i="3" s="1"/>
  <c r="B187" i="3" s="1"/>
  <c r="B188" i="3" s="1"/>
  <c r="B189" i="3" s="1"/>
  <c r="B190" i="3" s="1"/>
  <c r="B191" i="3" s="1"/>
  <c r="B192" i="3" s="1"/>
  <c r="B193" i="3" s="1"/>
  <c r="B194" i="3" s="1"/>
  <c r="B195" i="3" s="1"/>
  <c r="B196" i="3" s="1"/>
  <c r="B197" i="3" s="1"/>
  <c r="B198" i="3" s="1"/>
  <c r="B199" i="3" s="1"/>
  <c r="B200" i="3" s="1"/>
  <c r="B201" i="3" s="1"/>
  <c r="B202" i="3" s="1"/>
  <c r="B203" i="3" s="1"/>
  <c r="B204" i="3" s="1"/>
  <c r="B205" i="3" s="1"/>
  <c r="B206" i="3" s="1"/>
  <c r="B207" i="3" s="1"/>
  <c r="B208" i="3" s="1"/>
  <c r="B209" i="3" s="1"/>
  <c r="B210" i="3" s="1"/>
  <c r="B211" i="3" s="1"/>
  <c r="B212" i="3" s="1"/>
  <c r="B213" i="3" s="1"/>
  <c r="B214" i="3" s="1"/>
  <c r="B215" i="3" s="1"/>
  <c r="B216" i="3" s="1"/>
  <c r="B217" i="3" s="1"/>
  <c r="B218" i="3" s="1"/>
  <c r="B219" i="3" s="1"/>
  <c r="B220" i="3" s="1"/>
  <c r="B221" i="3" s="1"/>
  <c r="B222" i="3" s="1"/>
  <c r="B223" i="3" s="1"/>
  <c r="B224" i="3" s="1"/>
  <c r="B225" i="3" s="1"/>
  <c r="B226" i="3" s="1"/>
  <c r="B227" i="3" s="1"/>
  <c r="B228" i="3" s="1"/>
  <c r="B229" i="3" s="1"/>
  <c r="B230" i="3" s="1"/>
  <c r="B231" i="3" s="1"/>
  <c r="E40" i="7"/>
  <c r="E6" i="7"/>
  <c r="E38" i="7"/>
  <c r="E13" i="7"/>
  <c r="E37" i="7"/>
  <c r="F8" i="3" l="1"/>
  <c r="C6" i="19" s="1"/>
  <c r="D8" i="3"/>
  <c r="C8" i="3"/>
  <c r="E6" i="1"/>
  <c r="D8" i="1" s="1"/>
  <c r="C3" i="3" s="1"/>
  <c r="C10" i="3"/>
  <c r="E8" i="1"/>
  <c r="I25" i="3"/>
  <c r="C9" i="3"/>
  <c r="I27" i="3"/>
  <c r="H28" i="3" l="1"/>
  <c r="I28" i="3" s="1"/>
  <c r="I32" i="3" s="1"/>
  <c r="B18" i="1"/>
  <c r="B17" i="19" s="1"/>
  <c r="B18" i="19"/>
  <c r="I24" i="3"/>
  <c r="I30" i="3" s="1"/>
  <c r="I18" i="3"/>
  <c r="D14" i="3"/>
  <c r="D15" i="3" s="1"/>
  <c r="D16" i="3" s="1"/>
  <c r="D17" i="3" s="1"/>
  <c r="D18" i="3" s="1"/>
  <c r="D19" i="3" s="1"/>
  <c r="D20" i="3" s="1"/>
  <c r="D21" i="3" s="1"/>
  <c r="D22" i="3" s="1"/>
  <c r="D23" i="3" s="1"/>
  <c r="D24" i="3" s="1"/>
  <c r="D25" i="3" s="1"/>
  <c r="D26" i="3" s="1"/>
  <c r="D27" i="3" s="1"/>
  <c r="D28" i="3" s="1"/>
  <c r="D29" i="3" s="1"/>
  <c r="D30" i="3" s="1"/>
  <c r="D31" i="3" s="1"/>
  <c r="D32" i="3" s="1"/>
  <c r="I13" i="1"/>
  <c r="I14" i="1" s="1"/>
  <c r="I5" i="1"/>
  <c r="I4" i="1" s="1"/>
  <c r="I12" i="1"/>
  <c r="I31" i="3" l="1"/>
  <c r="J20" i="3"/>
  <c r="D18" i="1" s="1"/>
  <c r="C17" i="19" s="1"/>
  <c r="I33" i="3" l="1"/>
  <c r="D19" i="1"/>
  <c r="D20" i="1" l="1"/>
  <c r="C18" i="1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u418778</author>
  </authors>
  <commentList>
    <comment ref="H28" authorId="0" shapeId="0" xr:uid="{9B0CE72E-68DB-4014-8C58-3BC6EDB691BA}">
      <text>
        <r>
          <rPr>
            <b/>
            <sz val="9"/>
            <color indexed="81"/>
            <rFont val="Tahoma"/>
            <family val="2"/>
          </rPr>
          <t>u418778:</t>
        </r>
        <r>
          <rPr>
            <sz val="9"/>
            <color indexed="81"/>
            <rFont val="Tahoma"/>
            <family val="2"/>
          </rPr>
          <t xml:space="preserve">
For regular conts and non integer NPA, this is the NPA rounded up for interpolation</t>
        </r>
      </text>
    </comment>
  </commentList>
</comments>
</file>

<file path=xl/sharedStrings.xml><?xml version="1.0" encoding="utf-8"?>
<sst xmlns="http://schemas.openxmlformats.org/spreadsheetml/2006/main" count="403" uniqueCount="206">
  <si>
    <t>NHS Additional Pension Benefit Cost Calculator</t>
  </si>
  <si>
    <t>Member Details</t>
  </si>
  <si>
    <t xml:space="preserve">Date of Birth:  </t>
  </si>
  <si>
    <t>Prospective Normal Pension Age</t>
  </si>
  <si>
    <t>Months</t>
  </si>
  <si>
    <t xml:space="preserve">Date of AP election:  </t>
  </si>
  <si>
    <t xml:space="preserve">Age at start of agreement:  </t>
  </si>
  <si>
    <t>Future service</t>
  </si>
  <si>
    <t>Additional pension contract details</t>
  </si>
  <si>
    <t xml:space="preserve">Maximum additional pension:   </t>
  </si>
  <si>
    <t xml:space="preserve">How much additional pension do you wish to purchase?  </t>
  </si>
  <si>
    <t xml:space="preserve">Please select your payment method:  </t>
  </si>
  <si>
    <t xml:space="preserve">Would you like to buy dependants benefits?  </t>
  </si>
  <si>
    <t>Results</t>
  </si>
  <si>
    <t>This calculator provides an illustration only. It is not a statement of entitlement and does not override the NHS Pension Scheme (Scotland) Regulations, actuarial guidance, or any decision made by the scheme administrator.</t>
  </si>
  <si>
    <t>GAD Sheet Name</t>
  </si>
  <si>
    <t>Section</t>
  </si>
  <si>
    <t>Description</t>
  </si>
  <si>
    <t>Table Reference in Guidance</t>
  </si>
  <si>
    <t>Associated Calculator Sheet</t>
  </si>
  <si>
    <t>x-703</t>
  </si>
  <si>
    <t>2015 scheme - Lump sum election</t>
  </si>
  <si>
    <t>Table S</t>
  </si>
  <si>
    <t>Lump Sum</t>
  </si>
  <si>
    <t>x-704</t>
  </si>
  <si>
    <t>Personal benefits, NRA 60</t>
  </si>
  <si>
    <t>Table PC60</t>
  </si>
  <si>
    <t>NRA60 (1995)</t>
  </si>
  <si>
    <t>x-705</t>
  </si>
  <si>
    <t>Personal and dependant's benefits NRA 60</t>
  </si>
  <si>
    <t>Table DC60</t>
  </si>
  <si>
    <t>x-706</t>
  </si>
  <si>
    <t>Personal benefits, NRA 65</t>
  </si>
  <si>
    <t>Table PC65</t>
  </si>
  <si>
    <t>NRA65 (2008)</t>
  </si>
  <si>
    <t>x-707</t>
  </si>
  <si>
    <t xml:space="preserve">Personal and dependant's benefits NRA 65 </t>
  </si>
  <si>
    <t>Table DC65</t>
  </si>
  <si>
    <t>x-708</t>
  </si>
  <si>
    <t xml:space="preserve">Personal benefits, NRA 60, pre 2011 </t>
  </si>
  <si>
    <t>Table PR60</t>
  </si>
  <si>
    <t>x</t>
  </si>
  <si>
    <t>x-709</t>
  </si>
  <si>
    <t xml:space="preserve">Personal and dependant's benefits NRA 60, pre 2011 </t>
  </si>
  <si>
    <t>Table DR60</t>
  </si>
  <si>
    <t>x-710</t>
  </si>
  <si>
    <t xml:space="preserve">Personal benefits, NRA 65, pre 2011 </t>
  </si>
  <si>
    <t>Table PR65</t>
  </si>
  <si>
    <t>x-711</t>
  </si>
  <si>
    <t xml:space="preserve">Personal and dependant's benefits NRA 65, pre 2011 </t>
  </si>
  <si>
    <t>Table DR65</t>
  </si>
  <si>
    <t>x-712</t>
  </si>
  <si>
    <t>Personal benefits NRA 65</t>
  </si>
  <si>
    <t>Table P65</t>
  </si>
  <si>
    <t>NRA65 (CARE)</t>
  </si>
  <si>
    <t>x-713</t>
  </si>
  <si>
    <t>Personal benefits NRA 66</t>
  </si>
  <si>
    <t>Table P66</t>
  </si>
  <si>
    <t>NRA66 (CARE)</t>
  </si>
  <si>
    <t>x-714</t>
  </si>
  <si>
    <t>Personal benefits NRA 67</t>
  </si>
  <si>
    <t>Table P67</t>
  </si>
  <si>
    <t>NRA67 (CARE)</t>
  </si>
  <si>
    <t>x-715</t>
  </si>
  <si>
    <t>Personal benefits NRA 68</t>
  </si>
  <si>
    <t>Table P68</t>
  </si>
  <si>
    <t>NRA68 (CARE)</t>
  </si>
  <si>
    <t>x-716</t>
  </si>
  <si>
    <t>Personal  and dependant's  benefits NRA 65</t>
  </si>
  <si>
    <t>Table D65</t>
  </si>
  <si>
    <t>x-717</t>
  </si>
  <si>
    <t>Personal  and dependant's  benefits NRA 66</t>
  </si>
  <si>
    <t>Table D66</t>
  </si>
  <si>
    <t>x-718</t>
  </si>
  <si>
    <t>Personal  and dependant's  benefits NRA 67</t>
  </si>
  <si>
    <t>Table D67</t>
  </si>
  <si>
    <t>x-719</t>
  </si>
  <si>
    <t>Personal  and dependant's  benefits NRA 68</t>
  </si>
  <si>
    <t>Table D68</t>
  </si>
  <si>
    <t>DOB between</t>
  </si>
  <si>
    <t>Payment</t>
  </si>
  <si>
    <t>Form of AP</t>
  </si>
  <si>
    <t>NPA Options</t>
  </si>
  <si>
    <t>Lump sum table</t>
  </si>
  <si>
    <t>AP Table results</t>
  </si>
  <si>
    <t>Member only</t>
  </si>
  <si>
    <t>S60</t>
  </si>
  <si>
    <t>Member and dependant</t>
  </si>
  <si>
    <t>S65</t>
  </si>
  <si>
    <t>State Pension Age</t>
  </si>
  <si>
    <t>S</t>
  </si>
  <si>
    <t>Lump sum</t>
  </si>
  <si>
    <t>PC60</t>
  </si>
  <si>
    <t>Regular conts for personal AP of £250 with PNPA 60 1995 scheme</t>
  </si>
  <si>
    <t>Yes/No</t>
  </si>
  <si>
    <t>Years (N)</t>
  </si>
  <si>
    <t>Buy out months</t>
  </si>
  <si>
    <t>NPA</t>
  </si>
  <si>
    <t>PC65</t>
  </si>
  <si>
    <t>Regular conts for personal AP of £250 with PNPA 65 2008 scheme</t>
  </si>
  <si>
    <t>Yes</t>
  </si>
  <si>
    <t>Years</t>
  </si>
  <si>
    <t>P65</t>
  </si>
  <si>
    <t>Regular conts for personal AP of £250 with PNPA 65</t>
  </si>
  <si>
    <t>No</t>
  </si>
  <si>
    <t>P66</t>
  </si>
  <si>
    <t>Regular conts for personal AP of £250 with PNPA 66</t>
  </si>
  <si>
    <t>P67</t>
  </si>
  <si>
    <t>Regular conts for personal AP of £250 with PNPA 67</t>
  </si>
  <si>
    <t>P68</t>
  </si>
  <si>
    <t>Regular conts for personal AP of £250 with PNPA 68</t>
  </si>
  <si>
    <t>DC60</t>
  </si>
  <si>
    <t>Regular conts for personal AP of £250 with PNPA 60 (1995) + dependants AP</t>
  </si>
  <si>
    <t>AP Limits</t>
  </si>
  <si>
    <t>Existing AP</t>
  </si>
  <si>
    <t>AP Available</t>
  </si>
  <si>
    <t>Contribution period</t>
  </si>
  <si>
    <t>Regular conts for personal AP of £250 with PNPA 65 (2008) + dependants AP</t>
  </si>
  <si>
    <t>• NHS Superannuation Scheme (Scotland)</t>
  </si>
  <si>
    <t>D65</t>
  </si>
  <si>
    <t>Regular conts for personal AP of £250 with PNPA 65 + dependants AP</t>
  </si>
  <si>
    <t>• NHS Pension Scheme (Scotland) 2015</t>
  </si>
  <si>
    <t>D66</t>
  </si>
  <si>
    <t>Regular conts for personal AP of £250 with PNPA 66 + dependants AP</t>
  </si>
  <si>
    <t>Applicable Limit</t>
  </si>
  <si>
    <t>D67</t>
  </si>
  <si>
    <t>Regular conts for personal AP of £250 with PNPA 67 + dependants AP</t>
  </si>
  <si>
    <t>D68</t>
  </si>
  <si>
    <t>Regular conts for personal AP of £250 with PNPA 68 + dependants AP</t>
  </si>
  <si>
    <t>Cost of £250 of AP</t>
  </si>
  <si>
    <t>Interpolation for monthly contributions for non-integer NPA</t>
  </si>
  <si>
    <t>NPA:</t>
  </si>
  <si>
    <t>Part years</t>
  </si>
  <si>
    <t>=</t>
  </si>
  <si>
    <t>SPA</t>
  </si>
  <si>
    <t>Date of birth</t>
  </si>
  <si>
    <t>Days</t>
  </si>
  <si>
    <t>Increase from 65 to 66</t>
  </si>
  <si>
    <t>Increase from 66 to 67</t>
  </si>
  <si>
    <t>Increase from 67 to 68</t>
  </si>
  <si>
    <t>Lump Sum Elections</t>
  </si>
  <si>
    <t>NPA 60</t>
  </si>
  <si>
    <t>NPA 65</t>
  </si>
  <si>
    <t>2015 Scheme</t>
  </si>
  <si>
    <t>X-703</t>
  </si>
  <si>
    <t xml:space="preserve">Table S60 -NPA 60 </t>
  </si>
  <si>
    <t>Table SPA 65 - NPA 65</t>
  </si>
  <si>
    <t>Benefits</t>
  </si>
  <si>
    <t>Personal</t>
  </si>
  <si>
    <t>Personal and dependant's</t>
  </si>
  <si>
    <t>Age when notice of election given</t>
  </si>
  <si>
    <t>Single premium to purchase £250 of APB at date of election, £</t>
  </si>
  <si>
    <t>Regular Contribution Elections made after 31 March 2011</t>
  </si>
  <si>
    <t>x705</t>
  </si>
  <si>
    <r>
      <t>Table</t>
    </r>
    <r>
      <rPr>
        <b/>
        <sz val="16"/>
        <color indexed="8"/>
        <rFont val="Calibri"/>
        <family val="2"/>
      </rPr>
      <t xml:space="preserve"> </t>
    </r>
    <r>
      <rPr>
        <b/>
        <u/>
        <sz val="16"/>
        <color indexed="8"/>
        <rFont val="Calibri"/>
        <family val="2"/>
      </rPr>
      <t>D60</t>
    </r>
    <r>
      <rPr>
        <b/>
        <sz val="11"/>
        <color indexed="8"/>
        <rFont val="Calibri"/>
        <family val="2"/>
      </rPr>
      <t>: Personal and Dependant's Benefits, NRA 60</t>
    </r>
  </si>
  <si>
    <r>
      <t xml:space="preserve">Table </t>
    </r>
    <r>
      <rPr>
        <b/>
        <u/>
        <sz val="16"/>
        <color indexed="8"/>
        <rFont val="Calibri"/>
        <family val="2"/>
      </rPr>
      <t>P60</t>
    </r>
    <r>
      <rPr>
        <b/>
        <sz val="11"/>
        <color indexed="8"/>
        <rFont val="Calibri"/>
        <family val="2"/>
      </rPr>
      <t xml:space="preserve">: Personal Benefits, NRA 60 </t>
    </r>
  </si>
  <si>
    <t>x704</t>
  </si>
  <si>
    <r>
      <t xml:space="preserve">Age when notice of election given
</t>
    </r>
    <r>
      <rPr>
        <b/>
        <sz val="9"/>
        <rFont val="Wingdings"/>
        <charset val="2"/>
      </rPr>
      <t>â</t>
    </r>
  </si>
  <si>
    <t>Monthly contribution to purchase £250 of APB at date of election, £</t>
  </si>
  <si>
    <r>
      <t xml:space="preserve">Payment period (in years) </t>
    </r>
    <r>
      <rPr>
        <b/>
        <sz val="9"/>
        <rFont val="Wingdings"/>
        <charset val="2"/>
      </rPr>
      <t>à</t>
    </r>
  </si>
  <si>
    <t xml:space="preserve"> </t>
  </si>
  <si>
    <t>Regular Contribution Elections</t>
  </si>
  <si>
    <r>
      <t xml:space="preserve">Table </t>
    </r>
    <r>
      <rPr>
        <b/>
        <u/>
        <sz val="16"/>
        <color indexed="8"/>
        <rFont val="Calibri"/>
        <family val="2"/>
      </rPr>
      <t>DC65</t>
    </r>
    <r>
      <rPr>
        <b/>
        <sz val="11"/>
        <color indexed="8"/>
        <rFont val="Calibri"/>
        <family val="2"/>
      </rPr>
      <t>: Personal and Dependant’s Benefits, NRA 65</t>
    </r>
  </si>
  <si>
    <r>
      <t xml:space="preserve">Table </t>
    </r>
    <r>
      <rPr>
        <b/>
        <u/>
        <sz val="16"/>
        <color indexed="8"/>
        <rFont val="Calibri"/>
        <family val="2"/>
      </rPr>
      <t>PC65</t>
    </r>
    <r>
      <rPr>
        <b/>
        <sz val="11"/>
        <color indexed="8"/>
        <rFont val="Calibri"/>
        <family val="2"/>
      </rPr>
      <t xml:space="preserve">: Personal Benefits, NRA 65 </t>
    </r>
  </si>
  <si>
    <r>
      <t xml:space="preserve">Table </t>
    </r>
    <r>
      <rPr>
        <b/>
        <u/>
        <sz val="16"/>
        <color indexed="8"/>
        <rFont val="Calibri"/>
        <family val="2"/>
      </rPr>
      <t>D65</t>
    </r>
    <r>
      <rPr>
        <b/>
        <sz val="11"/>
        <color indexed="8"/>
        <rFont val="Calibri"/>
        <family val="2"/>
      </rPr>
      <t>: Personal and Dependant’s Benefits, NRA 65</t>
    </r>
  </si>
  <si>
    <r>
      <t xml:space="preserve">Table </t>
    </r>
    <r>
      <rPr>
        <b/>
        <u/>
        <sz val="16"/>
        <color indexed="8"/>
        <rFont val="Calibri"/>
        <family val="2"/>
      </rPr>
      <t>P65</t>
    </r>
    <r>
      <rPr>
        <b/>
        <sz val="11"/>
        <color indexed="8"/>
        <rFont val="Calibri"/>
        <family val="2"/>
      </rPr>
      <t xml:space="preserve">: Personal Benefits, NRA 65 </t>
    </r>
  </si>
  <si>
    <r>
      <t xml:space="preserve">Table </t>
    </r>
    <r>
      <rPr>
        <b/>
        <u/>
        <sz val="16"/>
        <color indexed="8"/>
        <rFont val="Calibri"/>
        <family val="2"/>
      </rPr>
      <t>D66</t>
    </r>
    <r>
      <rPr>
        <b/>
        <sz val="11"/>
        <color indexed="8"/>
        <rFont val="Calibri"/>
        <family val="2"/>
      </rPr>
      <t>: Personal and Dependant’s Benefits, NRA 66</t>
    </r>
  </si>
  <si>
    <r>
      <t xml:space="preserve">Table </t>
    </r>
    <r>
      <rPr>
        <b/>
        <u/>
        <sz val="16"/>
        <color indexed="8"/>
        <rFont val="Calibri"/>
        <family val="2"/>
      </rPr>
      <t>P66</t>
    </r>
    <r>
      <rPr>
        <b/>
        <sz val="11"/>
        <color indexed="8"/>
        <rFont val="Calibri"/>
        <family val="2"/>
      </rPr>
      <t xml:space="preserve">: Personal Benefits, NRA 66 </t>
    </r>
  </si>
  <si>
    <r>
      <t xml:space="preserve">Table </t>
    </r>
    <r>
      <rPr>
        <b/>
        <u/>
        <sz val="16"/>
        <color indexed="8"/>
        <rFont val="Calibri"/>
        <family val="2"/>
      </rPr>
      <t>D67</t>
    </r>
    <r>
      <rPr>
        <b/>
        <sz val="11"/>
        <color indexed="8"/>
        <rFont val="Calibri"/>
        <family val="2"/>
      </rPr>
      <t>: Personal and Dependant’s Benefits, NRA 67</t>
    </r>
  </si>
  <si>
    <r>
      <t xml:space="preserve">Table </t>
    </r>
    <r>
      <rPr>
        <b/>
        <u/>
        <sz val="16"/>
        <color indexed="8"/>
        <rFont val="Calibri"/>
        <family val="2"/>
      </rPr>
      <t>P67</t>
    </r>
    <r>
      <rPr>
        <b/>
        <sz val="11"/>
        <color indexed="8"/>
        <rFont val="Calibri"/>
        <family val="2"/>
      </rPr>
      <t xml:space="preserve">: Personal Benefits, NRA 67 </t>
    </r>
  </si>
  <si>
    <r>
      <t xml:space="preserve">Table </t>
    </r>
    <r>
      <rPr>
        <b/>
        <u/>
        <sz val="16"/>
        <color indexed="8"/>
        <rFont val="Calibri"/>
        <family val="2"/>
      </rPr>
      <t>D68</t>
    </r>
    <r>
      <rPr>
        <b/>
        <sz val="11"/>
        <color indexed="8"/>
        <rFont val="Calibri"/>
        <family val="2"/>
      </rPr>
      <t>: Personal and Dependant’s Benefits, NRA 68</t>
    </r>
  </si>
  <si>
    <r>
      <t xml:space="preserve">Table </t>
    </r>
    <r>
      <rPr>
        <b/>
        <u/>
        <sz val="16"/>
        <color indexed="8"/>
        <rFont val="Calibri"/>
        <family val="2"/>
      </rPr>
      <t>P68</t>
    </r>
    <r>
      <rPr>
        <b/>
        <sz val="11"/>
        <color indexed="8"/>
        <rFont val="Calibri"/>
        <family val="2"/>
      </rPr>
      <t xml:space="preserve">: Personal Benefits, NRA 68 </t>
    </r>
  </si>
  <si>
    <t>TABLE ERF1_NHSSS_2015</t>
  </si>
  <si>
    <t>NHS SUPERANNUATION SCHEME SCOTLAND (2015): ACTUARIAL FACTORS</t>
  </si>
  <si>
    <t>BENEFITS PAYABLE TO THE MEMBER ON VOLUNTARY EARLY RETIREMENT (WITH ACTUARIAL REDUCTION)</t>
  </si>
  <si>
    <t>FACTORS APPLICABLE TO MAIN SCHEME PENSION AND ADDITIONAL PENSION</t>
  </si>
  <si>
    <t>PENSION FACTORS</t>
  </si>
  <si>
    <r>
      <t>Time to NPA: Months</t>
    </r>
    <r>
      <rPr>
        <b/>
        <sz val="9"/>
        <color indexed="8"/>
        <rFont val="Wingdings"/>
        <charset val="2"/>
      </rPr>
      <t xml:space="preserve">à
</t>
    </r>
    <r>
      <rPr>
        <b/>
        <sz val="9"/>
        <color indexed="8"/>
        <rFont val="Arial"/>
        <family val="2"/>
      </rPr>
      <t xml:space="preserve">Years </t>
    </r>
    <r>
      <rPr>
        <b/>
        <sz val="9"/>
        <color indexed="8"/>
        <rFont val="Wingdings"/>
        <charset val="2"/>
      </rPr>
      <t>â</t>
    </r>
  </si>
  <si>
    <t xml:space="preserve">  Notes: </t>
  </si>
  <si>
    <t>(1) NPA should be substituted for RRA where appropriate</t>
  </si>
  <si>
    <t xml:space="preserve">             </t>
  </si>
  <si>
    <t>(2) AP should be pro-rated to take account of unpaid contributions at date of retirement. Any paid up AP entitlement should include PI to DOR</t>
  </si>
  <si>
    <t xml:space="preserve">(3) The appropriate factor is based on the period between DOR and NPA (or RRA) in years and months, rounded up to the next higher month.  </t>
  </si>
  <si>
    <t>Date of Birth:</t>
  </si>
  <si>
    <t>Normal pension age:</t>
  </si>
  <si>
    <t>Date of election:</t>
  </si>
  <si>
    <t>Age at start of agreement:</t>
  </si>
  <si>
    <t>Amount elected to purchase:</t>
  </si>
  <si>
    <t>Payment method:</t>
  </si>
  <si>
    <t>Covered for family benefits?</t>
  </si>
  <si>
    <t>Additional Pension guidance notes</t>
  </si>
  <si>
    <r>
      <rPr>
        <u/>
        <sz val="11"/>
        <color indexed="8"/>
        <rFont val="Arial"/>
        <family val="2"/>
      </rPr>
      <t>Disclaimer:</t>
    </r>
    <r>
      <rPr>
        <sz val="11"/>
        <color indexed="8"/>
        <rFont val="Arial"/>
        <family val="2"/>
      </rPr>
      <t xml:space="preserve">
This calculation is intended for illustration purposes only. This is not a statement of you legal entitlement. While every care has been taken in the preperation of this calculator the Scottish Public Pension Agency will accept no responsibility for the accuracy of the ionformation it provides.
Please refer to pages on the SPPA website for points of contact and other benefits available.</t>
    </r>
  </si>
  <si>
    <t>SPPA
7 Tweedside Park
Galashiels
TD1 3TE                         Telephone: 01896 893000</t>
  </si>
  <si>
    <t>G</t>
  </si>
  <si>
    <r>
      <rPr>
        <b/>
        <u/>
        <sz val="11"/>
        <color indexed="8"/>
        <rFont val="Arial"/>
        <family val="2"/>
      </rPr>
      <t>Using the calculator</t>
    </r>
    <r>
      <rPr>
        <sz val="11"/>
        <color indexed="8"/>
        <rFont val="Arial"/>
        <family val="2"/>
      </rPr>
      <t xml:space="preserve">
This calculator is for active members of the NHS Pension Scheme (Scotland) 2015 who are considering purchasing Additional Pension. It’s not possible to purchase additional pension to increase benefits from the 1995 or 2008 Schemes as these were closed on 31 March 2022.
Additional pension can be bought at any time during the year. This can be just for you or it can also provide benefits for your dependants after you die. It does not include an automatic lump sum on retirement, but you can exchange some of your additional pension to provide a lump sum on retirement.
Additional Pension can be purchased by either:
a) a one-off lump sum payment, or
b) regular monthly contributions over an agreed period.
Regular contribution elections must be for a period of whole years and cannot extend beyond your Normal Pension Age. The cost of purchasing Additional Pension depends on your age, the amount of Additional Pension you wish to buy, the type of cover selected, and your prospective Normal Pension Age.
For new Additional Pension elections, your cost is calculated by reference to your prospective Normal Pension Age in the NHS Pension Scheme (Scotland) 2015. This is normally your State Pension Age, subject to a minimum age of 65.
Additional Pension is payable unreduced from your actual Normal Pension Age. If you take your benefits before or after your Normal Pension Age, early or late retirement adjustments may apply.
Additional Pension may be purchased in multiples of £250 per year and is subject to the scheme maximum for the relevant scheme year. Any existing Additional Pension and any Early Retirement Reduction Buy Out (ERRBO) agreement may reduce the amount of Additional Pension you can buy.
Additional pension purchased in the 2015 Scheme is revalued by a Treasury Order each year before the additional pension comes into payment and increased in accordance with Pensions Increase legislation whilst it is being paid.
This calculator provides an illustration only. It is not a statement of entitlement and does not override the NHS Pension Scheme (Scotland) Regulations, actuarial guidance, or any decision made by the scheme administrator.
</t>
    </r>
  </si>
  <si>
    <t>Years to NPA</t>
  </si>
  <si>
    <t>Contribution Term:</t>
  </si>
  <si>
    <t>YOUR DETAILS</t>
  </si>
  <si>
    <t>ADDITIONAL PENSION ELECTION</t>
  </si>
  <si>
    <t>ESTIMATED COST</t>
  </si>
  <si>
    <t>Return to Calculator</t>
  </si>
  <si>
    <t>ABOUT ADDITIONAL PENSION
Additional Pension allows active members of the NHS Pension Scheme (Scotland) 2015 to increase the retirement benefits they build up in the 2015 Career Average Revalued Earnings (CARE) Scheme. It’s not possible to purchase additional pension to increase benefits from the 1995 or 2008 Schemes as these were closed on 31 March 2022.
Additional Pension can be purchased:
• For the member only, or with dependant benefits included
• As a one-off lump sum payment, or through regular monthly contributions over an agreed period
The cost depends on your age at election, Normal Pension Age, the amount of Additional Pension selected, the payment method chosen and whether dependant benefits are included. 
Regular contribution elections must be for a period of whole years and cannot extend beyond the member's Normal Pension Age. 
Additional Pension is payable in full from the member's Normal Pension Age. If benefits are taken before or after Normal Pension Age, actuarial reductions or increases may apply.
Any existing Additional Pension and any Early Retirement Reduction Buy Out (ERRBO) agreement may reduce the amount of Additional Pension available for purchase.
Additional Pension purchased is revalued annually in accordance with the applicable Treasury Order before it comes into payment and is subsequently increased in line with Pensions Increase legislation while in payment.</t>
  </si>
  <si>
    <t>ILLUSTRATION OF ADDITIONAL PENSION COST</t>
  </si>
  <si>
    <t>Calculation Produced:</t>
  </si>
  <si>
    <t xml:space="preserve">IMPORTANT INFORMATION
This calculator is intended for active members of the NHS Pension Scheme (Scotland) 2015 who are considering the purchase of Additional Pension. The figures provided are estimates for illustrative purposes only and should not be regarded as a statement of entitlement. The actual cost of purchasing Additional Pension will be determined in accordance with the scheme regulations, actuarial guidance, and administrative procedures applicable at the time an election is processed.
This illustration does not override the relevant scheme regulations, actuarial guidance, or administrative decisions. While every effort has been made to ensure the accuracy of the information provided, no responsibility can be accepted for any loss, cost, inconvenience, or other consequence arising from reliance on these estimates.
</t>
  </si>
  <si>
    <t>Updated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</si>
</sst>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quot;£&quot;* #,##0.00_-;_-&quot;£&quot;* &quot;-&quot;??_-;_-@_-"/>
    <numFmt numFmtId="43" formatCode="_-* #,##0.00_-;\-* #,##0.00_-;_-* &quot;-&quot;??_-;_-@_-"/>
    <numFmt numFmtId="164" formatCode="dd/mm/yyyy;@"/>
    <numFmt numFmtId="165" formatCode="[$-809]dd\ mmmm\ yyyy;@"/>
    <numFmt numFmtId="166" formatCode="[$-809]d\ mmmm\ yyyy;@"/>
    <numFmt numFmtId="167" formatCode="&quot;£&quot;#,##0.00"/>
    <numFmt numFmtId="168" formatCode="[$-F800]dddd\,\ mmmm\ dd\,\ yyyy"/>
    <numFmt numFmtId="169" formatCode="0.000"/>
    <numFmt numFmtId="170" formatCode="#\ ??/12"/>
    <numFmt numFmtId="171" formatCode="_-* #,##0_-;\-* #,##0_-;_-* &quot;-&quot;??_-;_-@_-"/>
    <numFmt numFmtId="172" formatCode="&quot;£&quot;#,##0"/>
    <numFmt numFmtId="173" formatCode="#,###"/>
  </numFmts>
  <fonts count="63" x14ac:knownFonts="1">
    <font>
      <sz val="10"/>
      <color theme="1"/>
      <name val="Arial"/>
      <family val="2"/>
    </font>
    <font>
      <sz val="10"/>
      <name val="Arial"/>
      <family val="2"/>
    </font>
    <font>
      <b/>
      <sz val="10"/>
      <name val="Arial"/>
      <family val="2"/>
    </font>
    <font>
      <b/>
      <sz val="9"/>
      <name val="Arial"/>
      <family val="2"/>
    </font>
    <font>
      <sz val="9"/>
      <name val="Arial"/>
      <family val="2"/>
    </font>
    <font>
      <b/>
      <sz val="11"/>
      <color indexed="8"/>
      <name val="Calibri"/>
      <family val="2"/>
    </font>
    <font>
      <b/>
      <sz val="9"/>
      <name val="Wingdings"/>
      <charset val="2"/>
    </font>
    <font>
      <b/>
      <sz val="9"/>
      <color indexed="8"/>
      <name val="Wingdings"/>
      <charset val="2"/>
    </font>
    <font>
      <b/>
      <sz val="9"/>
      <color indexed="8"/>
      <name val="Arial"/>
      <family val="2"/>
    </font>
    <font>
      <b/>
      <u/>
      <sz val="16"/>
      <color indexed="8"/>
      <name val="Calibri"/>
      <family val="2"/>
    </font>
    <font>
      <b/>
      <sz val="16"/>
      <color indexed="8"/>
      <name val="Calibri"/>
      <family val="2"/>
    </font>
    <font>
      <sz val="9"/>
      <color indexed="81"/>
      <name val="Tahoma"/>
      <family val="2"/>
    </font>
    <font>
      <b/>
      <sz val="9"/>
      <color indexed="81"/>
      <name val="Tahoma"/>
      <family val="2"/>
    </font>
    <font>
      <sz val="10"/>
      <name val="Arial"/>
      <family val="2"/>
    </font>
    <font>
      <sz val="8"/>
      <name val="Arial"/>
      <family val="2"/>
    </font>
    <font>
      <sz val="11"/>
      <color indexed="8"/>
      <name val="Arial"/>
      <family val="2"/>
    </font>
    <font>
      <sz val="10"/>
      <color theme="0"/>
      <name val="Arial"/>
      <family val="2"/>
    </font>
    <font>
      <b/>
      <sz val="10"/>
      <color theme="0"/>
      <name val="Arial"/>
      <family val="2"/>
    </font>
    <font>
      <sz val="11"/>
      <color theme="1"/>
      <name val="Calibri"/>
      <family val="2"/>
      <scheme val="minor"/>
    </font>
    <font>
      <b/>
      <sz val="10"/>
      <color theme="1"/>
      <name val="Arial"/>
      <family val="2"/>
    </font>
    <font>
      <sz val="11"/>
      <color theme="1"/>
      <name val="Arial"/>
      <family val="2"/>
    </font>
    <font>
      <sz val="10"/>
      <color rgb="FF333333"/>
      <name val="Times New Roman"/>
      <family val="1"/>
    </font>
    <font>
      <sz val="11"/>
      <color theme="1"/>
      <name val="Calibri"/>
      <family val="2"/>
    </font>
    <font>
      <b/>
      <sz val="11"/>
      <color rgb="FF000000"/>
      <name val="Calibri"/>
      <family val="2"/>
    </font>
    <font>
      <b/>
      <sz val="11"/>
      <color theme="1"/>
      <name val="Arial"/>
      <family val="2"/>
    </font>
    <font>
      <b/>
      <sz val="12"/>
      <color theme="0"/>
      <name val="Arial"/>
      <family val="2"/>
    </font>
    <font>
      <sz val="10"/>
      <color rgb="FF000000"/>
      <name val="Calibri"/>
      <family val="2"/>
    </font>
    <font>
      <b/>
      <sz val="10"/>
      <color rgb="FF000000"/>
      <name val="Calibri"/>
      <family val="2"/>
    </font>
    <font>
      <b/>
      <sz val="9"/>
      <color rgb="FF000000"/>
      <name val="Calibri"/>
      <family val="2"/>
    </font>
    <font>
      <b/>
      <sz val="16"/>
      <color theme="1"/>
      <name val="Arial"/>
      <family val="2"/>
    </font>
    <font>
      <b/>
      <sz val="11"/>
      <color theme="1"/>
      <name val="Calibri"/>
      <family val="2"/>
      <scheme val="minor"/>
    </font>
    <font>
      <b/>
      <u/>
      <sz val="12"/>
      <color theme="1"/>
      <name val="Arial"/>
      <family val="2"/>
    </font>
    <font>
      <b/>
      <u/>
      <sz val="14"/>
      <color theme="1"/>
      <name val="Arial"/>
      <family val="2"/>
    </font>
    <font>
      <sz val="10"/>
      <color rgb="FF000000"/>
      <name val="Arial"/>
      <family val="2"/>
    </font>
    <font>
      <sz val="11"/>
      <color rgb="FF000000"/>
      <name val="Calibri"/>
      <family val="2"/>
    </font>
    <font>
      <sz val="10"/>
      <color theme="1"/>
      <name val="Calibri"/>
      <family val="2"/>
    </font>
    <font>
      <b/>
      <sz val="9"/>
      <color theme="1"/>
      <name val="Calibri"/>
      <family val="2"/>
    </font>
    <font>
      <sz val="12"/>
      <color theme="1"/>
      <name val="Arial"/>
      <family val="2"/>
    </font>
    <font>
      <b/>
      <u/>
      <sz val="11"/>
      <color indexed="8"/>
      <name val="Arial"/>
      <family val="2"/>
    </font>
    <font>
      <u/>
      <sz val="11"/>
      <color indexed="8"/>
      <name val="Arial"/>
      <family val="2"/>
    </font>
    <font>
      <sz val="10"/>
      <color theme="1"/>
      <name val="Montserrat"/>
    </font>
    <font>
      <b/>
      <sz val="18"/>
      <color rgb="FF002060"/>
      <name val="Montserrat"/>
    </font>
    <font>
      <b/>
      <sz val="10"/>
      <color theme="1"/>
      <name val="Montserrat"/>
    </font>
    <font>
      <sz val="10"/>
      <name val="Montserrat"/>
    </font>
    <font>
      <sz val="9"/>
      <name val="Montserrat"/>
    </font>
    <font>
      <sz val="10"/>
      <color rgb="FFFF0000"/>
      <name val="Montserrat"/>
    </font>
    <font>
      <sz val="11"/>
      <name val="Montserrat"/>
    </font>
    <font>
      <b/>
      <u/>
      <sz val="14"/>
      <name val="Montserrat"/>
    </font>
    <font>
      <u/>
      <sz val="11"/>
      <name val="Montserrat"/>
    </font>
    <font>
      <sz val="11"/>
      <color theme="1"/>
      <name val="Montserrat"/>
    </font>
    <font>
      <b/>
      <sz val="14"/>
      <name val="Montserrat"/>
    </font>
    <font>
      <b/>
      <sz val="16"/>
      <name val="Montserrat"/>
    </font>
    <font>
      <b/>
      <sz val="16"/>
      <color theme="0"/>
      <name val="Montserrat"/>
    </font>
    <font>
      <sz val="11"/>
      <color rgb="FF000000"/>
      <name val="Montserrat"/>
    </font>
    <font>
      <b/>
      <sz val="11"/>
      <color rgb="FF000000"/>
      <name val="Montserrat"/>
    </font>
    <font>
      <sz val="14"/>
      <color rgb="FF000000"/>
      <name val="Montserrat"/>
    </font>
    <font>
      <sz val="9"/>
      <color rgb="FF000000"/>
      <name val="Montserrat"/>
    </font>
    <font>
      <sz val="9"/>
      <color theme="1"/>
      <name val="Arial"/>
      <family val="2"/>
    </font>
    <font>
      <sz val="9"/>
      <color theme="1"/>
      <name val="Montserrat"/>
    </font>
    <font>
      <sz val="10"/>
      <color rgb="FF000000"/>
      <name val="Montserrat"/>
    </font>
    <font>
      <sz val="14"/>
      <color theme="1"/>
      <name val="Montserrat"/>
    </font>
    <font>
      <b/>
      <sz val="11"/>
      <color theme="0"/>
      <name val="Montserrat"/>
    </font>
    <font>
      <u/>
      <sz val="10"/>
      <color theme="10"/>
      <name val="Arial"/>
      <family val="2"/>
    </font>
  </fonts>
  <fills count="12">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1"/>
        <bgColor indexed="64"/>
      </patternFill>
    </fill>
    <fill>
      <patternFill patternType="solid">
        <fgColor rgb="FFFFFFCC"/>
        <bgColor indexed="64"/>
      </patternFill>
    </fill>
    <fill>
      <patternFill patternType="solid">
        <fgColor theme="7" tint="0.59999389629810485"/>
        <bgColor indexed="64"/>
      </patternFill>
    </fill>
    <fill>
      <patternFill patternType="solid">
        <fgColor rgb="FFFFFF00"/>
        <bgColor indexed="64"/>
      </patternFill>
    </fill>
    <fill>
      <patternFill patternType="solid">
        <fgColor rgb="FFCCFFFF"/>
        <bgColor indexed="64"/>
      </patternFill>
    </fill>
    <fill>
      <patternFill patternType="solid">
        <fgColor theme="0" tint="-0.14999847407452621"/>
        <bgColor indexed="64"/>
      </patternFill>
    </fill>
    <fill>
      <patternFill patternType="solid">
        <fgColor rgb="FF004158"/>
        <bgColor rgb="FF000000"/>
      </patternFill>
    </fill>
    <fill>
      <patternFill patternType="solid">
        <fgColor theme="0" tint="-4.9989318521683403E-2"/>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style="thick">
        <color indexed="64"/>
      </right>
      <top/>
      <bottom style="thick">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top/>
      <bottom style="thick">
        <color indexed="64"/>
      </bottom>
      <diagonal/>
    </border>
    <border>
      <left/>
      <right/>
      <top style="thick">
        <color indexed="64"/>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right/>
      <top style="thick">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thick">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ck">
        <color indexed="64"/>
      </left>
      <right style="thick">
        <color indexed="64"/>
      </right>
      <top style="thick">
        <color indexed="64"/>
      </top>
      <bottom/>
      <diagonal/>
    </border>
    <border>
      <left style="medium">
        <color indexed="64"/>
      </left>
      <right/>
      <top style="medium">
        <color indexed="64"/>
      </top>
      <bottom style="medium">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s>
  <cellStyleXfs count="8">
    <xf numFmtId="0" fontId="0" fillId="0" borderId="0"/>
    <xf numFmtId="43" fontId="1" fillId="0" borderId="0" applyFont="0" applyFill="0" applyBorder="0" applyAlignment="0" applyProtection="0"/>
    <xf numFmtId="43" fontId="18" fillId="0" borderId="0" applyFont="0" applyFill="0" applyBorder="0" applyAlignment="0" applyProtection="0"/>
    <xf numFmtId="0" fontId="1" fillId="0" borderId="0"/>
    <xf numFmtId="0" fontId="18" fillId="0" borderId="0"/>
    <xf numFmtId="0" fontId="1" fillId="0" borderId="0"/>
    <xf numFmtId="0" fontId="13" fillId="0" borderId="0"/>
    <xf numFmtId="0" fontId="62" fillId="0" borderId="0" applyNumberFormat="0" applyFill="0" applyBorder="0" applyAlignment="0" applyProtection="0"/>
  </cellStyleXfs>
  <cellXfs count="220">
    <xf numFmtId="0" fontId="0" fillId="0" borderId="0" xfId="0"/>
    <xf numFmtId="0" fontId="19" fillId="0" borderId="0" xfId="0" applyFont="1"/>
    <xf numFmtId="0" fontId="19" fillId="0" borderId="0" xfId="0" applyFont="1" applyAlignment="1">
      <alignment horizontal="center"/>
    </xf>
    <xf numFmtId="166" fontId="19" fillId="0" borderId="0" xfId="0" applyNumberFormat="1" applyFont="1" applyAlignment="1">
      <alignment horizontal="center"/>
    </xf>
    <xf numFmtId="14" fontId="0" fillId="0" borderId="0" xfId="0" applyNumberFormat="1" applyAlignment="1">
      <alignment horizontal="center"/>
    </xf>
    <xf numFmtId="13" fontId="0" fillId="0" borderId="0" xfId="0" applyNumberFormat="1" applyAlignment="1">
      <alignment horizontal="center"/>
    </xf>
    <xf numFmtId="0" fontId="0" fillId="0" borderId="0" xfId="0" applyAlignment="1">
      <alignment horizontal="center"/>
    </xf>
    <xf numFmtId="166" fontId="0" fillId="0" borderId="0" xfId="0" applyNumberFormat="1" applyAlignment="1">
      <alignment horizontal="center"/>
    </xf>
    <xf numFmtId="0" fontId="0" fillId="0" borderId="0" xfId="0" applyAlignment="1">
      <alignment horizontal="left"/>
    </xf>
    <xf numFmtId="1" fontId="0" fillId="0" borderId="0" xfId="0" applyNumberFormat="1"/>
    <xf numFmtId="168" fontId="0" fillId="0" borderId="0" xfId="0" applyNumberFormat="1" applyAlignment="1">
      <alignment horizontal="left"/>
    </xf>
    <xf numFmtId="14" fontId="0" fillId="0" borderId="0" xfId="0" applyNumberFormat="1"/>
    <xf numFmtId="169" fontId="0" fillId="0" borderId="0" xfId="0" applyNumberFormat="1" applyAlignment="1">
      <alignment horizontal="left"/>
    </xf>
    <xf numFmtId="168" fontId="0" fillId="0" borderId="0" xfId="0" applyNumberFormat="1"/>
    <xf numFmtId="0" fontId="21" fillId="0" borderId="0" xfId="0" applyFont="1" applyAlignment="1">
      <alignment horizontal="left" vertical="center"/>
    </xf>
    <xf numFmtId="170" fontId="0" fillId="0" borderId="0" xfId="0" applyNumberFormat="1"/>
    <xf numFmtId="0" fontId="22" fillId="0" borderId="0" xfId="0" applyFont="1"/>
    <xf numFmtId="0" fontId="23" fillId="0" borderId="0" xfId="0" applyFont="1"/>
    <xf numFmtId="0" fontId="3" fillId="0" borderId="0" xfId="0" applyFont="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2" fontId="4" fillId="0" borderId="0" xfId="0" applyNumberFormat="1" applyFont="1"/>
    <xf numFmtId="2" fontId="0" fillId="0" borderId="0" xfId="0" applyNumberFormat="1" applyAlignment="1">
      <alignment horizontal="left"/>
    </xf>
    <xf numFmtId="0" fontId="0" fillId="0" borderId="0" xfId="0" applyAlignment="1">
      <alignment horizontal="right"/>
    </xf>
    <xf numFmtId="14" fontId="0" fillId="0" borderId="3" xfId="0" applyNumberFormat="1" applyBorder="1" applyAlignment="1">
      <alignment horizontal="center"/>
    </xf>
    <xf numFmtId="2" fontId="0" fillId="0" borderId="4" xfId="0" applyNumberFormat="1" applyBorder="1"/>
    <xf numFmtId="14" fontId="0" fillId="0" borderId="5" xfId="0" applyNumberFormat="1" applyBorder="1" applyAlignment="1">
      <alignment horizontal="center"/>
    </xf>
    <xf numFmtId="2" fontId="0" fillId="0" borderId="6" xfId="0" applyNumberFormat="1" applyBorder="1"/>
    <xf numFmtId="14" fontId="0" fillId="3" borderId="7" xfId="0" applyNumberFormat="1" applyFill="1" applyBorder="1" applyAlignment="1">
      <alignment horizontal="center"/>
    </xf>
    <xf numFmtId="14" fontId="0" fillId="3" borderId="8" xfId="0" applyNumberFormat="1" applyFill="1" applyBorder="1" applyAlignment="1">
      <alignment horizontal="center"/>
    </xf>
    <xf numFmtId="14" fontId="0" fillId="0" borderId="0" xfId="0" applyNumberFormat="1" applyAlignment="1">
      <alignment horizontal="left"/>
    </xf>
    <xf numFmtId="14" fontId="0" fillId="0" borderId="9" xfId="0" applyNumberFormat="1" applyBorder="1" applyAlignment="1">
      <alignment horizontal="left"/>
    </xf>
    <xf numFmtId="0" fontId="0" fillId="3" borderId="7" xfId="0" applyFill="1" applyBorder="1" applyAlignment="1">
      <alignment horizontal="center"/>
    </xf>
    <xf numFmtId="0" fontId="24" fillId="3" borderId="10" xfId="0" applyFont="1" applyFill="1" applyBorder="1"/>
    <xf numFmtId="49" fontId="0" fillId="0" borderId="0" xfId="0" applyNumberFormat="1" applyAlignment="1">
      <alignment horizontal="center"/>
    </xf>
    <xf numFmtId="0" fontId="16" fillId="4" borderId="11" xfId="0" applyFont="1" applyFill="1" applyBorder="1"/>
    <xf numFmtId="166" fontId="17" fillId="4" borderId="12" xfId="0" applyNumberFormat="1" applyFont="1" applyFill="1" applyBorder="1"/>
    <xf numFmtId="166" fontId="25" fillId="4" borderId="13" xfId="0" applyNumberFormat="1" applyFont="1" applyFill="1" applyBorder="1" applyAlignment="1">
      <alignment horizontal="center"/>
    </xf>
    <xf numFmtId="0" fontId="0" fillId="0" borderId="14" xfId="0" applyBorder="1" applyAlignment="1">
      <alignment horizontal="left"/>
    </xf>
    <xf numFmtId="0" fontId="0" fillId="0" borderId="15" xfId="0" applyBorder="1" applyAlignment="1">
      <alignment horizontal="center"/>
    </xf>
    <xf numFmtId="170" fontId="0" fillId="0" borderId="0" xfId="0" applyNumberFormat="1" applyAlignment="1">
      <alignment horizontal="left"/>
    </xf>
    <xf numFmtId="0" fontId="0" fillId="0" borderId="15" xfId="0" applyBorder="1"/>
    <xf numFmtId="0" fontId="0" fillId="0" borderId="14" xfId="0" applyBorder="1"/>
    <xf numFmtId="0" fontId="0" fillId="0" borderId="14" xfId="0" applyBorder="1" applyAlignment="1">
      <alignment horizontal="right"/>
    </xf>
    <xf numFmtId="0" fontId="16" fillId="4" borderId="16" xfId="0" applyFont="1" applyFill="1" applyBorder="1"/>
    <xf numFmtId="166" fontId="25" fillId="4" borderId="17" xfId="0" applyNumberFormat="1" applyFont="1" applyFill="1" applyBorder="1" applyAlignment="1">
      <alignment horizontal="center"/>
    </xf>
    <xf numFmtId="166" fontId="17" fillId="4" borderId="18" xfId="0" applyNumberFormat="1" applyFont="1" applyFill="1" applyBorder="1"/>
    <xf numFmtId="14" fontId="0" fillId="0" borderId="19" xfId="0" applyNumberFormat="1" applyBorder="1" applyAlignment="1">
      <alignment horizontal="center"/>
    </xf>
    <xf numFmtId="14" fontId="0" fillId="0" borderId="20" xfId="0" applyNumberFormat="1" applyBorder="1" applyAlignment="1">
      <alignment horizontal="center"/>
    </xf>
    <xf numFmtId="14" fontId="0" fillId="0" borderId="21" xfId="0" applyNumberFormat="1" applyBorder="1" applyAlignment="1">
      <alignment horizontal="center"/>
    </xf>
    <xf numFmtId="0" fontId="26" fillId="0" borderId="22" xfId="0" applyFont="1" applyBorder="1" applyAlignment="1">
      <alignment horizontal="center" vertical="center"/>
    </xf>
    <xf numFmtId="0" fontId="22" fillId="0" borderId="0" xfId="0" applyFont="1" applyAlignment="1">
      <alignment vertical="center" wrapText="1"/>
    </xf>
    <xf numFmtId="0" fontId="27" fillId="0" borderId="0" xfId="0" applyFont="1" applyAlignment="1">
      <alignment vertical="center"/>
    </xf>
    <xf numFmtId="0" fontId="26" fillId="0" borderId="0" xfId="0" applyFont="1" applyAlignment="1">
      <alignment horizontal="left" vertical="center" indent="4"/>
    </xf>
    <xf numFmtId="0" fontId="26" fillId="0" borderId="0" xfId="0" applyFont="1" applyAlignment="1">
      <alignment vertical="center"/>
    </xf>
    <xf numFmtId="0" fontId="26" fillId="0" borderId="0" xfId="0" applyFont="1"/>
    <xf numFmtId="0" fontId="0" fillId="0" borderId="25" xfId="0" applyBorder="1"/>
    <xf numFmtId="0" fontId="0" fillId="0" borderId="26" xfId="0" applyBorder="1"/>
    <xf numFmtId="166" fontId="25" fillId="4" borderId="27" xfId="0" applyNumberFormat="1" applyFont="1" applyFill="1" applyBorder="1" applyAlignment="1">
      <alignment horizontal="left"/>
    </xf>
    <xf numFmtId="0" fontId="0" fillId="0" borderId="28" xfId="0" applyBorder="1" applyAlignment="1">
      <alignment horizontal="center"/>
    </xf>
    <xf numFmtId="0" fontId="0" fillId="0" borderId="29" xfId="0" applyBorder="1" applyAlignment="1">
      <alignment horizontal="center"/>
    </xf>
    <xf numFmtId="0" fontId="0" fillId="0" borderId="30" xfId="0" applyBorder="1" applyAlignment="1">
      <alignment horizontal="center"/>
    </xf>
    <xf numFmtId="0" fontId="0" fillId="0" borderId="31" xfId="0"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0" fillId="0" borderId="34" xfId="0" applyBorder="1" applyAlignment="1">
      <alignment horizontal="center"/>
    </xf>
    <xf numFmtId="170" fontId="24" fillId="3" borderId="10" xfId="0" applyNumberFormat="1" applyFont="1" applyFill="1" applyBorder="1" applyAlignment="1">
      <alignment horizontal="center"/>
    </xf>
    <xf numFmtId="166" fontId="17" fillId="4" borderId="35" xfId="0" applyNumberFormat="1" applyFont="1" applyFill="1" applyBorder="1" applyAlignment="1">
      <alignment horizontal="center"/>
    </xf>
    <xf numFmtId="0" fontId="3" fillId="0" borderId="2" xfId="0" applyFont="1" applyBorder="1" applyAlignment="1">
      <alignment horizontal="right" vertical="center" wrapText="1"/>
    </xf>
    <xf numFmtId="0" fontId="28" fillId="0" borderId="35" xfId="0" applyFont="1" applyBorder="1" applyAlignment="1">
      <alignment horizontal="center" vertical="center" wrapText="1"/>
    </xf>
    <xf numFmtId="0" fontId="2" fillId="0" borderId="0" xfId="0" applyFont="1"/>
    <xf numFmtId="0" fontId="0" fillId="0" borderId="25" xfId="0" applyBorder="1" applyAlignment="1">
      <alignment horizontal="center"/>
    </xf>
    <xf numFmtId="0" fontId="0" fillId="0" borderId="36" xfId="0" applyBorder="1" applyAlignment="1">
      <alignment horizontal="center"/>
    </xf>
    <xf numFmtId="2" fontId="29" fillId="3" borderId="8" xfId="0" applyNumberFormat="1" applyFont="1" applyFill="1" applyBorder="1" applyAlignment="1">
      <alignment horizontal="left"/>
    </xf>
    <xf numFmtId="166" fontId="17" fillId="4" borderId="0" xfId="0" applyNumberFormat="1" applyFont="1" applyFill="1" applyAlignment="1">
      <alignment horizontal="center"/>
    </xf>
    <xf numFmtId="0" fontId="30" fillId="0" borderId="0" xfId="0" applyFont="1"/>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0" fillId="0" borderId="36" xfId="0" applyBorder="1"/>
    <xf numFmtId="0" fontId="0" fillId="0" borderId="37" xfId="0" applyBorder="1"/>
    <xf numFmtId="0" fontId="0" fillId="0" borderId="39" xfId="0" applyBorder="1" applyAlignment="1">
      <alignment horizontal="center"/>
    </xf>
    <xf numFmtId="0" fontId="0" fillId="0" borderId="38" xfId="0" applyBorder="1" applyAlignment="1">
      <alignment horizontal="center"/>
    </xf>
    <xf numFmtId="0" fontId="0" fillId="0" borderId="40" xfId="0" applyBorder="1"/>
    <xf numFmtId="0" fontId="0" fillId="0" borderId="20" xfId="0" applyBorder="1"/>
    <xf numFmtId="0" fontId="0" fillId="0" borderId="41" xfId="0" applyBorder="1"/>
    <xf numFmtId="172" fontId="19" fillId="0" borderId="42" xfId="0" applyNumberFormat="1" applyFont="1" applyBorder="1"/>
    <xf numFmtId="0" fontId="0" fillId="6" borderId="0" xfId="0" applyFill="1" applyAlignment="1" applyProtection="1">
      <alignment horizontal="left"/>
      <protection locked="0"/>
    </xf>
    <xf numFmtId="1" fontId="31" fillId="0" borderId="0" xfId="0" applyNumberFormat="1" applyFont="1"/>
    <xf numFmtId="172" fontId="1" fillId="7" borderId="39" xfId="0" applyNumberFormat="1" applyFont="1" applyFill="1" applyBorder="1" applyAlignment="1">
      <alignment horizontal="left"/>
    </xf>
    <xf numFmtId="0" fontId="0" fillId="9" borderId="0" xfId="0" applyFill="1"/>
    <xf numFmtId="0" fontId="32" fillId="0" borderId="44" xfId="0" applyFont="1" applyBorder="1" applyAlignment="1">
      <alignment horizontal="center" vertical="center"/>
    </xf>
    <xf numFmtId="0" fontId="33" fillId="0" borderId="0" xfId="4" applyFont="1"/>
    <xf numFmtId="2" fontId="33" fillId="0" borderId="0" xfId="4" applyNumberFormat="1" applyFont="1"/>
    <xf numFmtId="2" fontId="0" fillId="0" borderId="0" xfId="0" applyNumberFormat="1"/>
    <xf numFmtId="0" fontId="0" fillId="0" borderId="35" xfId="0" applyBorder="1" applyAlignment="1">
      <alignment horizontal="center"/>
    </xf>
    <xf numFmtId="0" fontId="23" fillId="0" borderId="35" xfId="0" applyFont="1" applyBorder="1" applyAlignment="1">
      <alignment horizontal="left" vertical="center" wrapText="1"/>
    </xf>
    <xf numFmtId="0" fontId="23" fillId="0" borderId="22" xfId="0" applyFont="1" applyBorder="1" applyAlignment="1">
      <alignment horizontal="left" vertical="center" wrapText="1"/>
    </xf>
    <xf numFmtId="0" fontId="34" fillId="0" borderId="34" xfId="0" applyFont="1" applyBorder="1" applyAlignment="1">
      <alignment horizontal="left" vertical="center"/>
    </xf>
    <xf numFmtId="0" fontId="34" fillId="0" borderId="38" xfId="0" applyFont="1" applyBorder="1" applyAlignment="1">
      <alignment horizontal="right" vertical="center"/>
    </xf>
    <xf numFmtId="0" fontId="34" fillId="0" borderId="38" xfId="0" applyFont="1" applyBorder="1" applyAlignment="1">
      <alignment horizontal="left" vertical="center"/>
    </xf>
    <xf numFmtId="171" fontId="0" fillId="0" borderId="0" xfId="0" applyNumberFormat="1"/>
    <xf numFmtId="3" fontId="0" fillId="0" borderId="0" xfId="0" applyNumberFormat="1"/>
    <xf numFmtId="173" fontId="33" fillId="0" borderId="0" xfId="4" applyNumberFormat="1" applyFont="1"/>
    <xf numFmtId="0" fontId="2" fillId="0" borderId="0" xfId="0" applyFont="1" applyAlignment="1">
      <alignment horizontal="center"/>
    </xf>
    <xf numFmtId="171" fontId="4" fillId="0" borderId="0" xfId="1" applyNumberFormat="1" applyFont="1"/>
    <xf numFmtId="0" fontId="35" fillId="0" borderId="34" xfId="0" applyFont="1" applyBorder="1" applyAlignment="1">
      <alignment horizontal="center" vertical="center"/>
    </xf>
    <xf numFmtId="169" fontId="35" fillId="0" borderId="38" xfId="0" applyNumberFormat="1" applyFont="1" applyBorder="1" applyAlignment="1">
      <alignment horizontal="center" vertical="center"/>
    </xf>
    <xf numFmtId="0" fontId="36" fillId="0" borderId="34" xfId="0" applyFont="1" applyBorder="1" applyAlignment="1">
      <alignment horizontal="center" vertical="center"/>
    </xf>
    <xf numFmtId="0" fontId="22" fillId="0" borderId="38" xfId="0" applyFont="1" applyBorder="1" applyAlignment="1">
      <alignment vertical="center"/>
    </xf>
    <xf numFmtId="0" fontId="37" fillId="9" borderId="0" xfId="0" applyFont="1" applyFill="1"/>
    <xf numFmtId="0" fontId="37" fillId="0" borderId="0" xfId="0" applyFont="1" applyAlignment="1">
      <alignment wrapText="1"/>
    </xf>
    <xf numFmtId="0" fontId="37" fillId="0" borderId="0" xfId="0" applyFont="1"/>
    <xf numFmtId="172" fontId="2" fillId="7" borderId="43" xfId="0" applyNumberFormat="1" applyFont="1" applyFill="1" applyBorder="1" applyAlignment="1">
      <alignment horizontal="left"/>
    </xf>
    <xf numFmtId="0" fontId="15" fillId="0" borderId="46" xfId="0" applyFont="1" applyBorder="1" applyAlignment="1">
      <alignment vertical="center" wrapText="1"/>
    </xf>
    <xf numFmtId="0" fontId="20" fillId="0" borderId="46" xfId="0" applyFont="1" applyBorder="1" applyAlignment="1">
      <alignment vertical="center" wrapText="1"/>
    </xf>
    <xf numFmtId="0" fontId="20" fillId="0" borderId="47" xfId="0" applyFont="1" applyBorder="1" applyAlignment="1">
      <alignment wrapText="1"/>
    </xf>
    <xf numFmtId="166" fontId="25" fillId="4" borderId="0" xfId="0" applyNumberFormat="1" applyFont="1" applyFill="1" applyAlignment="1">
      <alignment horizontal="center"/>
    </xf>
    <xf numFmtId="44" fontId="41" fillId="0" borderId="45" xfId="0" applyNumberFormat="1" applyFont="1" applyBorder="1" applyAlignment="1">
      <alignment vertical="center"/>
    </xf>
    <xf numFmtId="44" fontId="41" fillId="0" borderId="22" xfId="0" applyNumberFormat="1" applyFont="1" applyBorder="1" applyAlignment="1">
      <alignment vertical="center"/>
    </xf>
    <xf numFmtId="0" fontId="40" fillId="0" borderId="0" xfId="0" applyFont="1"/>
    <xf numFmtId="0" fontId="40" fillId="5" borderId="23" xfId="0" applyFont="1" applyFill="1" applyBorder="1" applyAlignment="1">
      <alignment horizontal="center"/>
    </xf>
    <xf numFmtId="0" fontId="42" fillId="5" borderId="0" xfId="0" applyFont="1" applyFill="1" applyAlignment="1">
      <alignment horizontal="left"/>
    </xf>
    <xf numFmtId="0" fontId="40" fillId="5" borderId="0" xfId="0" applyFont="1" applyFill="1" applyAlignment="1">
      <alignment horizontal="center" vertical="center"/>
    </xf>
    <xf numFmtId="0" fontId="40" fillId="5" borderId="0" xfId="0" applyFont="1" applyFill="1"/>
    <xf numFmtId="0" fontId="40" fillId="5" borderId="0" xfId="0" applyFont="1" applyFill="1" applyAlignment="1">
      <alignment horizontal="left"/>
    </xf>
    <xf numFmtId="0" fontId="40" fillId="5" borderId="24" xfId="0" applyFont="1" applyFill="1" applyBorder="1" applyAlignment="1">
      <alignment horizontal="left"/>
    </xf>
    <xf numFmtId="164" fontId="40" fillId="5" borderId="0" xfId="0" applyNumberFormat="1" applyFont="1" applyFill="1" applyAlignment="1">
      <alignment horizontal="center"/>
    </xf>
    <xf numFmtId="0" fontId="40" fillId="5" borderId="23" xfId="0" applyFont="1" applyFill="1" applyBorder="1" applyAlignment="1">
      <alignment horizontal="center" vertical="center"/>
    </xf>
    <xf numFmtId="0" fontId="43" fillId="5" borderId="0" xfId="0" applyFont="1" applyFill="1" applyAlignment="1">
      <alignment horizontal="left" vertical="center"/>
    </xf>
    <xf numFmtId="165" fontId="40" fillId="2" borderId="1" xfId="0" applyNumberFormat="1" applyFont="1" applyFill="1" applyBorder="1" applyAlignment="1" applyProtection="1">
      <alignment horizontal="center" vertical="center"/>
      <protection locked="0"/>
    </xf>
    <xf numFmtId="165" fontId="40" fillId="5" borderId="0" xfId="0" applyNumberFormat="1" applyFont="1" applyFill="1" applyAlignment="1">
      <alignment horizontal="center" vertical="center"/>
    </xf>
    <xf numFmtId="165" fontId="40" fillId="5" borderId="0" xfId="0" applyNumberFormat="1" applyFont="1" applyFill="1" applyAlignment="1">
      <alignment horizontal="left" vertical="center"/>
    </xf>
    <xf numFmtId="165" fontId="40" fillId="5" borderId="24" xfId="0" applyNumberFormat="1" applyFont="1" applyFill="1" applyBorder="1" applyAlignment="1">
      <alignment horizontal="left" vertical="center"/>
    </xf>
    <xf numFmtId="0" fontId="40" fillId="5" borderId="0" xfId="0" applyFont="1" applyFill="1" applyAlignment="1">
      <alignment horizontal="left" vertical="center"/>
    </xf>
    <xf numFmtId="0" fontId="40" fillId="5" borderId="24" xfId="0" applyFont="1" applyFill="1" applyBorder="1" applyAlignment="1">
      <alignment horizontal="left" vertical="center"/>
    </xf>
    <xf numFmtId="1" fontId="40" fillId="5" borderId="0" xfId="0" applyNumberFormat="1" applyFont="1" applyFill="1" applyAlignment="1">
      <alignment horizontal="center" vertical="center"/>
    </xf>
    <xf numFmtId="0" fontId="40" fillId="5" borderId="0" xfId="0" applyFont="1" applyFill="1" applyAlignment="1">
      <alignment vertical="center"/>
    </xf>
    <xf numFmtId="0" fontId="44" fillId="5" borderId="0" xfId="0" applyFont="1" applyFill="1" applyAlignment="1">
      <alignment horizontal="left" vertical="center" wrapText="1"/>
    </xf>
    <xf numFmtId="1" fontId="43" fillId="5" borderId="0" xfId="0" applyNumberFormat="1" applyFont="1" applyFill="1" applyAlignment="1">
      <alignment horizontal="center" vertical="center"/>
    </xf>
    <xf numFmtId="0" fontId="40" fillId="5" borderId="0" xfId="0" applyFont="1" applyFill="1" applyAlignment="1">
      <alignment horizontal="center" vertical="center" wrapText="1"/>
    </xf>
    <xf numFmtId="167" fontId="40" fillId="5" borderId="0" xfId="0" applyNumberFormat="1" applyFont="1" applyFill="1" applyAlignment="1">
      <alignment horizontal="center" vertical="center" wrapText="1"/>
    </xf>
    <xf numFmtId="0" fontId="40" fillId="5" borderId="0" xfId="0" applyFont="1" applyFill="1" applyAlignment="1">
      <alignment horizontal="center"/>
    </xf>
    <xf numFmtId="0" fontId="43" fillId="5" borderId="0" xfId="0" applyFont="1" applyFill="1" applyAlignment="1">
      <alignment horizontal="left"/>
    </xf>
    <xf numFmtId="172" fontId="40" fillId="2" borderId="1" xfId="0" applyNumberFormat="1" applyFont="1" applyFill="1" applyBorder="1" applyAlignment="1" applyProtection="1">
      <alignment horizontal="center" vertical="center"/>
      <protection locked="0"/>
    </xf>
    <xf numFmtId="13" fontId="40" fillId="0" borderId="1" xfId="0" applyNumberFormat="1" applyFont="1" applyBorder="1" applyAlignment="1" applyProtection="1">
      <alignment horizontal="center" vertical="center"/>
      <protection locked="0"/>
    </xf>
    <xf numFmtId="3" fontId="40" fillId="0" borderId="1" xfId="0" applyNumberFormat="1" applyFont="1" applyBorder="1" applyAlignment="1" applyProtection="1">
      <alignment horizontal="center" vertical="center"/>
      <protection locked="0"/>
    </xf>
    <xf numFmtId="164" fontId="40" fillId="0" borderId="1" xfId="0" applyNumberFormat="1" applyFont="1" applyBorder="1" applyAlignment="1" applyProtection="1">
      <alignment horizontal="center" vertical="center"/>
      <protection locked="0"/>
    </xf>
    <xf numFmtId="0" fontId="40" fillId="5" borderId="36" xfId="0" applyFont="1" applyFill="1" applyBorder="1" applyAlignment="1">
      <alignment horizontal="center"/>
    </xf>
    <xf numFmtId="0" fontId="45" fillId="5" borderId="37" xfId="0" applyFont="1" applyFill="1" applyBorder="1"/>
    <xf numFmtId="0" fontId="40" fillId="5" borderId="37" xfId="0" applyFont="1" applyFill="1" applyBorder="1" applyAlignment="1">
      <alignment horizontal="center" vertical="center"/>
    </xf>
    <xf numFmtId="0" fontId="40" fillId="5" borderId="37" xfId="0" applyFont="1" applyFill="1" applyBorder="1"/>
    <xf numFmtId="0" fontId="40" fillId="5" borderId="37" xfId="0" applyFont="1" applyFill="1" applyBorder="1" applyAlignment="1">
      <alignment horizontal="left"/>
    </xf>
    <xf numFmtId="0" fontId="40" fillId="5" borderId="38" xfId="0" applyFont="1" applyFill="1" applyBorder="1" applyAlignment="1">
      <alignment horizontal="left"/>
    </xf>
    <xf numFmtId="0" fontId="46" fillId="8" borderId="25" xfId="0" applyFont="1" applyFill="1" applyBorder="1" applyAlignment="1">
      <alignment horizontal="center"/>
    </xf>
    <xf numFmtId="0" fontId="47" fillId="8" borderId="26" xfId="0" applyFont="1" applyFill="1" applyBorder="1" applyAlignment="1">
      <alignment horizontal="right" vertical="center"/>
    </xf>
    <xf numFmtId="0" fontId="48" fillId="8" borderId="26" xfId="0" applyFont="1" applyFill="1" applyBorder="1" applyAlignment="1">
      <alignment horizontal="center" vertical="center"/>
    </xf>
    <xf numFmtId="0" fontId="46" fillId="8" borderId="26" xfId="0" applyFont="1" applyFill="1" applyBorder="1"/>
    <xf numFmtId="0" fontId="46" fillId="8" borderId="26" xfId="0" applyFont="1" applyFill="1" applyBorder="1" applyAlignment="1">
      <alignment horizontal="center"/>
    </xf>
    <xf numFmtId="0" fontId="46" fillId="8" borderId="26" xfId="0" applyFont="1" applyFill="1" applyBorder="1" applyAlignment="1">
      <alignment horizontal="left"/>
    </xf>
    <xf numFmtId="0" fontId="46" fillId="8" borderId="39" xfId="0" applyFont="1" applyFill="1" applyBorder="1" applyAlignment="1">
      <alignment horizontal="left"/>
    </xf>
    <xf numFmtId="167" fontId="51" fillId="8" borderId="0" xfId="0" applyNumberFormat="1" applyFont="1" applyFill="1" applyAlignment="1">
      <alignment horizontal="center" vertical="center"/>
    </xf>
    <xf numFmtId="0" fontId="43" fillId="8" borderId="0" xfId="0" applyFont="1" applyFill="1" applyAlignment="1">
      <alignment horizontal="center" vertical="center" wrapText="1"/>
    </xf>
    <xf numFmtId="0" fontId="43" fillId="8" borderId="0" xfId="0" applyFont="1" applyFill="1"/>
    <xf numFmtId="0" fontId="43" fillId="8" borderId="0" xfId="0" applyFont="1" applyFill="1" applyAlignment="1">
      <alignment horizontal="left"/>
    </xf>
    <xf numFmtId="0" fontId="43" fillId="8" borderId="24" xfId="0" applyFont="1" applyFill="1" applyBorder="1" applyAlignment="1">
      <alignment horizontal="left"/>
    </xf>
    <xf numFmtId="0" fontId="49" fillId="0" borderId="0" xfId="0" applyFont="1"/>
    <xf numFmtId="0" fontId="46" fillId="8" borderId="0" xfId="0" applyFont="1" applyFill="1"/>
    <xf numFmtId="0" fontId="46" fillId="8" borderId="0" xfId="0" applyFont="1" applyFill="1" applyAlignment="1">
      <alignment horizontal="center"/>
    </xf>
    <xf numFmtId="0" fontId="46" fillId="8" borderId="0" xfId="0" applyFont="1" applyFill="1" applyAlignment="1">
      <alignment horizontal="left"/>
    </xf>
    <xf numFmtId="0" fontId="46" fillId="8" borderId="24" xfId="0" applyFont="1" applyFill="1" applyBorder="1" applyAlignment="1">
      <alignment horizontal="left"/>
    </xf>
    <xf numFmtId="167" fontId="51" fillId="8" borderId="37" xfId="0" applyNumberFormat="1" applyFont="1" applyFill="1" applyBorder="1" applyAlignment="1">
      <alignment horizontal="center" vertical="center"/>
    </xf>
    <xf numFmtId="0" fontId="46" fillId="8" borderId="37" xfId="0" applyFont="1" applyFill="1" applyBorder="1"/>
    <xf numFmtId="0" fontId="46" fillId="8" borderId="37" xfId="0" applyFont="1" applyFill="1" applyBorder="1" applyAlignment="1">
      <alignment horizontal="center"/>
    </xf>
    <xf numFmtId="0" fontId="46" fillId="8" borderId="37" xfId="0" applyFont="1" applyFill="1" applyBorder="1" applyAlignment="1">
      <alignment horizontal="left"/>
    </xf>
    <xf numFmtId="0" fontId="46" fillId="8" borderId="38" xfId="0" applyFont="1" applyFill="1" applyBorder="1" applyAlignment="1">
      <alignment horizontal="left"/>
    </xf>
    <xf numFmtId="0" fontId="40" fillId="5" borderId="0" xfId="0" applyFont="1" applyFill="1" applyAlignment="1">
      <alignment horizontal="right" vertical="center"/>
    </xf>
    <xf numFmtId="1" fontId="40" fillId="5" borderId="0" xfId="0" applyNumberFormat="1" applyFont="1" applyFill="1" applyAlignment="1">
      <alignment horizontal="right" vertical="center"/>
    </xf>
    <xf numFmtId="0" fontId="52" fillId="10" borderId="0" xfId="0" applyFont="1" applyFill="1"/>
    <xf numFmtId="0" fontId="53" fillId="0" borderId="0" xfId="0" applyFont="1"/>
    <xf numFmtId="0" fontId="54" fillId="0" borderId="0" xfId="0" applyFont="1"/>
    <xf numFmtId="15" fontId="53" fillId="0" borderId="0" xfId="0" applyNumberFormat="1" applyFont="1" applyAlignment="1">
      <alignment horizontal="left"/>
    </xf>
    <xf numFmtId="0" fontId="55" fillId="0" borderId="45" xfId="0" applyFont="1" applyBorder="1"/>
    <xf numFmtId="0" fontId="56" fillId="11" borderId="0" xfId="0" applyFont="1" applyFill="1" applyAlignment="1">
      <alignment horizontal="justify" vertical="top" wrapText="1"/>
    </xf>
    <xf numFmtId="0" fontId="56" fillId="11" borderId="0" xfId="0" applyFont="1" applyFill="1" applyAlignment="1">
      <alignment horizontal="left" wrapText="1"/>
    </xf>
    <xf numFmtId="0" fontId="57" fillId="11" borderId="0" xfId="0" applyFont="1" applyFill="1" applyAlignment="1">
      <alignment horizontal="right"/>
    </xf>
    <xf numFmtId="0" fontId="58" fillId="11" borderId="0" xfId="0" applyFont="1" applyFill="1"/>
    <xf numFmtId="0" fontId="59" fillId="0" borderId="0" xfId="0" applyFont="1"/>
    <xf numFmtId="0" fontId="49" fillId="0" borderId="0" xfId="0" applyFont="1" applyAlignment="1">
      <alignment horizontal="left" vertical="center"/>
    </xf>
    <xf numFmtId="0" fontId="53" fillId="0" borderId="0" xfId="0" applyFont="1" applyAlignment="1">
      <alignment horizontal="left" vertical="center"/>
    </xf>
    <xf numFmtId="0" fontId="60" fillId="0" borderId="2" xfId="0" applyFont="1" applyBorder="1" applyAlignment="1">
      <alignment horizontal="left"/>
    </xf>
    <xf numFmtId="0" fontId="61" fillId="10" borderId="0" xfId="0" applyFont="1" applyFill="1" applyAlignment="1">
      <alignment horizontal="left"/>
    </xf>
    <xf numFmtId="0" fontId="49" fillId="0" borderId="22" xfId="0" applyFont="1" applyBorder="1"/>
    <xf numFmtId="167" fontId="49" fillId="0" borderId="0" xfId="0" applyNumberFormat="1" applyFont="1" applyAlignment="1">
      <alignment horizontal="left"/>
    </xf>
    <xf numFmtId="0" fontId="62" fillId="0" borderId="0" xfId="7" applyAlignment="1">
      <alignment horizontal="right"/>
    </xf>
    <xf numFmtId="172" fontId="49" fillId="0" borderId="0" xfId="0" applyNumberFormat="1" applyFont="1" applyAlignment="1">
      <alignment horizontal="left" vertical="center"/>
    </xf>
    <xf numFmtId="0" fontId="40" fillId="0" borderId="0" xfId="0" applyFont="1" applyAlignment="1">
      <alignment horizontal="center"/>
    </xf>
    <xf numFmtId="0" fontId="40" fillId="0" borderId="0" xfId="0" applyFont="1" applyAlignment="1">
      <alignment horizontal="right"/>
    </xf>
    <xf numFmtId="0" fontId="40" fillId="0" borderId="0" xfId="0" applyFont="1" applyAlignment="1">
      <alignment horizontal="left"/>
    </xf>
    <xf numFmtId="170" fontId="40" fillId="0" borderId="0" xfId="0" applyNumberFormat="1" applyFont="1" applyAlignment="1">
      <alignment horizontal="center"/>
    </xf>
    <xf numFmtId="0" fontId="43" fillId="0" borderId="0" xfId="0" applyFont="1" applyAlignment="1" applyProtection="1">
      <alignment horizontal="left" vertical="center"/>
      <protection locked="0"/>
    </xf>
    <xf numFmtId="0" fontId="42" fillId="0" borderId="0" xfId="0" applyFont="1"/>
    <xf numFmtId="167" fontId="40" fillId="0" borderId="0" xfId="0" applyNumberFormat="1" applyFont="1" applyAlignment="1">
      <alignment wrapText="1"/>
    </xf>
    <xf numFmtId="0" fontId="40" fillId="0" borderId="0" xfId="0" applyFont="1" applyAlignment="1">
      <alignment wrapText="1"/>
    </xf>
    <xf numFmtId="0" fontId="50" fillId="8" borderId="23" xfId="0" applyFont="1" applyFill="1" applyBorder="1" applyAlignment="1">
      <alignment horizontal="right" vertical="center"/>
    </xf>
    <xf numFmtId="0" fontId="50" fillId="8" borderId="0" xfId="0" applyFont="1" applyFill="1" applyAlignment="1">
      <alignment horizontal="right" vertical="center"/>
    </xf>
    <xf numFmtId="0" fontId="50" fillId="8" borderId="36" xfId="0" applyFont="1" applyFill="1" applyBorder="1" applyAlignment="1">
      <alignment horizontal="right" vertical="center"/>
    </xf>
    <xf numFmtId="0" fontId="50" fillId="8" borderId="37" xfId="0" applyFont="1" applyFill="1" applyBorder="1" applyAlignment="1">
      <alignment horizontal="right" vertical="center"/>
    </xf>
    <xf numFmtId="0" fontId="40" fillId="0" borderId="0" xfId="0" applyFont="1" applyAlignment="1">
      <alignment horizontal="center" wrapText="1"/>
    </xf>
    <xf numFmtId="166" fontId="17" fillId="4" borderId="45" xfId="0" applyNumberFormat="1" applyFont="1" applyFill="1" applyBorder="1" applyAlignment="1">
      <alignment horizontal="center"/>
    </xf>
    <xf numFmtId="166" fontId="17" fillId="4" borderId="22" xfId="0" applyNumberFormat="1" applyFont="1" applyFill="1" applyBorder="1" applyAlignment="1">
      <alignment horizontal="center"/>
    </xf>
    <xf numFmtId="0" fontId="2" fillId="0" borderId="2" xfId="0" applyFont="1" applyBorder="1" applyAlignment="1">
      <alignment horizontal="center" vertical="center" wrapText="1"/>
    </xf>
    <xf numFmtId="0" fontId="3" fillId="0" borderId="2" xfId="0" applyFont="1" applyBorder="1" applyAlignment="1" applyProtection="1">
      <alignment horizontal="center" vertical="center" wrapText="1"/>
      <protection locked="0"/>
    </xf>
    <xf numFmtId="0" fontId="27" fillId="0" borderId="0" xfId="0" applyFont="1" applyAlignment="1">
      <alignment vertical="center"/>
    </xf>
    <xf numFmtId="0" fontId="27" fillId="0" borderId="0" xfId="0" applyFont="1" applyAlignment="1">
      <alignment horizontal="center" vertical="center"/>
    </xf>
    <xf numFmtId="0" fontId="27" fillId="0" borderId="45" xfId="0" applyFont="1" applyBorder="1" applyAlignment="1">
      <alignment horizontal="center" vertical="center"/>
    </xf>
    <xf numFmtId="0" fontId="27" fillId="0" borderId="2" xfId="0" applyFont="1" applyBorder="1" applyAlignment="1">
      <alignment horizontal="center" vertical="center"/>
    </xf>
    <xf numFmtId="0" fontId="27" fillId="0" borderId="22" xfId="0" applyFont="1" applyBorder="1" applyAlignment="1">
      <alignment horizontal="center" vertical="center"/>
    </xf>
    <xf numFmtId="0" fontId="56" fillId="11" borderId="0" xfId="0" applyFont="1" applyFill="1" applyAlignment="1">
      <alignment horizontal="justify" vertical="top" wrapText="1"/>
    </xf>
    <xf numFmtId="44" fontId="41" fillId="0" borderId="2" xfId="0" applyNumberFormat="1" applyFont="1" applyBorder="1" applyAlignment="1">
      <alignment horizontal="center"/>
    </xf>
  </cellXfs>
  <cellStyles count="8">
    <cellStyle name="Comma 2" xfId="1" xr:uid="{51EE8F70-0EE4-4F3B-AC39-1DFB10F3BADD}"/>
    <cellStyle name="Comma 2 2" xfId="2" xr:uid="{990356B6-DBCB-4AAD-AD29-98C6A05579DF}"/>
    <cellStyle name="Hyperlink" xfId="7" builtinId="8"/>
    <cellStyle name="Normal" xfId="0" builtinId="0"/>
    <cellStyle name="Normal 2" xfId="3" xr:uid="{F865F402-2D7B-43E6-B30D-B5078280E2C3}"/>
    <cellStyle name="Normal 2 2" xfId="4" xr:uid="{6FEBB44B-079C-4AAD-9D7A-877C57A16F53}"/>
    <cellStyle name="Normal 3" xfId="5" xr:uid="{762B629B-43E0-417B-8FD6-3FDC4DF91976}"/>
    <cellStyle name="Normal 4" xfId="6" xr:uid="{94206FD6-B71F-4240-AF24-2D1FF3266706}"/>
  </cellStyles>
  <dxfs count="64">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92D050"/>
        </patternFill>
      </fill>
    </dxf>
    <dxf>
      <fill>
        <patternFill>
          <bgColor rgb="FF92D050"/>
        </patternFill>
      </fill>
    </dxf>
    <dxf>
      <fill>
        <patternFill>
          <bgColor theme="9" tint="0.79998168889431442"/>
        </patternFill>
      </fill>
    </dxf>
    <dxf>
      <fill>
        <patternFill>
          <bgColor theme="9" tint="0.7999816888943144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FFFFCC"/>
      </font>
      <fill>
        <patternFill>
          <bgColor rgb="FFFFFFCC"/>
        </patternFill>
      </fill>
      <border>
        <left/>
        <right/>
        <top/>
        <bottom/>
      </border>
    </dxf>
    <dxf>
      <font>
        <color rgb="FFFFFFCC"/>
      </font>
      <fill>
        <patternFill>
          <bgColor rgb="FFFFFFCC"/>
        </patternFill>
      </fill>
      <border>
        <left/>
        <right/>
        <top/>
        <bottom/>
      </border>
    </dxf>
    <dxf>
      <font>
        <color rgb="FFFFFFCC"/>
      </font>
      <fill>
        <patternFill>
          <bgColor rgb="FFFFFFCC"/>
        </patternFill>
      </fill>
    </dxf>
    <dxf>
      <font>
        <color rgb="FFFFFFCC"/>
      </font>
      <fill>
        <patternFill>
          <bgColor rgb="FFFFFFCC"/>
        </patternFill>
      </fill>
      <border>
        <left/>
        <right/>
        <top style="thin">
          <color auto="1"/>
        </top>
        <bottom style="thin">
          <color auto="1"/>
        </bottom>
      </border>
    </dxf>
    <dxf>
      <fill>
        <patternFill>
          <bgColor rgb="FFFFFF00"/>
        </patternFill>
      </fill>
    </dxf>
    <dxf>
      <fill>
        <patternFill>
          <bgColor rgb="FFFFFF00"/>
        </patternFill>
      </fill>
    </dxf>
    <dxf>
      <fill>
        <patternFill>
          <bgColor rgb="FFFFFF00"/>
        </patternFill>
      </fill>
    </dxf>
    <dxf>
      <alignment horizontal="center" vertical="bottom" textRotation="0" wrapText="0" indent="0" justifyLastLine="0" shrinkToFit="0" readingOrder="0"/>
      <border diagonalUp="0" diagonalDown="0">
        <left style="thin">
          <color indexed="64"/>
        </left>
        <right style="medium">
          <color indexed="64"/>
        </right>
        <top/>
        <bottom/>
        <vertical/>
        <horizontal/>
      </border>
    </dxf>
    <dxf>
      <border outline="0">
        <top style="thick">
          <color indexed="64"/>
        </top>
      </border>
    </dxf>
    <dxf>
      <alignment horizontal="center" vertical="bottom" textRotation="0" wrapText="0" indent="0" justifyLastLine="0" shrinkToFit="0" readingOrder="0"/>
    </dxf>
    <dxf>
      <font>
        <b/>
        <i val="0"/>
        <strike val="0"/>
        <condense val="0"/>
        <extend val="0"/>
        <outline val="0"/>
        <shadow val="0"/>
        <u val="none"/>
        <vertAlign val="baseline"/>
        <sz val="12"/>
        <color theme="0"/>
        <name val="Arial"/>
        <family val="2"/>
        <scheme val="none"/>
      </font>
      <numFmt numFmtId="166" formatCode="[$-809]d\ mmmm\ yyyy;@"/>
      <fill>
        <patternFill patternType="solid">
          <fgColor indexed="64"/>
          <bgColor theme="1"/>
        </patternFill>
      </fill>
      <alignment horizontal="center" vertical="bottom" textRotation="0" wrapText="0" indent="0" justifyLastLine="0" shrinkToFit="0" readingOrder="0"/>
    </dxf>
  </dxfs>
  <tableStyles count="0" defaultTableStyle="TableStyleMedium2" defaultPivotStyle="PivotStyleLight16"/>
  <colors>
    <mruColors>
      <color rgb="FFA6C7C9"/>
      <color rgb="FF56A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llustration and Guidance'!A1"/></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1577976</xdr:colOff>
      <xdr:row>16</xdr:row>
      <xdr:rowOff>269874</xdr:rowOff>
    </xdr:from>
    <xdr:to>
      <xdr:col>7</xdr:col>
      <xdr:colOff>323851</xdr:colOff>
      <xdr:row>19</xdr:row>
      <xdr:rowOff>104775</xdr:rowOff>
    </xdr:to>
    <xdr:sp macro="[0]!View_printable_estimate" textlink="">
      <xdr:nvSpPr>
        <xdr:cNvPr id="7" name="Rounded Rectangle 6">
          <a:hlinkClick xmlns:r="http://schemas.openxmlformats.org/officeDocument/2006/relationships" r:id="rId1"/>
          <a:extLst>
            <a:ext uri="{FF2B5EF4-FFF2-40B4-BE49-F238E27FC236}">
              <a16:creationId xmlns:a16="http://schemas.microsoft.com/office/drawing/2014/main" id="{7A3064D3-7E21-50B0-3DFE-52EAEAB04005}"/>
            </a:ext>
          </a:extLst>
        </xdr:cNvPr>
        <xdr:cNvSpPr/>
      </xdr:nvSpPr>
      <xdr:spPr>
        <a:xfrm>
          <a:off x="6711951" y="3784599"/>
          <a:ext cx="1631950" cy="835026"/>
        </a:xfrm>
        <a:prstGeom prst="round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GB" sz="1400" b="0">
              <a:solidFill>
                <a:sysClr val="windowText" lastClr="000000"/>
              </a:solidFill>
              <a:latin typeface="Arial" pitchFamily="34" charset="0"/>
              <a:cs typeface="Arial" pitchFamily="34" charset="0"/>
            </a:rPr>
            <a:t>View</a:t>
          </a:r>
          <a:r>
            <a:rPr lang="en-GB" sz="1400" b="0" baseline="0">
              <a:solidFill>
                <a:sysClr val="windowText" lastClr="000000"/>
              </a:solidFill>
              <a:latin typeface="Arial" pitchFamily="34" charset="0"/>
              <a:cs typeface="Arial" pitchFamily="34" charset="0"/>
            </a:rPr>
            <a:t> illustration and guidance</a:t>
          </a:r>
          <a:endParaRPr lang="en-GB" sz="1400" b="0">
            <a:solidFill>
              <a:sysClr val="windowText" lastClr="000000"/>
            </a:solidFill>
            <a:latin typeface="Arial" pitchFamily="34" charset="0"/>
            <a:cs typeface="Arial" pitchFamily="34" charset="0"/>
          </a:endParaRPr>
        </a:p>
      </xdr:txBody>
    </xdr:sp>
    <xdr:clientData/>
  </xdr:twoCellAnchor>
  <xdr:twoCellAnchor editAs="oneCell">
    <xdr:from>
      <xdr:col>3</xdr:col>
      <xdr:colOff>1181100</xdr:colOff>
      <xdr:row>1</xdr:row>
      <xdr:rowOff>76200</xdr:rowOff>
    </xdr:from>
    <xdr:to>
      <xdr:col>7</xdr:col>
      <xdr:colOff>365006</xdr:colOff>
      <xdr:row>1</xdr:row>
      <xdr:rowOff>478298</xdr:rowOff>
    </xdr:to>
    <xdr:pic>
      <xdr:nvPicPr>
        <xdr:cNvPr id="2" name="Picture 1">
          <a:extLst>
            <a:ext uri="{FF2B5EF4-FFF2-40B4-BE49-F238E27FC236}">
              <a16:creationId xmlns:a16="http://schemas.microsoft.com/office/drawing/2014/main" id="{D6AB4DA5-87DA-4C06-A0B5-CEDCA370F1C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15075" y="161925"/>
          <a:ext cx="2069981" cy="4020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15</xdr:row>
      <xdr:rowOff>0</xdr:rowOff>
    </xdr:from>
    <xdr:to>
      <xdr:col>17</xdr:col>
      <xdr:colOff>15765</xdr:colOff>
      <xdr:row>61</xdr:row>
      <xdr:rowOff>49488</xdr:rowOff>
    </xdr:to>
    <xdr:sp macro="" textlink="">
      <xdr:nvSpPr>
        <xdr:cNvPr id="2" name="TextBox 1">
          <a:extLst>
            <a:ext uri="{FF2B5EF4-FFF2-40B4-BE49-F238E27FC236}">
              <a16:creationId xmlns:a16="http://schemas.microsoft.com/office/drawing/2014/main" id="{3F99B0ED-B04C-4052-8348-ACB3159AF180}"/>
            </a:ext>
          </a:extLst>
        </xdr:cNvPr>
        <xdr:cNvSpPr txBox="1"/>
      </xdr:nvSpPr>
      <xdr:spPr>
        <a:xfrm>
          <a:off x="14077950" y="2590800"/>
          <a:ext cx="4702065" cy="76885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Additonal</a:t>
          </a:r>
          <a:r>
            <a:rPr lang="en-GB" b="1" baseline="0"/>
            <a:t> Pension Limit (2015 scheme) subect to any prior AP or ERRBO purchase.</a:t>
          </a:r>
        </a:p>
        <a:p>
          <a:endParaRPr lang="en-GB" b="1"/>
        </a:p>
        <a:p>
          <a:r>
            <a:rPr lang="en-GB"/>
            <a:t>2015/16 starting limit: £6,500</a:t>
          </a:r>
        </a:p>
        <a:p>
          <a:br>
            <a:rPr lang="en-GB"/>
          </a:br>
          <a:r>
            <a:rPr lang="en-GB"/>
            <a:t>2016/17: £6,500 x 1.000 = £6,500.000</a:t>
          </a:r>
          <a:br>
            <a:rPr lang="en-GB"/>
          </a:br>
          <a:r>
            <a:rPr lang="en-GB"/>
            <a:t>Rounded up = £6,500</a:t>
          </a:r>
          <a:br>
            <a:rPr lang="en-GB"/>
          </a:br>
          <a:endParaRPr lang="en-GB"/>
        </a:p>
        <a:p>
          <a:r>
            <a:rPr lang="en-GB"/>
            <a:t>2017/18: £6,500 x 1.010 = £6,565.000</a:t>
          </a:r>
          <a:br>
            <a:rPr lang="en-GB"/>
          </a:br>
          <a:r>
            <a:rPr lang="en-GB"/>
            <a:t>Rounded up = £6,565</a:t>
          </a:r>
          <a:br>
            <a:rPr lang="en-GB"/>
          </a:br>
          <a:endParaRPr lang="en-GB"/>
        </a:p>
        <a:p>
          <a:r>
            <a:rPr lang="en-GB"/>
            <a:t>2018/19: £6,565 x 1.030 = £6,761.950</a:t>
          </a:r>
          <a:br>
            <a:rPr lang="en-GB"/>
          </a:br>
          <a:r>
            <a:rPr lang="en-GB"/>
            <a:t>Rounded up = £6,762</a:t>
          </a:r>
          <a:br>
            <a:rPr lang="en-GB"/>
          </a:br>
          <a:endParaRPr lang="en-GB"/>
        </a:p>
        <a:p>
          <a:r>
            <a:rPr lang="en-GB"/>
            <a:t>2019/20: £6,762 x 1.024 = £6,924.288</a:t>
          </a:r>
          <a:br>
            <a:rPr lang="en-GB"/>
          </a:br>
          <a:r>
            <a:rPr lang="en-GB"/>
            <a:t>Rounded up = £6,925</a:t>
          </a:r>
          <a:br>
            <a:rPr lang="en-GB"/>
          </a:br>
          <a:endParaRPr lang="en-GB"/>
        </a:p>
        <a:p>
          <a:r>
            <a:rPr lang="en-GB"/>
            <a:t>2020/21: £6,925 x 1.017 = £7,042.725</a:t>
          </a:r>
          <a:br>
            <a:rPr lang="en-GB"/>
          </a:br>
          <a:r>
            <a:rPr lang="en-GB"/>
            <a:t>Rounded up = £7,043</a:t>
          </a:r>
          <a:br>
            <a:rPr lang="en-GB"/>
          </a:br>
          <a:endParaRPr lang="en-GB"/>
        </a:p>
        <a:p>
          <a:r>
            <a:rPr lang="en-GB"/>
            <a:t>2021/22: £7,043 x 1.005 = £7,078.215</a:t>
          </a:r>
          <a:br>
            <a:rPr lang="en-GB"/>
          </a:br>
          <a:r>
            <a:rPr lang="en-GB"/>
            <a:t>Rounded up = £7,079</a:t>
          </a:r>
          <a:br>
            <a:rPr lang="en-GB"/>
          </a:br>
          <a:endParaRPr lang="en-GB"/>
        </a:p>
        <a:p>
          <a:r>
            <a:rPr lang="en-GB"/>
            <a:t>2022/23: £7,079 x 1.031 = £7,298.449</a:t>
          </a:r>
          <a:br>
            <a:rPr lang="en-GB"/>
          </a:br>
          <a:r>
            <a:rPr lang="en-GB"/>
            <a:t>Rounded up = £7,299</a:t>
          </a:r>
          <a:br>
            <a:rPr lang="en-GB"/>
          </a:br>
          <a:endParaRPr lang="en-GB"/>
        </a:p>
        <a:p>
          <a:r>
            <a:rPr lang="en-GB"/>
            <a:t>2023/24: £7,299 x 1.101 = £8,036.199</a:t>
          </a:r>
          <a:br>
            <a:rPr lang="en-GB"/>
          </a:br>
          <a:r>
            <a:rPr lang="en-GB"/>
            <a:t>Rounded up = £8,037</a:t>
          </a:r>
          <a:br>
            <a:rPr lang="en-GB"/>
          </a:br>
          <a:endParaRPr lang="en-GB"/>
        </a:p>
        <a:p>
          <a:r>
            <a:rPr lang="en-GB"/>
            <a:t>2024/25: £8,037 x 1.067 = £8,575.479</a:t>
          </a:r>
          <a:br>
            <a:rPr lang="en-GB"/>
          </a:br>
          <a:r>
            <a:rPr lang="en-GB"/>
            <a:t>Rounded up = £8,576</a:t>
          </a:r>
          <a:br>
            <a:rPr lang="en-GB"/>
          </a:br>
          <a:endParaRPr lang="en-GB"/>
        </a:p>
        <a:p>
          <a:r>
            <a:rPr lang="en-GB"/>
            <a:t>2025/26: £8,576 x 1.017 = £8,721.792</a:t>
          </a:r>
          <a:br>
            <a:rPr lang="en-GB"/>
          </a:br>
          <a:r>
            <a:rPr lang="en-GB"/>
            <a:t>Rounded up = £8,722</a:t>
          </a:r>
          <a:br>
            <a:rPr lang="en-GB"/>
          </a:br>
          <a:endParaRPr lang="en-GB"/>
        </a:p>
        <a:p>
          <a:r>
            <a:rPr lang="en-GB"/>
            <a:t>2026/27: £8,722 x 1.038 = £9,053.436</a:t>
          </a:r>
          <a:br>
            <a:rPr lang="en-GB"/>
          </a:br>
          <a:r>
            <a:rPr lang="en-GB"/>
            <a:t>Rounded up = £9,054, </a:t>
          </a:r>
          <a:r>
            <a:rPr lang="en-GB" sz="1100" b="0" i="0">
              <a:solidFill>
                <a:schemeClr val="dk1"/>
              </a:solidFill>
              <a:effectLst/>
              <a:latin typeface="+mn-lt"/>
              <a:ea typeface="+mn-ea"/>
              <a:cs typeface="+mn-cs"/>
            </a:rPr>
            <a:t>use </a:t>
          </a:r>
          <a:r>
            <a:rPr lang="en-GB" sz="1100" b="1" i="0">
              <a:solidFill>
                <a:schemeClr val="dk1"/>
              </a:solidFill>
              <a:effectLst/>
              <a:latin typeface="+mn-lt"/>
              <a:ea typeface="+mn-ea"/>
              <a:cs typeface="+mn-cs"/>
            </a:rPr>
            <a:t>£9,053 to align with England and Wales.</a:t>
          </a:r>
          <a:endParaRPr lang="en-GB"/>
        </a:p>
        <a:p>
          <a:endParaRPr lang="en-GB"/>
        </a:p>
        <a:p>
          <a:pPr marL="0" marR="0" lvl="0" indent="0" defTabSz="914400" eaLnBrk="1" fontAlgn="auto" latinLnBrk="0" hangingPunct="1">
            <a:lnSpc>
              <a:spcPct val="100000"/>
            </a:lnSpc>
            <a:spcBef>
              <a:spcPts val="0"/>
            </a:spcBef>
            <a:spcAft>
              <a:spcPts val="0"/>
            </a:spcAft>
            <a:buClrTx/>
            <a:buSzTx/>
            <a:buFontTx/>
            <a:buNone/>
            <a:tabLst/>
            <a:defRPr/>
          </a:pPr>
          <a:r>
            <a:rPr lang="en-GB" sz="1100" b="0" i="0">
              <a:solidFill>
                <a:schemeClr val="dk1"/>
              </a:solidFill>
              <a:effectLst/>
              <a:latin typeface="+mn-lt"/>
              <a:ea typeface="+mn-ea"/>
              <a:cs typeface="+mn-cs"/>
            </a:rPr>
            <a:t>The starting point is </a:t>
          </a:r>
          <a:r>
            <a:rPr lang="en-GB" sz="1100" b="1" i="0">
              <a:solidFill>
                <a:schemeClr val="dk1"/>
              </a:solidFill>
              <a:effectLst/>
              <a:latin typeface="+mn-lt"/>
              <a:ea typeface="+mn-ea"/>
              <a:cs typeface="+mn-cs"/>
            </a:rPr>
            <a:t>£6,500 for 2015/16</a:t>
          </a:r>
          <a:r>
            <a:rPr lang="en-GB" sz="1100" b="0" i="0">
              <a:solidFill>
                <a:schemeClr val="dk1"/>
              </a:solidFill>
              <a:effectLst/>
              <a:latin typeface="+mn-lt"/>
              <a:ea typeface="+mn-ea"/>
              <a:cs typeface="+mn-cs"/>
            </a:rPr>
            <a:t> under </a:t>
          </a:r>
          <a:r>
            <a:rPr lang="en-GB" sz="1100" b="1" i="0">
              <a:solidFill>
                <a:schemeClr val="dk1"/>
              </a:solidFill>
              <a:effectLst/>
              <a:latin typeface="+mn-lt"/>
              <a:ea typeface="+mn-ea"/>
              <a:cs typeface="+mn-cs"/>
            </a:rPr>
            <a:t>Regulation 60</a:t>
          </a:r>
          <a:r>
            <a:rPr lang="en-GB" sz="1100" b="0" i="0">
              <a:solidFill>
                <a:schemeClr val="dk1"/>
              </a:solidFill>
              <a:effectLst/>
              <a:latin typeface="+mn-lt"/>
              <a:ea typeface="+mn-ea"/>
              <a:cs typeface="+mn-cs"/>
            </a:rPr>
            <a:t> of the NHS Pension Scheme (Scotland) Regulations 2015. For later years, the limit is either Treasury-determined or, if no Treasury figure is published, increased using the Pensions Increase Act method</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i="0">
            <a:solidFill>
              <a:schemeClr val="dk1"/>
            </a:solidFill>
            <a:effectLst/>
            <a:latin typeface="+mn-lt"/>
            <a:ea typeface="+mn-ea"/>
            <a:cs typeface="+mn-cs"/>
          </a:endParaRPr>
        </a:p>
        <a:p>
          <a:endParaRPr lang="en-GB"/>
        </a:p>
        <a:p>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1552575</xdr:colOff>
      <xdr:row>0</xdr:row>
      <xdr:rowOff>85725</xdr:rowOff>
    </xdr:from>
    <xdr:to>
      <xdr:col>3</xdr:col>
      <xdr:colOff>136406</xdr:colOff>
      <xdr:row>0</xdr:row>
      <xdr:rowOff>487823</xdr:rowOff>
    </xdr:to>
    <xdr:pic>
      <xdr:nvPicPr>
        <xdr:cNvPr id="3" name="Picture 2">
          <a:extLst>
            <a:ext uri="{FF2B5EF4-FFF2-40B4-BE49-F238E27FC236}">
              <a16:creationId xmlns:a16="http://schemas.microsoft.com/office/drawing/2014/main" id="{FF649AF9-8458-4B0F-8AF5-C2DA80D724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05375" y="85725"/>
          <a:ext cx="2066925" cy="40209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2691130</xdr:colOff>
      <xdr:row>4</xdr:row>
      <xdr:rowOff>57150</xdr:rowOff>
    </xdr:from>
    <xdr:to>
      <xdr:col>1</xdr:col>
      <xdr:colOff>4217756</xdr:colOff>
      <xdr:row>4</xdr:row>
      <xdr:rowOff>427519</xdr:rowOff>
    </xdr:to>
    <xdr:sp macro="[0]!Return_to_calculator" textlink="">
      <xdr:nvSpPr>
        <xdr:cNvPr id="3" name="Rounded Rectangle 2">
          <a:extLst>
            <a:ext uri="{FF2B5EF4-FFF2-40B4-BE49-F238E27FC236}">
              <a16:creationId xmlns:a16="http://schemas.microsoft.com/office/drawing/2014/main" id="{EB8CD941-D34F-3E64-AF5F-173451850D5E}"/>
            </a:ext>
          </a:extLst>
        </xdr:cNvPr>
        <xdr:cNvSpPr/>
      </xdr:nvSpPr>
      <xdr:spPr>
        <a:xfrm>
          <a:off x="3867150" y="4229100"/>
          <a:ext cx="2184675" cy="561975"/>
        </a:xfrm>
        <a:prstGeom prst="round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GB" sz="1400" b="0">
              <a:solidFill>
                <a:sysClr val="windowText" lastClr="000000"/>
              </a:solidFill>
              <a:latin typeface="Arial" pitchFamily="34" charset="0"/>
              <a:cs typeface="Arial" pitchFamily="34" charset="0"/>
            </a:rPr>
            <a:t>Go to Calculator</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55DED56-2CEB-42C1-B6F3-3753E6AB918E}" name="Table1" displayName="Table1" ref="C12:C66" totalsRowShown="0" headerRowDxfId="63" dataDxfId="62" tableBorderDxfId="61">
  <autoFilter ref="C12:C66" xr:uid="{255DED56-2CEB-42C1-B6F3-3753E6AB918E}"/>
  <tableColumns count="1">
    <tableColumn id="1" xr3:uid="{EE1444BD-5C85-4E80-89C3-EA5CA737E37B}" name="AP Available" dataDxfId="60">
      <calculatedColumnFormula>IF('Contributions calculator'!$D$10="","",IF(C12&lt;('Contributions calculator'!$D$10-249),Codes!C12+250,""))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3C93E-7EA6-489A-A566-48835B6DB57C}">
  <sheetPr codeName="Sheet1"/>
  <dimension ref="A1:W24"/>
  <sheetViews>
    <sheetView showGridLines="0" tabSelected="1" zoomScaleNormal="100" workbookViewId="0">
      <selection activeCell="D4" sqref="D4"/>
    </sheetView>
  </sheetViews>
  <sheetFormatPr defaultColWidth="0" defaultRowHeight="15" zeroHeight="1" x14ac:dyDescent="0.3"/>
  <cols>
    <col min="1" max="1" width="12.42578125" style="120" customWidth="1"/>
    <col min="2" max="2" width="4.42578125" style="196" customWidth="1"/>
    <col min="3" max="3" width="60.140625" style="120" customWidth="1"/>
    <col min="4" max="4" width="24" style="197" customWidth="1"/>
    <col min="5" max="5" width="7.140625" style="197" customWidth="1"/>
    <col min="6" max="6" width="4.140625" style="196" customWidth="1"/>
    <col min="7" max="7" width="8" style="198" customWidth="1"/>
    <col min="8" max="8" width="6.7109375" style="198" customWidth="1"/>
    <col min="9" max="10" width="7" style="198" customWidth="1"/>
    <col min="11" max="11" width="7" style="120" hidden="1" customWidth="1"/>
    <col min="12" max="12" width="9.140625" style="120" hidden="1" customWidth="1"/>
    <col min="13" max="13" width="9.7109375" style="120" hidden="1" customWidth="1"/>
    <col min="14" max="14" width="10.7109375" style="120" hidden="1" customWidth="1"/>
    <col min="15" max="15" width="9.140625" style="120" hidden="1" customWidth="1"/>
    <col min="16" max="16" width="8.140625" style="120" hidden="1" customWidth="1"/>
    <col min="17" max="17" width="17.28515625" style="120" hidden="1" customWidth="1"/>
    <col min="18" max="18" width="5.85546875" style="120" hidden="1" customWidth="1"/>
    <col min="19" max="19" width="17.42578125" style="120" hidden="1" customWidth="1"/>
    <col min="20" max="20" width="5.85546875" style="120" hidden="1" customWidth="1"/>
    <col min="21" max="21" width="20.85546875" style="120" hidden="1" customWidth="1"/>
    <col min="22" max="22" width="5" style="120" hidden="1" customWidth="1"/>
    <col min="23" max="23" width="2.85546875" style="120" hidden="1" customWidth="1"/>
    <col min="24" max="16384" width="9.140625" style="120" hidden="1"/>
  </cols>
  <sheetData>
    <row r="1" spans="2:13" ht="6.75" customHeight="1" thickBot="1" x14ac:dyDescent="0.35"/>
    <row r="2" spans="2:13" ht="65.25" customHeight="1" thickBot="1" x14ac:dyDescent="0.55000000000000004">
      <c r="B2" s="118"/>
      <c r="C2" s="219" t="s">
        <v>0</v>
      </c>
      <c r="D2" s="219"/>
      <c r="E2" s="219"/>
      <c r="F2" s="219"/>
      <c r="G2" s="219"/>
      <c r="H2" s="119"/>
    </row>
    <row r="3" spans="2:13" ht="18" customHeight="1" x14ac:dyDescent="0.3">
      <c r="B3" s="121"/>
      <c r="C3" s="122" t="s">
        <v>1</v>
      </c>
      <c r="D3" s="123"/>
      <c r="E3" s="124"/>
      <c r="F3" s="124"/>
      <c r="G3" s="125"/>
      <c r="H3" s="126"/>
    </row>
    <row r="4" spans="2:13" ht="18" customHeight="1" x14ac:dyDescent="0.3">
      <c r="B4" s="121"/>
      <c r="C4" s="125" t="s">
        <v>2</v>
      </c>
      <c r="D4" s="130"/>
      <c r="E4" s="127"/>
      <c r="F4" s="124"/>
      <c r="G4" s="125"/>
      <c r="H4" s="126"/>
      <c r="I4" s="198" t="str">
        <f ca="1">IF(I5="Election must start before normal pension age","Error","")</f>
        <v/>
      </c>
    </row>
    <row r="5" spans="2:13" ht="18" customHeight="1" x14ac:dyDescent="0.3">
      <c r="B5" s="128"/>
      <c r="C5" s="129" t="s">
        <v>5</v>
      </c>
      <c r="D5" s="130"/>
      <c r="E5" s="131"/>
      <c r="F5" s="131"/>
      <c r="G5" s="132"/>
      <c r="H5" s="133"/>
      <c r="I5" s="198" t="str">
        <f ca="1">IF(OR(D8=""),"",IF(D7&gt;=Codes!E8,"Election must start before normal pension age",""))</f>
        <v/>
      </c>
    </row>
    <row r="6" spans="2:13" ht="18" customHeight="1" x14ac:dyDescent="0.3">
      <c r="B6" s="128"/>
      <c r="C6" s="134" t="s">
        <v>3</v>
      </c>
      <c r="D6" s="176">
        <f ca="1">VLOOKUP(D4,'State pension age'!B4:E50,3,TRUE)</f>
        <v>65</v>
      </c>
      <c r="E6" s="134" t="str">
        <f ca="1">IF(OR(D6="",D6=0),"","Years")</f>
        <v>Years</v>
      </c>
      <c r="F6" s="123">
        <f ca="1">VLOOKUP(D4,'State pension age'!B4:E50,4,TRUE)</f>
        <v>0</v>
      </c>
      <c r="G6" s="134" t="s">
        <v>4</v>
      </c>
      <c r="H6" s="135"/>
      <c r="K6" s="198"/>
      <c r="L6" s="198"/>
    </row>
    <row r="7" spans="2:13" ht="18" customHeight="1" x14ac:dyDescent="0.3">
      <c r="B7" s="128"/>
      <c r="C7" s="129" t="s">
        <v>6</v>
      </c>
      <c r="D7" s="177" t="str">
        <f>IF(OR(D4="",D5=""),"",ROUNDDOWN((D5-D4+1)/365.25,0))</f>
        <v/>
      </c>
      <c r="E7" s="136"/>
      <c r="F7" s="137"/>
      <c r="G7" s="134"/>
      <c r="H7" s="135"/>
      <c r="I7" s="198" t="str">
        <f>IF(D7&lt;16,"Error","")</f>
        <v/>
      </c>
      <c r="J7" s="199"/>
      <c r="K7" s="196"/>
      <c r="L7" s="196"/>
      <c r="M7" s="196"/>
    </row>
    <row r="8" spans="2:13" ht="18" hidden="1" customHeight="1" x14ac:dyDescent="0.3">
      <c r="B8" s="128" t="s">
        <v>7</v>
      </c>
      <c r="C8" s="138" t="s">
        <v>195</v>
      </c>
      <c r="D8" s="139" t="str">
        <f ca="1">IF(OR(E6="",D7=""),"",Codes!E8-D7)</f>
        <v/>
      </c>
      <c r="E8" s="129" t="str">
        <f ca="1">IF(D6="","",IF(D7="","","Years"))</f>
        <v/>
      </c>
      <c r="F8" s="123"/>
      <c r="G8" s="134"/>
      <c r="H8" s="135"/>
      <c r="J8" s="200"/>
    </row>
    <row r="9" spans="2:13" ht="18" customHeight="1" x14ac:dyDescent="0.3">
      <c r="B9" s="121"/>
      <c r="C9" s="122" t="s">
        <v>8</v>
      </c>
      <c r="D9" s="140"/>
      <c r="E9" s="140"/>
      <c r="F9" s="124"/>
      <c r="G9" s="125"/>
      <c r="H9" s="126"/>
      <c r="K9" s="201"/>
    </row>
    <row r="10" spans="2:13" ht="18" customHeight="1" x14ac:dyDescent="0.3">
      <c r="B10" s="121"/>
      <c r="C10" s="125" t="s">
        <v>9</v>
      </c>
      <c r="D10" s="141" t="str">
        <f>IF(D4="","",Codes!P14)</f>
        <v/>
      </c>
      <c r="E10" s="142"/>
      <c r="F10" s="124"/>
      <c r="G10" s="125"/>
      <c r="H10" s="126"/>
    </row>
    <row r="11" spans="2:13" ht="18" customHeight="1" x14ac:dyDescent="0.3">
      <c r="B11" s="121"/>
      <c r="C11" s="143" t="s">
        <v>10</v>
      </c>
      <c r="D11" s="144"/>
      <c r="E11" s="124"/>
      <c r="F11" s="124"/>
      <c r="G11" s="125"/>
      <c r="H11" s="126"/>
      <c r="I11" s="198" t="str">
        <f>IF(D11&gt;D10, "Error","")</f>
        <v/>
      </c>
    </row>
    <row r="12" spans="2:13" ht="18" customHeight="1" x14ac:dyDescent="0.3">
      <c r="B12" s="121"/>
      <c r="C12" s="143" t="s">
        <v>11</v>
      </c>
      <c r="D12" s="145"/>
      <c r="E12" s="124"/>
      <c r="F12" s="124"/>
      <c r="G12" s="125"/>
      <c r="H12" s="126"/>
      <c r="I12" s="198" t="str">
        <f ca="1">IF(D12=Codes!C2,"",IF(D8=1,"Payment can only be made by lump sum",""))</f>
        <v/>
      </c>
    </row>
    <row r="13" spans="2:13" ht="18" customHeight="1" x14ac:dyDescent="0.3">
      <c r="B13" s="121"/>
      <c r="C13" s="143" t="str">
        <f>IF(D12="Regular contributions","Regular payments over how many years?","")</f>
        <v/>
      </c>
      <c r="D13" s="146"/>
      <c r="E13" s="124"/>
      <c r="F13" s="124"/>
      <c r="G13" s="125"/>
      <c r="H13" s="126"/>
      <c r="I13" s="198" t="str">
        <f ca="1">IF(OR(D13="",D8="", D8&lt;2),"",IF(D13&gt;(D8-1),"Error",""))</f>
        <v/>
      </c>
    </row>
    <row r="14" spans="2:13" ht="18" customHeight="1" x14ac:dyDescent="0.3">
      <c r="B14" s="121"/>
      <c r="C14" s="143" t="s">
        <v>12</v>
      </c>
      <c r="D14" s="147"/>
      <c r="E14" s="124"/>
      <c r="F14" s="124"/>
      <c r="G14" s="125"/>
      <c r="H14" s="126"/>
      <c r="I14" s="198" t="str">
        <f ca="1">IF(D8&lt;2,"",IF(I13="Error","Payments can be made over a maximum of "&amp;D8-1&amp;" years",""))</f>
        <v/>
      </c>
    </row>
    <row r="15" spans="2:13" ht="18" customHeight="1" thickBot="1" x14ac:dyDescent="0.35">
      <c r="B15" s="148"/>
      <c r="C15" s="149"/>
      <c r="D15" s="150"/>
      <c r="E15" s="151"/>
      <c r="F15" s="151"/>
      <c r="G15" s="152"/>
      <c r="H15" s="153"/>
    </row>
    <row r="16" spans="2:13" ht="13.5" customHeight="1" thickBot="1" x14ac:dyDescent="0.35">
      <c r="B16" s="120"/>
      <c r="D16" s="120"/>
      <c r="E16" s="120"/>
      <c r="F16" s="120"/>
      <c r="G16" s="120"/>
      <c r="H16" s="120"/>
      <c r="I16" s="120"/>
      <c r="J16" s="120"/>
      <c r="K16" s="202"/>
      <c r="L16" s="203"/>
    </row>
    <row r="17" spans="2:12" ht="21.75" x14ac:dyDescent="0.35">
      <c r="B17" s="154"/>
      <c r="C17" s="155" t="s">
        <v>13</v>
      </c>
      <c r="D17" s="156"/>
      <c r="E17" s="157"/>
      <c r="F17" s="158"/>
      <c r="G17" s="159"/>
      <c r="H17" s="160"/>
      <c r="K17" s="166"/>
      <c r="L17" s="166"/>
    </row>
    <row r="18" spans="2:12" s="166" customFormat="1" ht="29.1" customHeight="1" x14ac:dyDescent="0.35">
      <c r="B18" s="204" t="str">
        <f ca="1">IF($D$12=Codes!$C$2,"A lump sum payment of:-",IF($D$12=Codes!$C$3,"Monthly payment amount:-",""))</f>
        <v/>
      </c>
      <c r="C18" s="205"/>
      <c r="D18" s="161" t="str">
        <f ca="1">IF(ISERROR(Codes!J20),"",IF(OR($D$11="",Codes!J20="",$I$11="Error",$I$7="Error"),"",ROUND(($D$11/250)*Codes!J20,2)))</f>
        <v/>
      </c>
      <c r="E18" s="162"/>
      <c r="F18" s="163"/>
      <c r="G18" s="164"/>
      <c r="H18" s="165"/>
      <c r="I18" s="198"/>
      <c r="J18" s="198"/>
    </row>
    <row r="19" spans="2:12" s="166" customFormat="1" ht="29.1" customHeight="1" x14ac:dyDescent="0.35">
      <c r="B19" s="204" t="str">
        <f>IF(D12="Regular contributions","Annual payment amount:-","")</f>
        <v/>
      </c>
      <c r="C19" s="205"/>
      <c r="D19" s="161" t="str">
        <f>IF(OR(D12="",D12="Lump sum",D11="",D13="",D14=""),"",IF(D12="Regular contributions",D18*12,""))</f>
        <v/>
      </c>
      <c r="E19" s="167"/>
      <c r="F19" s="168"/>
      <c r="G19" s="169"/>
      <c r="H19" s="170"/>
      <c r="I19" s="198"/>
    </row>
    <row r="20" spans="2:12" s="166" customFormat="1" ht="29.1" customHeight="1" thickBot="1" x14ac:dyDescent="0.4">
      <c r="B20" s="206" t="str">
        <f>IF(D12="Regular contributions","Total amount payable over selected period:-","")</f>
        <v/>
      </c>
      <c r="C20" s="207"/>
      <c r="D20" s="171" t="str">
        <f>IF(OR(D12="",D12="Lump sum",D13="",D14="",D11=""),"",IF(D12="Regular contributions",D19*D13,""))</f>
        <v/>
      </c>
      <c r="E20" s="172"/>
      <c r="F20" s="173"/>
      <c r="G20" s="174"/>
      <c r="H20" s="175"/>
    </row>
    <row r="21" spans="2:12" ht="21.6" customHeight="1" x14ac:dyDescent="0.35">
      <c r="B21" s="208" t="s">
        <v>14</v>
      </c>
      <c r="C21" s="208"/>
      <c r="D21" s="208"/>
      <c r="E21" s="208"/>
      <c r="F21" s="208"/>
      <c r="G21" s="208"/>
      <c r="H21" s="208"/>
      <c r="I21" s="120"/>
      <c r="K21" s="166"/>
    </row>
    <row r="22" spans="2:12" x14ac:dyDescent="0.3">
      <c r="B22" s="208"/>
      <c r="C22" s="208"/>
      <c r="D22" s="208"/>
      <c r="E22" s="208"/>
      <c r="F22" s="208"/>
      <c r="G22" s="208"/>
      <c r="H22" s="208"/>
      <c r="I22" s="120"/>
    </row>
    <row r="23" spans="2:12" x14ac:dyDescent="0.3">
      <c r="I23"/>
      <c r="K23" s="120" t="s">
        <v>205</v>
      </c>
    </row>
    <row r="24" spans="2:12" ht="12.75" customHeight="1" x14ac:dyDescent="0.3"/>
  </sheetData>
  <sheetProtection algorithmName="SHA-512" hashValue="YXslv9R8oICWx7lDEADZQs0yk+9FvQ15Nqgy94bja1V/fXScz4qdIzdwot5SSbIiHrZAGL99PdBZp56Qd0spCw==" saltValue="hJivbeSuLK5WlpYPMVhOQA==" spinCount="100000" sheet="1" formatRows="0" insertRows="0" selectLockedCells="1"/>
  <mergeCells count="5">
    <mergeCell ref="B19:C19"/>
    <mergeCell ref="B20:C20"/>
    <mergeCell ref="B18:C18"/>
    <mergeCell ref="C2:G2"/>
    <mergeCell ref="B21:H22"/>
  </mergeCells>
  <conditionalFormatting sqref="D4:D5">
    <cfRule type="expression" dxfId="59" priority="1" stopIfTrue="1">
      <formula>OR($I$8="Error",$I$6&lt;&gt;"")</formula>
    </cfRule>
  </conditionalFormatting>
  <conditionalFormatting sqref="D11">
    <cfRule type="expression" dxfId="58" priority="17" stopIfTrue="1">
      <formula>$I$11="Error"</formula>
    </cfRule>
  </conditionalFormatting>
  <conditionalFormatting sqref="D13">
    <cfRule type="expression" dxfId="57" priority="13" stopIfTrue="1">
      <formula>$I$13="Error"</formula>
    </cfRule>
    <cfRule type="expression" dxfId="56" priority="146" stopIfTrue="1">
      <formula>OR($D$12="",$D$12="Lump Sum",$D$8=1)</formula>
    </cfRule>
  </conditionalFormatting>
  <conditionalFormatting sqref="D6:E6">
    <cfRule type="expression" dxfId="55" priority="21" stopIfTrue="1">
      <formula>$D$4=""</formula>
    </cfRule>
  </conditionalFormatting>
  <conditionalFormatting sqref="F6:G6">
    <cfRule type="expression" dxfId="54" priority="70" stopIfTrue="1">
      <formula>OR($F$6="",$F$6=0)</formula>
    </cfRule>
    <cfRule type="expression" dxfId="53" priority="130" stopIfTrue="1">
      <formula>$D$6=68</formula>
    </cfRule>
  </conditionalFormatting>
  <conditionalFormatting sqref="I4 I11">
    <cfRule type="expression" dxfId="52" priority="18" stopIfTrue="1">
      <formula>$I4="Error"</formula>
    </cfRule>
  </conditionalFormatting>
  <conditionalFormatting sqref="I7">
    <cfRule type="expression" dxfId="51" priority="7" stopIfTrue="1">
      <formula>$I7="Error"</formula>
    </cfRule>
  </conditionalFormatting>
  <conditionalFormatting sqref="I13">
    <cfRule type="expression" dxfId="50" priority="14" stopIfTrue="1">
      <formula>$I13="Error"</formula>
    </cfRule>
  </conditionalFormatting>
  <dataValidations count="6">
    <dataValidation type="list" allowBlank="1" showInputMessage="1" showErrorMessage="1" sqref="D12" xr:uid="{8741A44A-D915-48B7-8F8D-D15EAD79FECD}">
      <formula1>Payment_type</formula1>
    </dataValidation>
    <dataValidation type="list" allowBlank="1" showInputMessage="1" showErrorMessage="1" sqref="D14" xr:uid="{31B8DC5E-92B4-4D73-8A47-99401F84CCCF}">
      <formula1>Form_of_AP</formula1>
    </dataValidation>
    <dataValidation type="date" allowBlank="1" showInputMessage="1" showErrorMessage="1" error="This DOB is outwith the age range for scheme membership" sqref="D4" xr:uid="{375B454E-5D4B-42A2-ABB7-8EA0CBA6D3D2}">
      <formula1>Oldest_allowed</formula1>
      <formula2>Youngest_allowed</formula2>
    </dataValidation>
    <dataValidation type="list" allowBlank="1" showInputMessage="1" showErrorMessage="1" sqref="D13" xr:uid="{171E060B-4858-4E1D-ACEB-CB0C32985414}">
      <formula1>Contribution_period</formula1>
    </dataValidation>
    <dataValidation type="list" allowBlank="1" showDropDown="1" showInputMessage="1" showErrorMessage="1" sqref="J8" xr:uid="{E65A0A46-B24A-4335-A331-C2E454AF563F}">
      <formula1>Yes_No</formula1>
    </dataValidation>
    <dataValidation type="date" operator="greaterThanOrEqual" allowBlank="1" showInputMessage="1" showErrorMessage="1" error="Retrospective date of election is not allowed " sqref="D5" xr:uid="{45E26019-9726-4D23-B136-5D6597ADF14B}">
      <formula1>TODAY()</formula1>
    </dataValidation>
  </dataValidations>
  <pageMargins left="0.7" right="0.7" top="0.75" bottom="0.75" header="0.3" footer="0.3"/>
  <pageSetup paperSize="9" scale="81" orientation="portrait" r:id="rId1"/>
  <colBreaks count="1" manualBreakCount="1">
    <brk id="8" max="1048575" man="1"/>
  </colBreaks>
  <drawing r:id="rId2"/>
  <extLst>
    <ext xmlns:x14="http://schemas.microsoft.com/office/spreadsheetml/2009/9/main" uri="{CCE6A557-97BC-4b89-ADB6-D9C93CAAB3DF}">
      <x14:dataValidations xmlns:xm="http://schemas.microsoft.com/office/excel/2006/main" count="1">
        <x14:dataValidation type="list" showInputMessage="1" showErrorMessage="1" xr:uid="{25168446-D6EC-4348-9D42-AF6C34FE7D64}">
          <x14:formula1>
            <xm:f>Codes!$C$13:$C$50</xm:f>
          </x14:formula1>
          <xm:sqref>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B42D3-EC32-48E4-996E-3A7F83A7F91C}">
  <sheetPr codeName="Sheet14"/>
  <dimension ref="C2:G20"/>
  <sheetViews>
    <sheetView workbookViewId="0">
      <selection activeCell="H3" sqref="H3"/>
    </sheetView>
  </sheetViews>
  <sheetFormatPr defaultRowHeight="12.75" x14ac:dyDescent="0.2"/>
  <cols>
    <col min="3" max="4" width="12" customWidth="1"/>
    <col min="5" max="5" width="49" customWidth="1"/>
    <col min="6" max="6" width="12" customWidth="1"/>
    <col min="7" max="7" width="18.140625" customWidth="1"/>
  </cols>
  <sheetData>
    <row r="2" spans="3:7" ht="13.5" thickBot="1" x14ac:dyDescent="0.25"/>
    <row r="3" spans="3:7" ht="45.75" thickBot="1" x14ac:dyDescent="0.25">
      <c r="C3" s="96" t="s">
        <v>15</v>
      </c>
      <c r="D3" s="97" t="s">
        <v>16</v>
      </c>
      <c r="E3" s="97" t="s">
        <v>17</v>
      </c>
      <c r="F3" s="97" t="s">
        <v>18</v>
      </c>
      <c r="G3" s="97" t="s">
        <v>19</v>
      </c>
    </row>
    <row r="4" spans="3:7" ht="15.75" thickBot="1" x14ac:dyDescent="0.25">
      <c r="C4" s="98" t="s">
        <v>20</v>
      </c>
      <c r="D4" s="99">
        <v>2015</v>
      </c>
      <c r="E4" s="100" t="s">
        <v>21</v>
      </c>
      <c r="F4" s="100" t="s">
        <v>22</v>
      </c>
      <c r="G4" s="100" t="s">
        <v>23</v>
      </c>
    </row>
    <row r="5" spans="3:7" ht="15.75" thickBot="1" x14ac:dyDescent="0.25">
      <c r="C5" s="98" t="s">
        <v>24</v>
      </c>
      <c r="D5" s="99">
        <v>1995</v>
      </c>
      <c r="E5" s="100" t="s">
        <v>25</v>
      </c>
      <c r="F5" s="100" t="s">
        <v>26</v>
      </c>
      <c r="G5" s="100" t="s">
        <v>27</v>
      </c>
    </row>
    <row r="6" spans="3:7" ht="15.75" thickBot="1" x14ac:dyDescent="0.25">
      <c r="C6" s="98" t="s">
        <v>28</v>
      </c>
      <c r="D6" s="99">
        <v>1995</v>
      </c>
      <c r="E6" s="100" t="s">
        <v>29</v>
      </c>
      <c r="F6" s="100" t="s">
        <v>30</v>
      </c>
      <c r="G6" s="100" t="s">
        <v>27</v>
      </c>
    </row>
    <row r="7" spans="3:7" ht="15.75" thickBot="1" x14ac:dyDescent="0.25">
      <c r="C7" s="98" t="s">
        <v>31</v>
      </c>
      <c r="D7" s="99">
        <v>2008</v>
      </c>
      <c r="E7" s="100" t="s">
        <v>32</v>
      </c>
      <c r="F7" s="100" t="s">
        <v>33</v>
      </c>
      <c r="G7" s="100" t="s">
        <v>34</v>
      </c>
    </row>
    <row r="8" spans="3:7" ht="15.75" thickBot="1" x14ac:dyDescent="0.25">
      <c r="C8" s="98" t="s">
        <v>35</v>
      </c>
      <c r="D8" s="99">
        <v>2008</v>
      </c>
      <c r="E8" s="100" t="s">
        <v>36</v>
      </c>
      <c r="F8" s="100" t="s">
        <v>37</v>
      </c>
      <c r="G8" s="100" t="s">
        <v>34</v>
      </c>
    </row>
    <row r="9" spans="3:7" ht="15.75" thickBot="1" x14ac:dyDescent="0.25">
      <c r="C9" s="98" t="s">
        <v>38</v>
      </c>
      <c r="D9" s="99">
        <v>1995</v>
      </c>
      <c r="E9" s="100" t="s">
        <v>39</v>
      </c>
      <c r="F9" s="100" t="s">
        <v>40</v>
      </c>
      <c r="G9" s="100" t="s">
        <v>41</v>
      </c>
    </row>
    <row r="10" spans="3:7" ht="15.75" thickBot="1" x14ac:dyDescent="0.25">
      <c r="C10" s="98" t="s">
        <v>42</v>
      </c>
      <c r="D10" s="99">
        <v>1995</v>
      </c>
      <c r="E10" s="100" t="s">
        <v>43</v>
      </c>
      <c r="F10" s="100" t="s">
        <v>44</v>
      </c>
      <c r="G10" s="100" t="s">
        <v>41</v>
      </c>
    </row>
    <row r="11" spans="3:7" ht="15.75" thickBot="1" x14ac:dyDescent="0.25">
      <c r="C11" s="98" t="s">
        <v>45</v>
      </c>
      <c r="D11" s="99">
        <v>2008</v>
      </c>
      <c r="E11" s="100" t="s">
        <v>46</v>
      </c>
      <c r="F11" s="100" t="s">
        <v>47</v>
      </c>
      <c r="G11" s="100" t="s">
        <v>41</v>
      </c>
    </row>
    <row r="12" spans="3:7" ht="15.75" thickBot="1" x14ac:dyDescent="0.25">
      <c r="C12" s="98" t="s">
        <v>48</v>
      </c>
      <c r="D12" s="99">
        <v>2008</v>
      </c>
      <c r="E12" s="100" t="s">
        <v>49</v>
      </c>
      <c r="F12" s="100" t="s">
        <v>50</v>
      </c>
      <c r="G12" s="100" t="s">
        <v>41</v>
      </c>
    </row>
    <row r="13" spans="3:7" ht="15.75" thickBot="1" x14ac:dyDescent="0.25">
      <c r="C13" s="98" t="s">
        <v>51</v>
      </c>
      <c r="D13" s="99">
        <v>2015</v>
      </c>
      <c r="E13" s="100" t="s">
        <v>52</v>
      </c>
      <c r="F13" s="100" t="s">
        <v>53</v>
      </c>
      <c r="G13" s="100" t="s">
        <v>54</v>
      </c>
    </row>
    <row r="14" spans="3:7" ht="15.75" thickBot="1" x14ac:dyDescent="0.25">
      <c r="C14" s="98" t="s">
        <v>55</v>
      </c>
      <c r="D14" s="99">
        <v>2015</v>
      </c>
      <c r="E14" s="100" t="s">
        <v>56</v>
      </c>
      <c r="F14" s="100" t="s">
        <v>57</v>
      </c>
      <c r="G14" s="100" t="s">
        <v>58</v>
      </c>
    </row>
    <row r="15" spans="3:7" ht="15.75" thickBot="1" x14ac:dyDescent="0.25">
      <c r="C15" s="98" t="s">
        <v>59</v>
      </c>
      <c r="D15" s="99">
        <v>2015</v>
      </c>
      <c r="E15" s="100" t="s">
        <v>60</v>
      </c>
      <c r="F15" s="100" t="s">
        <v>61</v>
      </c>
      <c r="G15" s="100" t="s">
        <v>62</v>
      </c>
    </row>
    <row r="16" spans="3:7" ht="15.75" thickBot="1" x14ac:dyDescent="0.25">
      <c r="C16" s="98" t="s">
        <v>63</v>
      </c>
      <c r="D16" s="99">
        <v>2015</v>
      </c>
      <c r="E16" s="100" t="s">
        <v>64</v>
      </c>
      <c r="F16" s="100" t="s">
        <v>65</v>
      </c>
      <c r="G16" s="100" t="s">
        <v>66</v>
      </c>
    </row>
    <row r="17" spans="3:7" ht="15.75" thickBot="1" x14ac:dyDescent="0.25">
      <c r="C17" s="98" t="s">
        <v>67</v>
      </c>
      <c r="D17" s="99">
        <v>2015</v>
      </c>
      <c r="E17" s="100" t="s">
        <v>68</v>
      </c>
      <c r="F17" s="100" t="s">
        <v>69</v>
      </c>
      <c r="G17" s="100" t="s">
        <v>54</v>
      </c>
    </row>
    <row r="18" spans="3:7" ht="15.75" thickBot="1" x14ac:dyDescent="0.25">
      <c r="C18" s="98" t="s">
        <v>70</v>
      </c>
      <c r="D18" s="99">
        <v>2015</v>
      </c>
      <c r="E18" s="100" t="s">
        <v>71</v>
      </c>
      <c r="F18" s="100" t="s">
        <v>72</v>
      </c>
      <c r="G18" s="100" t="s">
        <v>58</v>
      </c>
    </row>
    <row r="19" spans="3:7" ht="15.75" thickBot="1" x14ac:dyDescent="0.25">
      <c r="C19" s="98" t="s">
        <v>73</v>
      </c>
      <c r="D19" s="99">
        <v>2015</v>
      </c>
      <c r="E19" s="100" t="s">
        <v>74</v>
      </c>
      <c r="F19" s="100" t="s">
        <v>75</v>
      </c>
      <c r="G19" s="100" t="s">
        <v>62</v>
      </c>
    </row>
    <row r="20" spans="3:7" ht="15.75" thickBot="1" x14ac:dyDescent="0.25">
      <c r="C20" s="98" t="s">
        <v>76</v>
      </c>
      <c r="D20" s="99">
        <v>2015</v>
      </c>
      <c r="E20" s="100" t="s">
        <v>77</v>
      </c>
      <c r="F20" s="100" t="s">
        <v>78</v>
      </c>
      <c r="G20" s="100"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71813-2B80-4746-B62E-F8F268B6570B}">
  <sheetPr codeName="Sheet2"/>
  <dimension ref="A1:S1638"/>
  <sheetViews>
    <sheetView workbookViewId="0">
      <selection activeCell="F18" sqref="F18"/>
    </sheetView>
  </sheetViews>
  <sheetFormatPr defaultRowHeight="12.75" x14ac:dyDescent="0.2"/>
  <cols>
    <col min="1" max="1" width="9.140625" style="23" customWidth="1"/>
    <col min="2" max="2" width="15.42578125" style="6" customWidth="1"/>
    <col min="3" max="3" width="19.85546875" style="6" customWidth="1"/>
    <col min="4" max="4" width="23.140625" style="6" customWidth="1"/>
    <col min="5" max="5" width="16.7109375" style="6" bestFit="1" customWidth="1"/>
    <col min="6" max="6" width="16.7109375" style="6" customWidth="1"/>
    <col min="7" max="7" width="8.7109375" style="6" customWidth="1"/>
    <col min="8" max="8" width="11.140625" style="6" customWidth="1"/>
    <col min="9" max="9" width="61.140625" style="6" bestFit="1" customWidth="1"/>
    <col min="10" max="10" width="13.140625" style="6" bestFit="1" customWidth="1"/>
    <col min="11" max="11" width="2.42578125" style="6" customWidth="1"/>
    <col min="12" max="12" width="3.7109375" customWidth="1"/>
    <col min="13" max="13" width="17.85546875" customWidth="1"/>
    <col min="15" max="15" width="18" customWidth="1"/>
    <col min="16" max="16" width="18.5703125" customWidth="1"/>
    <col min="17" max="17" width="4" customWidth="1"/>
    <col min="18" max="18" width="20.85546875" bestFit="1" customWidth="1"/>
    <col min="19" max="19" width="18" bestFit="1" customWidth="1"/>
  </cols>
  <sheetData>
    <row r="1" spans="1:19" s="1" customFormat="1" ht="17.25" thickTop="1" thickBot="1" x14ac:dyDescent="0.3">
      <c r="A1" s="87" t="s">
        <v>134</v>
      </c>
      <c r="B1" s="2" t="s">
        <v>79</v>
      </c>
      <c r="C1" s="67" t="s">
        <v>80</v>
      </c>
      <c r="D1" s="67" t="s">
        <v>81</v>
      </c>
      <c r="E1" s="67" t="s">
        <v>82</v>
      </c>
      <c r="F1" s="74" t="s">
        <v>83</v>
      </c>
      <c r="G1" s="7"/>
      <c r="H1" s="35"/>
      <c r="I1" s="37" t="s">
        <v>84</v>
      </c>
      <c r="J1" s="36"/>
      <c r="K1" s="3"/>
      <c r="L1"/>
      <c r="M1"/>
      <c r="N1"/>
      <c r="O1"/>
      <c r="P1"/>
      <c r="Q1"/>
      <c r="R1"/>
      <c r="S1"/>
    </row>
    <row r="2" spans="1:19" x14ac:dyDescent="0.2">
      <c r="B2" s="4">
        <f ca="1">TODAY()-365.25*85</f>
        <v>15247.75</v>
      </c>
      <c r="C2" s="63" t="s">
        <v>23</v>
      </c>
      <c r="D2" s="71" t="s">
        <v>85</v>
      </c>
      <c r="E2" s="63">
        <v>60</v>
      </c>
      <c r="F2" s="6" t="str">
        <f>IF(Codes!A1=60,"S60",IF(Codes!A1=65,"S65",IF(Codes!A1="SPA","S","")))</f>
        <v>S</v>
      </c>
      <c r="G2" s="7"/>
      <c r="H2" s="24" t="s">
        <v>86</v>
      </c>
      <c r="I2" s="30"/>
      <c r="J2" s="25" t="str">
        <f>IF('Contributions calculator'!D14=Codes!D2,VLOOKUP('Contributions calculator'!D7,'Lump Sum'!B9:D60,2,FALSE),IF('Contributions calculator'!D14=Codes!D3,VLOOKUP('Contributions calculator'!D7,'Lump Sum'!B9:D60,3,FALSE),""))</f>
        <v/>
      </c>
      <c r="K2" s="4"/>
    </row>
    <row r="3" spans="1:19" ht="13.5" thickBot="1" x14ac:dyDescent="0.25">
      <c r="B3" s="4">
        <f ca="1">TODAY()-365.25*16</f>
        <v>40450</v>
      </c>
      <c r="C3" s="65" t="str">
        <f ca="1">IF(OR('Contributions calculator'!D8=0,'Contributions calculator'!D8=1),"","Regular contributions")</f>
        <v>Regular contributions</v>
      </c>
      <c r="D3" s="72" t="s">
        <v>87</v>
      </c>
      <c r="E3" s="64">
        <v>65</v>
      </c>
      <c r="G3" s="7"/>
      <c r="H3" s="24" t="s">
        <v>88</v>
      </c>
      <c r="I3" s="30"/>
      <c r="J3" s="25" t="str">
        <f>IF('Contributions calculator'!D14=Codes!D2,VLOOKUP('Contributions calculator'!D7,'Lump Sum'!F9:H60,2,FALSE),IF('Contributions calculator'!D14=Codes!D3,VLOOKUP('Contributions calculator'!D7,'Lump Sum'!F9:H60,3,FALSE),""))</f>
        <v/>
      </c>
      <c r="K3" s="4"/>
    </row>
    <row r="4" spans="1:19" ht="13.5" thickBot="1" x14ac:dyDescent="0.25">
      <c r="C4" s="5"/>
      <c r="E4" s="65" t="s">
        <v>89</v>
      </c>
      <c r="H4" s="24" t="s">
        <v>90</v>
      </c>
      <c r="I4" s="30" t="s">
        <v>91</v>
      </c>
      <c r="J4" s="25" t="str">
        <f>IF('Contributions calculator'!D14=Codes!D2,VLOOKUP('Contributions calculator'!D7,'Lump Sum'!J9:L60,2,FALSE),IF('Contributions calculator'!D14=Codes!D3,VLOOKUP('Contributions calculator'!D7,'Lump Sum'!J9:L60,3,FALSE),""))</f>
        <v/>
      </c>
      <c r="K4" s="4"/>
    </row>
    <row r="5" spans="1:19" ht="13.5" thickBot="1" x14ac:dyDescent="0.25">
      <c r="H5" s="24" t="s">
        <v>92</v>
      </c>
      <c r="I5" s="30" t="s">
        <v>93</v>
      </c>
      <c r="J5" s="25" t="e">
        <f>INDEX('NRA60 (1995)'!$W$6:$AQ$58,MATCH('Contributions calculator'!$D$7,'NRA60 (1995)'!$W$6:$W$58,0),MATCH('Contributions calculator'!$D$13,'NRA60 (1995)'!$W$6:$AQ$6,0))</f>
        <v>#N/A</v>
      </c>
      <c r="K5" s="4"/>
    </row>
    <row r="6" spans="1:19" ht="13.5" thickBot="1" x14ac:dyDescent="0.25">
      <c r="B6" s="67" t="s">
        <v>94</v>
      </c>
      <c r="C6" s="67" t="s">
        <v>95</v>
      </c>
      <c r="D6" s="67" t="s">
        <v>96</v>
      </c>
      <c r="E6" s="209" t="s">
        <v>97</v>
      </c>
      <c r="F6" s="210"/>
      <c r="H6" s="24" t="s">
        <v>98</v>
      </c>
      <c r="I6" s="30" t="s">
        <v>99</v>
      </c>
      <c r="J6" s="25" t="e">
        <f>INDEX('NRA65 (2008)'!$W$6:$AQ$58,MATCH('Contributions calculator'!$D$7,'NRA65 (2008)'!$W$6:$W$58,0),MATCH('Contributions calculator'!$D$13,'NRA65 (2008)'!$W$6:$AQ$6,0))</f>
        <v>#N/A</v>
      </c>
      <c r="K6" s="4"/>
    </row>
    <row r="7" spans="1:19" x14ac:dyDescent="0.2">
      <c r="B7" s="71" t="s">
        <v>100</v>
      </c>
      <c r="C7" s="63">
        <v>0</v>
      </c>
      <c r="D7" s="81">
        <v>0</v>
      </c>
      <c r="E7" s="71" t="s">
        <v>101</v>
      </c>
      <c r="F7" s="81" t="s">
        <v>4</v>
      </c>
      <c r="H7" s="24" t="s">
        <v>102</v>
      </c>
      <c r="I7" s="30" t="s">
        <v>103</v>
      </c>
      <c r="J7" s="25" t="e">
        <f>INDEX('NRA65 (CARE)'!$W$6:$AQ$59,MATCH('Contributions calculator'!$D$7,'NRA65 (CARE)'!$W$6:$W$59,0),MATCH('Contributions calculator'!$D$13,'NRA65 (CARE)'!$W$6:$AQ$6,0))</f>
        <v>#N/A</v>
      </c>
      <c r="K7" s="4"/>
    </row>
    <row r="8" spans="1:19" ht="13.5" thickBot="1" x14ac:dyDescent="0.25">
      <c r="B8" s="72" t="s">
        <v>104</v>
      </c>
      <c r="C8" s="64" t="str">
        <f ca="1">IF(OR('Contributions calculator'!D6=66,'Contributions calculator'!D6=67,'Contributions calculator'!D6=68),1,"")</f>
        <v/>
      </c>
      <c r="D8" s="82">
        <f ca="1">'Contributions calculator'!F6</f>
        <v>0</v>
      </c>
      <c r="E8" s="72">
        <f ca="1">IF(Codes!A1=60,60,IF(Codes!A1=65,65,IF(OR(Codes!A1="SPA",Codes!A1=""),'Contributions calculator'!D6,"")))</f>
        <v>65</v>
      </c>
      <c r="F8" s="82">
        <f ca="1">IF(Codes!A1=60,0,IF(Codes!A1=65,0,IF(Codes!A1="SPA",'Contributions calculator'!F6,"")))</f>
        <v>0</v>
      </c>
      <c r="H8" s="24" t="s">
        <v>105</v>
      </c>
      <c r="I8" s="30" t="s">
        <v>106</v>
      </c>
      <c r="J8" s="25" t="e">
        <f>INDEX('NRA66 (CARE)'!$W$6:$AQ$59,MATCH('Contributions calculator'!$D$7,'NRA66 (CARE)'!$W$6:$W$59,0),MATCH('Contributions calculator'!$D$13,'NRA66 (CARE)'!$W$6:$AQ$6,0))</f>
        <v>#N/A</v>
      </c>
      <c r="K8" s="4"/>
    </row>
    <row r="9" spans="1:19" ht="13.5" thickBot="1" x14ac:dyDescent="0.25">
      <c r="C9" s="64" t="str">
        <f ca="1">IF(OR('Contributions calculator'!D6=67,'Contributions calculator'!D6=68),2,"")</f>
        <v/>
      </c>
      <c r="H9" s="24" t="s">
        <v>107</v>
      </c>
      <c r="I9" s="30" t="s">
        <v>108</v>
      </c>
      <c r="J9" s="25" t="e">
        <f>INDEX('NRA67 (CARE)'!$W$6:$AQ$59,MATCH('Contributions calculator'!$D$7,'NRA67 (CARE)'!$W$6:$W$59,0),MATCH('Contributions calculator'!$D$13,'NRA67 (CARE)'!$W$6:$AQ$6,0))</f>
        <v>#N/A</v>
      </c>
      <c r="K9" s="4"/>
    </row>
    <row r="10" spans="1:19" ht="13.5" thickBot="1" x14ac:dyDescent="0.25">
      <c r="C10" s="65" t="str">
        <f ca="1">IF(OR('Contributions calculator'!D6=68),3,"")</f>
        <v/>
      </c>
      <c r="E10" s="95" t="str">
        <f>Codes!A1</f>
        <v>SPA</v>
      </c>
      <c r="H10" s="24" t="s">
        <v>109</v>
      </c>
      <c r="I10" s="30" t="s">
        <v>110</v>
      </c>
      <c r="J10" s="25" t="e">
        <f>INDEX('NRA68 (CARE)'!$W$6:$AQ$59,MATCH('Contributions calculator'!$D$7,'NRA68 (CARE)'!$W$6:$W$59,0),MATCH('Contributions calculator'!$D$13,'NRA68 (CARE)'!$W$6:$AQ$6,0))</f>
        <v>#N/A</v>
      </c>
      <c r="K10" s="4"/>
    </row>
    <row r="11" spans="1:19" ht="17.25" thickTop="1" thickBot="1" x14ac:dyDescent="0.3">
      <c r="H11" s="24" t="s">
        <v>111</v>
      </c>
      <c r="I11" s="30" t="s">
        <v>112</v>
      </c>
      <c r="J11" s="25" t="e">
        <f>INDEX('NRA60 (1995)'!$A$6:$U$58,MATCH('Contributions calculator'!$D$7,'NRA60 (1995)'!$A$6:$A$58,0),MATCH('Contributions calculator'!$D$13,'NRA60 (1995)'!$A$6:$U$6,0))</f>
        <v>#N/A</v>
      </c>
      <c r="K11" s="4"/>
      <c r="M11" s="58" t="s">
        <v>113</v>
      </c>
      <c r="N11" s="58"/>
      <c r="O11" s="58"/>
      <c r="P11" s="58"/>
    </row>
    <row r="12" spans="1:19" ht="17.25" thickTop="1" thickBot="1" x14ac:dyDescent="0.3">
      <c r="B12" s="37" t="s">
        <v>114</v>
      </c>
      <c r="C12" s="117" t="s">
        <v>115</v>
      </c>
      <c r="D12" s="37" t="s">
        <v>116</v>
      </c>
      <c r="H12" s="24" t="s">
        <v>98</v>
      </c>
      <c r="I12" s="30" t="s">
        <v>117</v>
      </c>
      <c r="J12" s="25" t="e">
        <f>INDEX('NRA65 (2008)'!$A$6:$U$58,MATCH('Contributions calculator'!$D$7,'NRA65 (2008)'!$A$6:$A$58,0),MATCH('Contributions calculator'!$D$13,'NRA65 (2008)'!$A$6:$U$6,0))</f>
        <v>#N/A</v>
      </c>
      <c r="K12" s="4"/>
      <c r="M12" s="56" t="s">
        <v>118</v>
      </c>
      <c r="N12" s="57"/>
      <c r="O12" s="57"/>
      <c r="P12" s="89">
        <v>5000</v>
      </c>
    </row>
    <row r="13" spans="1:19" x14ac:dyDescent="0.2">
      <c r="B13" s="59">
        <v>0</v>
      </c>
      <c r="C13" s="60" t="str">
        <f>IF('Contributions calculator'!$D$10="","",250)</f>
        <v/>
      </c>
      <c r="D13" s="63">
        <v>1</v>
      </c>
      <c r="G13"/>
      <c r="H13" s="24" t="s">
        <v>119</v>
      </c>
      <c r="I13" s="30" t="s">
        <v>120</v>
      </c>
      <c r="J13" s="25" t="e">
        <f>INDEX('NRA65 (CARE)'!$A$6:$U$59,MATCH('Contributions calculator'!$D$7,'NRA65 (CARE)'!$A$6:$A$59,0),MATCH('Contributions calculator'!$D$13,'NRA65 (CARE)'!$A$6:$U$6,0))</f>
        <v>#N/A</v>
      </c>
      <c r="K13"/>
      <c r="M13" s="83" t="s">
        <v>121</v>
      </c>
      <c r="N13" s="84"/>
      <c r="O13" s="84"/>
      <c r="P13" s="113">
        <v>9053</v>
      </c>
    </row>
    <row r="14" spans="1:19" ht="13.5" thickBot="1" x14ac:dyDescent="0.25">
      <c r="B14" s="61">
        <f>IF(B13&lt;(Codes!$P$14),Codes!B13+250,"")</f>
        <v>250</v>
      </c>
      <c r="C14" s="62" t="str">
        <f>IF('Contributions calculator'!$D$10="","",IF(C13&lt;('Contributions calculator'!$D$10-249),Codes!C13+250,""))</f>
        <v/>
      </c>
      <c r="D14" s="64">
        <f ca="1">IF(D13="","",IF(Codes!D13+1&lt;'Contributions calculator'!$D$8,Codes!D13+1,""))</f>
        <v>2</v>
      </c>
      <c r="G14"/>
      <c r="H14" s="24" t="s">
        <v>122</v>
      </c>
      <c r="I14" s="30" t="s">
        <v>123</v>
      </c>
      <c r="J14" s="25" t="e">
        <f>INDEX('NRA66 (CARE)'!$A$6:$U$59,MATCH('Contributions calculator'!$D$7,'NRA66 (CARE)'!$A$6:$A$59,0),MATCH('Contributions calculator'!$D$13,'NRA66 (CARE)'!$A$6:$U$6,0))</f>
        <v>#N/A</v>
      </c>
      <c r="K14"/>
      <c r="M14" s="79"/>
      <c r="N14" s="80"/>
      <c r="O14" s="85" t="s">
        <v>124</v>
      </c>
      <c r="P14" s="86">
        <f>IF(OR(Codes!A1=60,Codes!A1=65),Codes!P12,IF(Codes!A1="SPA",Codes!P13,""))</f>
        <v>9053</v>
      </c>
    </row>
    <row r="15" spans="1:19" x14ac:dyDescent="0.2">
      <c r="B15" s="61">
        <f>IF(B14&lt;(Codes!$P$14),Codes!B14+250,"")</f>
        <v>500</v>
      </c>
      <c r="C15" s="62" t="str">
        <f>IF('Contributions calculator'!$D$10="","",IF(C14&lt;('Contributions calculator'!$D$10-249),Codes!C14+250,""))</f>
        <v/>
      </c>
      <c r="D15" s="64">
        <f ca="1">IF(D14="","",IF(Codes!D14+1&lt;'Contributions calculator'!$D$8,Codes!D14+1,""))</f>
        <v>3</v>
      </c>
      <c r="G15"/>
      <c r="H15" s="24" t="s">
        <v>125</v>
      </c>
      <c r="I15" s="30" t="s">
        <v>126</v>
      </c>
      <c r="J15" s="25" t="e">
        <f>INDEX('NRA67 (CARE)'!$A$6:$U$59,MATCH('Contributions calculator'!$D$7,'NRA67 (CARE)'!$A$6:$A$59,0),MATCH('Contributions calculator'!$D$13,'NRA67 (CARE)'!$A$6:$U$6,0))</f>
        <v>#N/A</v>
      </c>
      <c r="K15"/>
    </row>
    <row r="16" spans="1:19" ht="13.5" thickBot="1" x14ac:dyDescent="0.25">
      <c r="B16" s="61">
        <f>IF(B15&lt;(Codes!$P$14),Codes!B15+250,"")</f>
        <v>750</v>
      </c>
      <c r="C16" s="62" t="str">
        <f>IF('Contributions calculator'!$D$10="","",IF(C15&lt;('Contributions calculator'!$D$10-249),Codes!C15+250,""))</f>
        <v/>
      </c>
      <c r="D16" s="64">
        <f ca="1">IF(D15="","",IF(Codes!D15+1&lt;'Contributions calculator'!$D$8,Codes!D15+1,""))</f>
        <v>4</v>
      </c>
      <c r="G16"/>
      <c r="H16" s="26" t="s">
        <v>127</v>
      </c>
      <c r="I16" s="31" t="s">
        <v>128</v>
      </c>
      <c r="J16" s="27" t="e">
        <f>INDEX('NRA68 (CARE)'!$A$6:$U$59,MATCH('Contributions calculator'!$D$7,'NRA68 (CARE)'!$A$6:$A$59,0),MATCH('Contributions calculator'!$D$13,'NRA68 (CARE)'!$A$6:$U$6,0))</f>
        <v>#N/A</v>
      </c>
      <c r="K16"/>
    </row>
    <row r="17" spans="2:11" ht="14.25" thickTop="1" thickBot="1" x14ac:dyDescent="0.25">
      <c r="B17" s="61">
        <f>IF(B16&lt;(Codes!$P$14),Codes!B16+250,"")</f>
        <v>1000</v>
      </c>
      <c r="C17" s="62" t="str">
        <f>IF('Contributions calculator'!$D$10="","",IF(C16&lt;('Contributions calculator'!$D$10-249),Codes!C16+250,""))</f>
        <v/>
      </c>
      <c r="D17" s="64">
        <f ca="1">IF(D16="","",IF(Codes!D16+1&lt;'Contributions calculator'!$D$8,Codes!D16+1,""))</f>
        <v>5</v>
      </c>
      <c r="G17"/>
      <c r="H17" s="4"/>
      <c r="I17" s="4"/>
      <c r="J17" s="4"/>
      <c r="K17"/>
    </row>
    <row r="18" spans="2:11" ht="16.5" thickTop="1" thickBot="1" x14ac:dyDescent="0.3">
      <c r="B18" s="61">
        <f>IF(B17&lt;(Codes!$P$14),Codes!B17+250,"")</f>
        <v>1250</v>
      </c>
      <c r="C18" s="62" t="str">
        <f>IF('Contributions calculator'!$D$10="","",IF(C17&lt;('Contributions calculator'!$D$10-249),Codes!C17+250,""))</f>
        <v/>
      </c>
      <c r="D18" s="64">
        <f ca="1">IF(D17="","",IF(Codes!D17+1&lt;'Contributions calculator'!$D$8,Codes!D17+1,""))</f>
        <v>6</v>
      </c>
      <c r="G18"/>
      <c r="H18" s="28"/>
      <c r="I18" s="66" t="str">
        <f ca="1">IF(AND('Contributions calculator'!D12=C3,'Contributions calculator'!F6&lt;&gt;0),"Relevent tables are "&amp;H27&amp;" &amp; "&amp;H28,"Relevent table is "&amp;H27&amp;"")</f>
        <v>Relevent table is 65</v>
      </c>
      <c r="J18" s="29"/>
      <c r="K18"/>
    </row>
    <row r="19" spans="2:11" ht="14.25" thickTop="1" thickBot="1" x14ac:dyDescent="0.25">
      <c r="B19" s="61">
        <f>IF(B18&lt;(Codes!$P$14),Codes!B18+250,"")</f>
        <v>1500</v>
      </c>
      <c r="C19" s="62" t="str">
        <f>IF('Contributions calculator'!$D$10="","",IF(C18&lt;('Contributions calculator'!$D$10-249),Codes!C18+250,""))</f>
        <v/>
      </c>
      <c r="D19" s="64">
        <f ca="1">IF(D18="","",IF(Codes!D18+1&lt;'Contributions calculator'!$D$8,Codes!D18+1,""))</f>
        <v>7</v>
      </c>
      <c r="G19"/>
      <c r="H19"/>
      <c r="I19"/>
      <c r="J19"/>
      <c r="K19"/>
    </row>
    <row r="20" spans="2:11" ht="21.75" thickTop="1" thickBot="1" x14ac:dyDescent="0.35">
      <c r="B20" s="61">
        <f>IF(B19&lt;(Codes!$P$14),Codes!B19+250,"")</f>
        <v>1750</v>
      </c>
      <c r="C20" s="62" t="str">
        <f>IF('Contributions calculator'!$D$10="","",IF(C19&lt;('Contributions calculator'!$D$10-249),Codes!C19+250,""))</f>
        <v/>
      </c>
      <c r="D20" s="64">
        <f ca="1">IF(D19="","",IF(Codes!D19+1&lt;'Contributions calculator'!$D$8,Codes!D19+1,""))</f>
        <v>8</v>
      </c>
      <c r="G20"/>
      <c r="H20" s="32"/>
      <c r="I20" s="33" t="s">
        <v>129</v>
      </c>
      <c r="J20" s="73" t="e">
        <f ca="1">IF(H28="",I27,((I28-I27)*I25+I27))</f>
        <v>#N/A</v>
      </c>
      <c r="K20"/>
    </row>
    <row r="21" spans="2:11" ht="13.5" thickTop="1" x14ac:dyDescent="0.2">
      <c r="B21" s="61">
        <f>IF(B20&lt;(Codes!$P$14),Codes!B20+250,"")</f>
        <v>2000</v>
      </c>
      <c r="C21" s="62" t="str">
        <f>IF('Contributions calculator'!$D$10="","",IF(C20&lt;('Contributions calculator'!$D$10-249),Codes!C20+250,""))</f>
        <v/>
      </c>
      <c r="D21" s="64">
        <f ca="1">IF(D20="","",IF(Codes!D20+1&lt;'Contributions calculator'!$D$8,Codes!D20+1,""))</f>
        <v>9</v>
      </c>
      <c r="G21"/>
      <c r="I21"/>
      <c r="J21" s="22"/>
      <c r="K21"/>
    </row>
    <row r="22" spans="2:11" ht="15.75" x14ac:dyDescent="0.25">
      <c r="B22" s="61">
        <f>IF(B21&lt;(Codes!$P$14),Codes!B21+250,"")</f>
        <v>2250</v>
      </c>
      <c r="C22" s="62" t="str">
        <f>IF('Contributions calculator'!$D$10="","",IF(C21&lt;('Contributions calculator'!$D$10-249),Codes!C21+250,""))</f>
        <v/>
      </c>
      <c r="D22" s="64">
        <f ca="1">IF(D21="","",IF(Codes!D21+1&lt;'Contributions calculator'!$D$8,Codes!D21+1,""))</f>
        <v>10</v>
      </c>
      <c r="G22"/>
      <c r="H22" s="44"/>
      <c r="I22" s="45" t="s">
        <v>130</v>
      </c>
      <c r="J22" s="46"/>
      <c r="K22"/>
    </row>
    <row r="23" spans="2:11" x14ac:dyDescent="0.2">
      <c r="B23" s="61">
        <f>IF(B22&lt;(Codes!$P$14),Codes!B22+250,"")</f>
        <v>2500</v>
      </c>
      <c r="C23" s="62" t="str">
        <f>IF('Contributions calculator'!$D$10="","",IF(C22&lt;('Contributions calculator'!$D$10-249),Codes!C22+250,""))</f>
        <v/>
      </c>
      <c r="D23" s="64">
        <f ca="1">IF(D22="","",IF(Codes!D22+1&lt;'Contributions calculator'!$D$8,Codes!D22+1,""))</f>
        <v>11</v>
      </c>
      <c r="G23"/>
      <c r="H23" s="38"/>
      <c r="I23" s="8"/>
      <c r="J23" s="39"/>
      <c r="K23"/>
    </row>
    <row r="24" spans="2:11" x14ac:dyDescent="0.2">
      <c r="B24" s="61">
        <f>IF(B23&lt;(Codes!$P$14),Codes!B23+250,"")</f>
        <v>2750</v>
      </c>
      <c r="C24" s="62" t="str">
        <f>IF('Contributions calculator'!$D$10="","",IF(C23&lt;('Contributions calculator'!$D$10-249),Codes!C23+250,""))</f>
        <v/>
      </c>
      <c r="D24" s="64">
        <f ca="1">IF(D23="","",IF(Codes!D23+1&lt;'Contributions calculator'!$D$8,Codes!D23+1,""))</f>
        <v>12</v>
      </c>
      <c r="G24"/>
      <c r="H24" s="38" t="s">
        <v>131</v>
      </c>
      <c r="I24" s="8" t="str">
        <f ca="1">E8&amp;" Years "&amp;F8&amp;" months"</f>
        <v>65 Years 0 months</v>
      </c>
      <c r="J24" s="39"/>
      <c r="K24"/>
    </row>
    <row r="25" spans="2:11" x14ac:dyDescent="0.2">
      <c r="B25" s="61">
        <f>IF(B24&lt;(Codes!$P$14),Codes!B24+250,"")</f>
        <v>3000</v>
      </c>
      <c r="C25" s="62" t="str">
        <f>IF('Contributions calculator'!$D$10="","",IF(C24&lt;('Contributions calculator'!$D$10-249),Codes!C24+250,""))</f>
        <v/>
      </c>
      <c r="D25" s="64">
        <f ca="1">IF(D24="","",IF(Codes!D24+1&lt;'Contributions calculator'!$D$8,Codes!D24+1,""))</f>
        <v>13</v>
      </c>
      <c r="G25" s="23"/>
      <c r="H25" s="38" t="s">
        <v>132</v>
      </c>
      <c r="I25" s="40">
        <f ca="1">'Contributions calculator'!F6/12</f>
        <v>0</v>
      </c>
      <c r="J25" s="41"/>
      <c r="K25"/>
    </row>
    <row r="26" spans="2:11" x14ac:dyDescent="0.2">
      <c r="B26" s="61">
        <f>IF(B25&lt;(Codes!$P$14),Codes!B25+250,"")</f>
        <v>3250</v>
      </c>
      <c r="C26" s="62" t="str">
        <f>IF('Contributions calculator'!$D$10="","",IF(C25&lt;('Contributions calculator'!$D$10-249),Codes!C25+250,""))</f>
        <v/>
      </c>
      <c r="D26" s="64">
        <f ca="1">IF(D25="","",IF(Codes!D25+1&lt;'Contributions calculator'!$D$8,Codes!D25+1,""))</f>
        <v>14</v>
      </c>
      <c r="G26" s="23"/>
      <c r="H26" s="42"/>
      <c r="I26" s="8"/>
      <c r="J26" s="41"/>
      <c r="K26"/>
    </row>
    <row r="27" spans="2:11" x14ac:dyDescent="0.2">
      <c r="B27" s="61">
        <f>IF(B26&lt;(Codes!$P$14),Codes!B26+250,"")</f>
        <v>3500</v>
      </c>
      <c r="C27" s="62" t="str">
        <f>IF('Contributions calculator'!$D$10="","",IF(C26&lt;('Contributions calculator'!$D$10-249),Codes!C26+250,""))</f>
        <v/>
      </c>
      <c r="D27" s="64">
        <f ca="1">IF(D26="","",IF(Codes!D26+1&lt;'Contributions calculator'!$D$8,Codes!D26+1,""))</f>
        <v>15</v>
      </c>
      <c r="H27" s="42" t="str">
        <f ca="1">IF('Contributions calculator'!D12=Codes!C2,F2,IF('Contributions calculator'!D14=D2,"P",IF('Contributions calculator'!D14=D3,"D",""))&amp;IF(E10="SPA",Codes!E8,"C"&amp;Codes!E8))</f>
        <v>65</v>
      </c>
      <c r="I27" s="22" t="e">
        <f ca="1">VLOOKUP(H27,H2:J16,3,FALSE)</f>
        <v>#N/A</v>
      </c>
      <c r="J27" s="41"/>
      <c r="K27" s="4"/>
    </row>
    <row r="28" spans="2:11" x14ac:dyDescent="0.2">
      <c r="B28" s="61">
        <f>IF(B27&lt;(Codes!$P$14),Codes!B27+250,"")</f>
        <v>3750</v>
      </c>
      <c r="C28" s="62" t="str">
        <f>IF('Contributions calculator'!$D$10="","",IF(C27&lt;('Contributions calculator'!$D$10-249),Codes!C27+250,""))</f>
        <v/>
      </c>
      <c r="D28" s="64">
        <f ca="1">IF(D27="","",IF(Codes!D27+1&lt;'Contributions calculator'!$D$8,Codes!D27+1,""))</f>
        <v>16</v>
      </c>
      <c r="H28" s="42" t="str">
        <f ca="1">IF(F8="","",IF(AND('Contributions calculator'!D12="Regular contributions",F8&lt;&gt;0),IF('Contributions calculator'!D14=D2,"P",IF('Contributions calculator'!D14=D3,"D",""))&amp;E8+1,""))</f>
        <v/>
      </c>
      <c r="I28" s="22" t="e">
        <f ca="1">VLOOKUP(H28,H4:J16,3,FALSE)</f>
        <v>#N/A</v>
      </c>
      <c r="J28" s="41"/>
      <c r="K28" s="4"/>
    </row>
    <row r="29" spans="2:11" x14ac:dyDescent="0.2">
      <c r="B29" s="61">
        <f>IF(B28&lt;(Codes!$P$14),Codes!B28+250,"")</f>
        <v>4000</v>
      </c>
      <c r="C29" s="62" t="str">
        <f>IF('Contributions calculator'!$D$10="","",IF(C28&lt;('Contributions calculator'!$D$10-249),Codes!C28+250,""))</f>
        <v/>
      </c>
      <c r="D29" s="64">
        <f ca="1">IF(D28="","",IF(Codes!D28+1&lt;'Contributions calculator'!$D$8,Codes!D28+1,""))</f>
        <v>17</v>
      </c>
      <c r="H29" s="42"/>
      <c r="J29" s="39"/>
      <c r="K29" s="4"/>
    </row>
    <row r="30" spans="2:11" x14ac:dyDescent="0.2">
      <c r="B30" s="61">
        <f>IF(B29&lt;(Codes!$P$14),Codes!B29+250,"")</f>
        <v>4250</v>
      </c>
      <c r="C30" s="62" t="str">
        <f>IF('Contributions calculator'!$D$10="","",IF(C29&lt;('Contributions calculator'!$D$10-249),Codes!C29+250,""))</f>
        <v/>
      </c>
      <c r="D30" s="64">
        <f ca="1">IF(D29="","",IF(Codes!D29+1&lt;'Contributions calculator'!$D$8,Codes!D29+1,""))</f>
        <v>18</v>
      </c>
      <c r="H30" s="43"/>
      <c r="I30" s="8" t="str">
        <f ca="1">"Interpolation for NPA of "&amp;I24</f>
        <v>Interpolation for NPA of 65 Years 0 months</v>
      </c>
      <c r="J30" s="41"/>
      <c r="K30" s="4"/>
    </row>
    <row r="31" spans="2:11" x14ac:dyDescent="0.2">
      <c r="B31" s="61">
        <f>IF(B30&lt;(Codes!$P$14),Codes!B30+250,"")</f>
        <v>4500</v>
      </c>
      <c r="C31" s="62" t="str">
        <f>IF('Contributions calculator'!$D$10="","",IF(C30&lt;('Contributions calculator'!$D$10-249),Codes!C30+250,""))</f>
        <v/>
      </c>
      <c r="D31" s="64">
        <f ca="1">IF(D30="","",IF(Codes!D30+1&lt;'Contributions calculator'!$D$8,Codes!D30+1,""))</f>
        <v>19</v>
      </c>
      <c r="H31" s="43" t="s">
        <v>133</v>
      </c>
      <c r="I31" s="8" t="str">
        <f ca="1">"("&amp;H28&amp;" figure - "&amp;H27&amp;" figure) x months/12 + "&amp;H28&amp;" figure"</f>
        <v>( figure - 65 figure) x months/12 +  figure</v>
      </c>
      <c r="J31" s="41"/>
      <c r="K31" s="4"/>
    </row>
    <row r="32" spans="2:11" ht="13.5" thickBot="1" x14ac:dyDescent="0.25">
      <c r="B32" s="61">
        <f>IF(B31&lt;(Codes!$P$14),Codes!B31+250,"")</f>
        <v>4750</v>
      </c>
      <c r="C32" s="62" t="str">
        <f>IF('Contributions calculator'!$D$10="","",IF(C31&lt;('Contributions calculator'!$D$10-249),Codes!C31+250,""))</f>
        <v/>
      </c>
      <c r="D32" s="65">
        <f ca="1">IF(D31="","",IF(Codes!D31+1&lt;'Contributions calculator'!$D$8,Codes!D31+1,""))</f>
        <v>20</v>
      </c>
      <c r="H32" s="43" t="s">
        <v>133</v>
      </c>
      <c r="I32" s="8" t="e">
        <f ca="1">"("&amp;I28&amp;" - "&amp;I27&amp;") x "&amp;I25&amp;" + "&amp;I28</f>
        <v>#N/A</v>
      </c>
      <c r="J32" s="41"/>
      <c r="K32" s="4"/>
    </row>
    <row r="33" spans="2:11" x14ac:dyDescent="0.2">
      <c r="B33" s="61">
        <f>IF(B32&lt;(Codes!$P$14),Codes!B32+250,"")</f>
        <v>5000</v>
      </c>
      <c r="C33" s="62" t="str">
        <f>IF('Contributions calculator'!$D$10="","",IF(C32&lt;('Contributions calculator'!$D$10-249),Codes!C32+250,""))</f>
        <v/>
      </c>
      <c r="H33" s="43" t="s">
        <v>133</v>
      </c>
      <c r="I33" s="22" t="e">
        <f ca="1">J20</f>
        <v>#N/A</v>
      </c>
      <c r="J33" s="41"/>
      <c r="K33" s="4"/>
    </row>
    <row r="34" spans="2:11" x14ac:dyDescent="0.2">
      <c r="B34" s="61">
        <f>IF(B33&lt;(Codes!$P$14),Codes!B33+250,"")</f>
        <v>5250</v>
      </c>
      <c r="C34" s="62" t="str">
        <f>IF('Contributions calculator'!$D$10="","",IF(C33&lt;('Contributions calculator'!$D$10-249),Codes!C33+250,""))</f>
        <v/>
      </c>
      <c r="H34" s="47"/>
      <c r="I34" s="48"/>
      <c r="J34" s="49"/>
      <c r="K34" s="4"/>
    </row>
    <row r="35" spans="2:11" x14ac:dyDescent="0.2">
      <c r="B35" s="61">
        <f>IF(B34&lt;(Codes!$P$14),Codes!B34+250,"")</f>
        <v>5500</v>
      </c>
      <c r="C35" s="62" t="str">
        <f>IF('Contributions calculator'!$D$10="","",IF(C34&lt;('Contributions calculator'!$D$10-249),Codes!C34+250,""))</f>
        <v/>
      </c>
      <c r="H35" s="4"/>
      <c r="I35" s="4"/>
      <c r="J35" s="4"/>
      <c r="K35" s="4"/>
    </row>
    <row r="36" spans="2:11" x14ac:dyDescent="0.2">
      <c r="B36" s="61">
        <f>IF(B35&lt;(Codes!$P$14),Codes!B35+250,"")</f>
        <v>5750</v>
      </c>
      <c r="C36" s="62" t="str">
        <f>IF('Contributions calculator'!$D$10="","",IF(C35&lt;('Contributions calculator'!$D$10-249),Codes!C35+250,""))</f>
        <v/>
      </c>
      <c r="H36" s="4"/>
      <c r="I36" s="34"/>
      <c r="J36" s="4"/>
      <c r="K36" s="4"/>
    </row>
    <row r="37" spans="2:11" x14ac:dyDescent="0.2">
      <c r="B37" s="61">
        <f>IF(B36&lt;(Codes!$P$14),Codes!B36+250,"")</f>
        <v>6000</v>
      </c>
      <c r="C37" s="62" t="str">
        <f>IF('Contributions calculator'!$D$10="","",IF(C36&lt;('Contributions calculator'!$D$10-249),Codes!C36+250,""))</f>
        <v/>
      </c>
      <c r="H37" s="4"/>
      <c r="I37" s="4"/>
      <c r="J37" s="4"/>
      <c r="K37" s="4"/>
    </row>
    <row r="38" spans="2:11" x14ac:dyDescent="0.2">
      <c r="B38" s="61">
        <f>IF(B37&lt;(Codes!$P$14),Codes!B37+250,"")</f>
        <v>6250</v>
      </c>
      <c r="C38" s="62" t="str">
        <f>IF('Contributions calculator'!$D$10="","",IF(C37&lt;('Contributions calculator'!$D$10-249),Codes!C37+250,""))</f>
        <v/>
      </c>
      <c r="H38" s="4"/>
      <c r="I38" s="4"/>
      <c r="J38" s="4"/>
      <c r="K38" s="4"/>
    </row>
    <row r="39" spans="2:11" x14ac:dyDescent="0.2">
      <c r="B39" s="61">
        <f>IF(B38&lt;(Codes!$P$14),Codes!B38+250,"")</f>
        <v>6500</v>
      </c>
      <c r="C39" s="62" t="str">
        <f>IF('Contributions calculator'!$D$10="","",IF(C38&lt;('Contributions calculator'!$D$10-249),Codes!C38+250,""))</f>
        <v/>
      </c>
      <c r="H39" s="4"/>
      <c r="I39" s="4"/>
      <c r="J39" s="4"/>
      <c r="K39" s="4"/>
    </row>
    <row r="40" spans="2:11" x14ac:dyDescent="0.2">
      <c r="B40" s="61">
        <f>IF(B39&lt;(Codes!$P$14),Codes!B39+250,"")</f>
        <v>6750</v>
      </c>
      <c r="C40" s="62" t="str">
        <f>IF('Contributions calculator'!$D$10="","",IF(C39&lt;('Contributions calculator'!$D$10-249),Codes!C39+250,""))</f>
        <v/>
      </c>
      <c r="H40" s="4"/>
      <c r="I40" s="4"/>
      <c r="J40" s="4"/>
      <c r="K40" s="4"/>
    </row>
    <row r="41" spans="2:11" x14ac:dyDescent="0.2">
      <c r="B41" s="61">
        <f>IF(B40&lt;(Codes!$P$14),Codes!B40+250,"")</f>
        <v>7000</v>
      </c>
      <c r="C41" s="62" t="str">
        <f>IF('Contributions calculator'!$D$10="","",IF(C40&lt;('Contributions calculator'!$D$10-249),Codes!C40+250,""))</f>
        <v/>
      </c>
      <c r="H41" s="4"/>
      <c r="I41" s="4"/>
      <c r="J41" s="4"/>
      <c r="K41" s="4"/>
    </row>
    <row r="42" spans="2:11" x14ac:dyDescent="0.2">
      <c r="B42" s="61">
        <f>IF(B41&lt;(Codes!$P$14),Codes!B41+250,"")</f>
        <v>7250</v>
      </c>
      <c r="C42" s="62" t="str">
        <f>IF('Contributions calculator'!$D$10="","",IF(C41&lt;('Contributions calculator'!$D$10-249),Codes!C41+250,""))</f>
        <v/>
      </c>
      <c r="H42" s="4"/>
      <c r="I42" s="4"/>
      <c r="J42" s="4"/>
      <c r="K42" s="4"/>
    </row>
    <row r="43" spans="2:11" x14ac:dyDescent="0.2">
      <c r="B43" s="61">
        <f>IF(B42&lt;(Codes!$P$14),Codes!B42+250,"")</f>
        <v>7500</v>
      </c>
      <c r="C43" s="62" t="str">
        <f>IF('Contributions calculator'!$D$10="","",IF(C42&lt;('Contributions calculator'!$D$10-249),Codes!C42+250,""))</f>
        <v/>
      </c>
      <c r="H43" s="4"/>
      <c r="I43" s="4"/>
      <c r="J43" s="4"/>
      <c r="K43" s="4"/>
    </row>
    <row r="44" spans="2:11" x14ac:dyDescent="0.2">
      <c r="B44" s="61">
        <f>IF(B43&lt;(Codes!$P$14),Codes!B43+250,"")</f>
        <v>7750</v>
      </c>
      <c r="C44" s="62" t="str">
        <f>IF('Contributions calculator'!$D$10="","",IF(C43&lt;('Contributions calculator'!$D$10-249),Codes!C43+250,""))</f>
        <v/>
      </c>
      <c r="H44" s="4"/>
      <c r="I44" s="4"/>
      <c r="J44" s="4"/>
      <c r="K44" s="4"/>
    </row>
    <row r="45" spans="2:11" x14ac:dyDescent="0.2">
      <c r="B45" s="61">
        <f>IF(B44&lt;(Codes!$P$14),Codes!B44+250,"")</f>
        <v>8000</v>
      </c>
      <c r="C45" s="62" t="str">
        <f>IF('Contributions calculator'!$D$10="","",IF(C44&lt;('Contributions calculator'!$D$10-249),Codes!C44+250,""))</f>
        <v/>
      </c>
      <c r="H45" s="4"/>
      <c r="I45" s="4"/>
      <c r="J45" s="4"/>
      <c r="K45" s="4"/>
    </row>
    <row r="46" spans="2:11" x14ac:dyDescent="0.2">
      <c r="B46" s="61">
        <f>IF(B45&lt;(Codes!$P$14),Codes!B45+250,"")</f>
        <v>8250</v>
      </c>
      <c r="C46" s="62" t="str">
        <f>IF('Contributions calculator'!$D$10="","",IF(C45&lt;('Contributions calculator'!$D$10-249),Codes!C45+250,""))</f>
        <v/>
      </c>
      <c r="H46" s="4"/>
      <c r="I46" s="4"/>
      <c r="J46" s="4"/>
      <c r="K46" s="4"/>
    </row>
    <row r="47" spans="2:11" x14ac:dyDescent="0.2">
      <c r="B47" s="61">
        <f>IF(B46&lt;(Codes!$P$14),Codes!B46+250,"")</f>
        <v>8500</v>
      </c>
      <c r="C47" s="62" t="str">
        <f>IF('Contributions calculator'!$D$10="","",IF(C46&lt;('Contributions calculator'!$D$10-249),Codes!C46+250,""))</f>
        <v/>
      </c>
      <c r="H47" s="4"/>
      <c r="I47" s="4"/>
      <c r="J47" s="4"/>
      <c r="K47" s="4"/>
    </row>
    <row r="48" spans="2:11" x14ac:dyDescent="0.2">
      <c r="B48" s="61">
        <f>IF(B47&lt;(Codes!$P$14),Codes!B47+250,"")</f>
        <v>8750</v>
      </c>
      <c r="C48" s="62" t="str">
        <f>IF('Contributions calculator'!$D$10="","",IF(C47&lt;('Contributions calculator'!$D$10-249),Codes!C47+250,""))</f>
        <v/>
      </c>
      <c r="H48" s="4"/>
      <c r="I48" s="4"/>
      <c r="J48" s="4"/>
      <c r="K48" s="4"/>
    </row>
    <row r="49" spans="2:11" x14ac:dyDescent="0.2">
      <c r="B49" s="61">
        <f>IF(B48&lt;(Codes!$P$14),Codes!B48+250,"")</f>
        <v>9000</v>
      </c>
      <c r="C49" s="62" t="str">
        <f>IF('Contributions calculator'!$D$10="","",IF(C48&lt;('Contributions calculator'!$D$10-249),Codes!C48+250,""))</f>
        <v/>
      </c>
      <c r="H49" s="4"/>
      <c r="I49" s="4"/>
      <c r="J49" s="4"/>
      <c r="K49" s="4"/>
    </row>
    <row r="50" spans="2:11" x14ac:dyDescent="0.2">
      <c r="B50" s="61">
        <f>IF(B49&lt;(Codes!$P$14),Codes!B49+250,"")</f>
        <v>9250</v>
      </c>
      <c r="C50" s="62" t="str">
        <f>IF('Contributions calculator'!$D$10="","",IF(C49&lt;('Contributions calculator'!$D$10-249),Codes!C49+250,""))</f>
        <v/>
      </c>
      <c r="H50" s="4"/>
      <c r="I50" s="4"/>
      <c r="J50" s="4"/>
      <c r="K50" s="4"/>
    </row>
    <row r="51" spans="2:11" x14ac:dyDescent="0.2">
      <c r="B51" s="61" t="str">
        <f>IF(B50&lt;(Codes!$P$14),Codes!B50+250,"")</f>
        <v/>
      </c>
      <c r="C51" s="62" t="str">
        <f>IF('Contributions calculator'!$D$10="","",IF(C50&lt;('Contributions calculator'!$D$10-249),Codes!C50+250,""))</f>
        <v/>
      </c>
      <c r="H51" s="4"/>
      <c r="I51" s="4"/>
      <c r="J51" s="4"/>
      <c r="K51" s="4"/>
    </row>
    <row r="52" spans="2:11" x14ac:dyDescent="0.2">
      <c r="B52" s="61" t="str">
        <f>IF(B51&lt;(Codes!$P$14),Codes!B51+250,"")</f>
        <v/>
      </c>
      <c r="C52" s="62" t="str">
        <f>IF('Contributions calculator'!$D$10="","",IF(C51&lt;('Contributions calculator'!$D$10-249),Codes!C51+250,""))</f>
        <v/>
      </c>
      <c r="H52" s="4"/>
      <c r="I52" s="4"/>
      <c r="J52" s="4"/>
      <c r="K52" s="4"/>
    </row>
    <row r="53" spans="2:11" x14ac:dyDescent="0.2">
      <c r="B53" s="61" t="str">
        <f>IF(B52&lt;(Codes!$P$14),Codes!B52+250,"")</f>
        <v/>
      </c>
      <c r="C53" s="62" t="str">
        <f>IF('Contributions calculator'!$D$10="","",IF(C52&lt;('Contributions calculator'!$D$10-249),Codes!C52+250,""))</f>
        <v/>
      </c>
      <c r="H53" s="4"/>
      <c r="I53" s="4"/>
      <c r="J53" s="4"/>
      <c r="K53" s="4"/>
    </row>
    <row r="54" spans="2:11" x14ac:dyDescent="0.2">
      <c r="B54" s="61" t="str">
        <f>IF(B53&lt;(Codes!$P$14),Codes!B53+250,"")</f>
        <v/>
      </c>
      <c r="C54" s="62" t="str">
        <f>IF('Contributions calculator'!$D$10="","",IF(C53&lt;('Contributions calculator'!$D$10-249),Codes!C53+250,""))</f>
        <v/>
      </c>
      <c r="H54" s="4"/>
      <c r="I54" s="4"/>
      <c r="J54" s="4"/>
      <c r="K54" s="4"/>
    </row>
    <row r="55" spans="2:11" x14ac:dyDescent="0.2">
      <c r="B55" s="61" t="str">
        <f>IF(B54&lt;(Codes!$P$14),Codes!B54+250,"")</f>
        <v/>
      </c>
      <c r="C55" s="62" t="str">
        <f>IF('Contributions calculator'!$D$10="","",IF(C54&lt;('Contributions calculator'!$D$10-249),Codes!C54+250,""))</f>
        <v/>
      </c>
      <c r="H55" s="4"/>
      <c r="I55" s="4"/>
      <c r="J55" s="4"/>
      <c r="K55" s="4"/>
    </row>
    <row r="56" spans="2:11" x14ac:dyDescent="0.2">
      <c r="B56" s="61" t="str">
        <f>IF(B55&lt;(Codes!$P$14),Codes!B55+250,"")</f>
        <v/>
      </c>
      <c r="C56" s="62" t="str">
        <f>IF('Contributions calculator'!$D$10="","",IF(C55&lt;('Contributions calculator'!$D$10-249),Codes!C55+250,""))</f>
        <v/>
      </c>
      <c r="H56" s="4"/>
      <c r="I56" s="4"/>
      <c r="J56" s="4"/>
      <c r="K56" s="4"/>
    </row>
    <row r="57" spans="2:11" x14ac:dyDescent="0.2">
      <c r="B57" s="61" t="str">
        <f>IF(B56&lt;(Codes!$P$14),Codes!B56+250,"")</f>
        <v/>
      </c>
      <c r="C57" s="62" t="str">
        <f>IF('Contributions calculator'!$D$10="","",IF(C56&lt;('Contributions calculator'!$D$10-249),Codes!C56+250,""))</f>
        <v/>
      </c>
      <c r="H57" s="4"/>
      <c r="I57" s="4"/>
      <c r="J57" s="4"/>
      <c r="K57" s="4"/>
    </row>
    <row r="58" spans="2:11" x14ac:dyDescent="0.2">
      <c r="B58" s="61" t="str">
        <f>IF(B57&lt;(Codes!$P$14),Codes!B57+250,"")</f>
        <v/>
      </c>
      <c r="C58" s="62" t="str">
        <f>IF('Contributions calculator'!$D$10="","",IF(C57&lt;('Contributions calculator'!$D$10-249),Codes!C57+250,""))</f>
        <v/>
      </c>
      <c r="H58" s="4"/>
      <c r="I58" s="4"/>
      <c r="J58" s="4"/>
      <c r="K58" s="4"/>
    </row>
    <row r="59" spans="2:11" x14ac:dyDescent="0.2">
      <c r="B59" s="61" t="str">
        <f>IF(B58&lt;(Codes!$P$14),Codes!B58+250,"")</f>
        <v/>
      </c>
      <c r="C59" s="62" t="str">
        <f>IF('Contributions calculator'!$D$10="","",IF(C58&lt;('Contributions calculator'!$D$10-249),Codes!C58+250,""))</f>
        <v/>
      </c>
      <c r="H59" s="4"/>
      <c r="I59" s="4"/>
      <c r="J59" s="4"/>
      <c r="K59" s="4"/>
    </row>
    <row r="60" spans="2:11" x14ac:dyDescent="0.2">
      <c r="B60" s="61" t="str">
        <f>IF(B59&lt;(Codes!$P$14),Codes!B59+250,"")</f>
        <v/>
      </c>
      <c r="C60" s="62" t="str">
        <f>IF('Contributions calculator'!$D$10="","",IF(C59&lt;('Contributions calculator'!$D$10-249),Codes!C59+250,""))</f>
        <v/>
      </c>
      <c r="H60" s="4"/>
      <c r="I60" s="4"/>
      <c r="J60" s="4"/>
      <c r="K60" s="4"/>
    </row>
    <row r="61" spans="2:11" x14ac:dyDescent="0.2">
      <c r="B61" s="61" t="str">
        <f>IF(B60&lt;(Codes!$P$14),Codes!B60+250,"")</f>
        <v/>
      </c>
      <c r="C61" s="62" t="str">
        <f>IF('Contributions calculator'!$D$10="","",IF(C60&lt;('Contributions calculator'!$D$10-249),Codes!C60+250,""))</f>
        <v/>
      </c>
      <c r="H61" s="4"/>
      <c r="I61" s="4"/>
      <c r="J61" s="4"/>
      <c r="K61" s="4"/>
    </row>
    <row r="62" spans="2:11" x14ac:dyDescent="0.2">
      <c r="B62" s="61" t="str">
        <f>IF(B61&lt;(Codes!$P$14),Codes!B61+250,"")</f>
        <v/>
      </c>
      <c r="C62" s="62" t="str">
        <f>IF('Contributions calculator'!$D$10="","",IF(C61&lt;('Contributions calculator'!$D$10-249),Codes!C61+250,""))</f>
        <v/>
      </c>
      <c r="H62" s="4"/>
      <c r="I62" s="4"/>
      <c r="J62" s="4"/>
      <c r="K62" s="4"/>
    </row>
    <row r="63" spans="2:11" x14ac:dyDescent="0.2">
      <c r="B63" s="61" t="str">
        <f>IF(B62&lt;(Codes!$P$14),Codes!B62+250,"")</f>
        <v/>
      </c>
      <c r="C63" s="62" t="str">
        <f>IF('Contributions calculator'!$D$10="","",IF(C62&lt;('Contributions calculator'!$D$10-249),Codes!C62+250,""))</f>
        <v/>
      </c>
      <c r="H63" s="4"/>
      <c r="I63" s="4"/>
      <c r="J63" s="4"/>
      <c r="K63" s="4"/>
    </row>
    <row r="64" spans="2:11" x14ac:dyDescent="0.2">
      <c r="B64" s="61" t="str">
        <f>IF(B63&lt;(Codes!$P$14),Codes!B63+250,"")</f>
        <v/>
      </c>
      <c r="C64" s="62" t="str">
        <f>IF('Contributions calculator'!$D$10="","",IF(C63&lt;('Contributions calculator'!$D$10-249),Codes!C63+250,""))</f>
        <v/>
      </c>
      <c r="H64" s="4"/>
      <c r="I64" s="4"/>
      <c r="J64" s="4"/>
      <c r="K64" s="4"/>
    </row>
    <row r="65" spans="2:11" x14ac:dyDescent="0.2">
      <c r="B65" s="61" t="str">
        <f>IF(B64&lt;(Codes!$P$14),Codes!B64+250,"")</f>
        <v/>
      </c>
      <c r="C65" s="62" t="str">
        <f>IF('Contributions calculator'!$D$10="","",IF(C64&lt;('Contributions calculator'!$D$10-249),Codes!C64+250,""))</f>
        <v/>
      </c>
      <c r="H65" s="4"/>
      <c r="I65" s="4"/>
      <c r="J65" s="4"/>
      <c r="K65" s="4"/>
    </row>
    <row r="66" spans="2:11" x14ac:dyDescent="0.2">
      <c r="B66" s="61" t="str">
        <f>IF(B65&lt;(Codes!$P$14),Codes!B65+250,"")</f>
        <v/>
      </c>
      <c r="C66" s="62" t="str">
        <f>IF('Contributions calculator'!$D$10="","",IF(C65&lt;('Contributions calculator'!$D$10-249),Codes!C65+250,""))</f>
        <v/>
      </c>
      <c r="H66" s="4"/>
      <c r="I66" s="4"/>
      <c r="J66" s="4"/>
      <c r="K66" s="4"/>
    </row>
    <row r="67" spans="2:11" x14ac:dyDescent="0.2">
      <c r="B67" s="6" t="e">
        <f>IF(B66&lt;('Contributions calculator'!#REF!-250),Codes!B66+250,"")</f>
        <v>#REF!</v>
      </c>
      <c r="H67" s="4"/>
      <c r="I67" s="4"/>
      <c r="J67" s="4"/>
      <c r="K67" s="4"/>
    </row>
    <row r="68" spans="2:11" x14ac:dyDescent="0.2">
      <c r="B68" s="6" t="e">
        <f>IF(B67&lt;('Contributions calculator'!#REF!-250),Codes!B67+250,"")</f>
        <v>#REF!</v>
      </c>
      <c r="H68" s="4"/>
      <c r="I68" s="4"/>
      <c r="J68" s="4"/>
      <c r="K68" s="4"/>
    </row>
    <row r="69" spans="2:11" x14ac:dyDescent="0.2">
      <c r="B69" s="6" t="e">
        <f>IF(B68&lt;('Contributions calculator'!#REF!-250),Codes!B68+250,"")</f>
        <v>#REF!</v>
      </c>
      <c r="H69" s="4"/>
      <c r="I69" s="4"/>
      <c r="J69" s="4"/>
      <c r="K69" s="4"/>
    </row>
    <row r="70" spans="2:11" x14ac:dyDescent="0.2">
      <c r="B70" s="6" t="e">
        <f>IF(B69&lt;('Contributions calculator'!#REF!-250),Codes!B69+250,"")</f>
        <v>#REF!</v>
      </c>
      <c r="H70" s="4"/>
      <c r="I70" s="4"/>
      <c r="J70" s="4"/>
      <c r="K70" s="4"/>
    </row>
    <row r="71" spans="2:11" x14ac:dyDescent="0.2">
      <c r="B71" s="6" t="e">
        <f>IF(B70&lt;('Contributions calculator'!#REF!-250),Codes!B70+250,"")</f>
        <v>#REF!</v>
      </c>
      <c r="H71" s="4"/>
      <c r="I71" s="4"/>
      <c r="J71" s="4"/>
      <c r="K71" s="4"/>
    </row>
    <row r="72" spans="2:11" x14ac:dyDescent="0.2">
      <c r="B72" s="6" t="e">
        <f>IF(B71&lt;('Contributions calculator'!#REF!-250),Codes!B71+250,"")</f>
        <v>#REF!</v>
      </c>
      <c r="H72" s="4"/>
      <c r="I72" s="4"/>
      <c r="J72" s="4"/>
      <c r="K72" s="4"/>
    </row>
    <row r="73" spans="2:11" x14ac:dyDescent="0.2">
      <c r="B73" s="6" t="e">
        <f>IF(B72&lt;('Contributions calculator'!#REF!-250),Codes!B72+250,"")</f>
        <v>#REF!</v>
      </c>
      <c r="H73" s="4"/>
      <c r="I73" s="4"/>
      <c r="J73" s="4"/>
      <c r="K73" s="4"/>
    </row>
    <row r="74" spans="2:11" x14ac:dyDescent="0.2">
      <c r="B74" s="6" t="e">
        <f>IF(B73&lt;('Contributions calculator'!#REF!-250),Codes!B73+250,"")</f>
        <v>#REF!</v>
      </c>
      <c r="H74" s="4"/>
      <c r="I74" s="4"/>
      <c r="J74" s="4"/>
      <c r="K74" s="4"/>
    </row>
    <row r="75" spans="2:11" x14ac:dyDescent="0.2">
      <c r="B75" s="6" t="e">
        <f>IF(B74&lt;('Contributions calculator'!#REF!-250),Codes!B74+250,"")</f>
        <v>#REF!</v>
      </c>
      <c r="H75" s="4"/>
      <c r="I75" s="4"/>
      <c r="J75" s="4"/>
      <c r="K75" s="4"/>
    </row>
    <row r="76" spans="2:11" x14ac:dyDescent="0.2">
      <c r="B76" s="6" t="e">
        <f>IF(B75&lt;('Contributions calculator'!#REF!-250),Codes!B75+250,"")</f>
        <v>#REF!</v>
      </c>
      <c r="H76" s="4"/>
      <c r="I76" s="4"/>
      <c r="J76" s="4"/>
      <c r="K76" s="4"/>
    </row>
    <row r="77" spans="2:11" x14ac:dyDescent="0.2">
      <c r="B77" s="6" t="e">
        <f>IF(B76&lt;('Contributions calculator'!#REF!-250),Codes!B76+250,"")</f>
        <v>#REF!</v>
      </c>
      <c r="H77" s="4"/>
      <c r="I77" s="4"/>
      <c r="J77" s="4"/>
      <c r="K77" s="4"/>
    </row>
    <row r="78" spans="2:11" x14ac:dyDescent="0.2">
      <c r="B78" s="6" t="e">
        <f>IF(B77&lt;('Contributions calculator'!#REF!-250),Codes!B77+250,"")</f>
        <v>#REF!</v>
      </c>
      <c r="H78" s="4"/>
      <c r="I78" s="4"/>
      <c r="J78" s="4"/>
      <c r="K78" s="4"/>
    </row>
    <row r="79" spans="2:11" x14ac:dyDescent="0.2">
      <c r="B79" s="6" t="e">
        <f>IF(B78&lt;('Contributions calculator'!#REF!-250),Codes!B78+250,"")</f>
        <v>#REF!</v>
      </c>
      <c r="H79" s="4"/>
      <c r="I79" s="4"/>
      <c r="J79" s="4"/>
      <c r="K79" s="4"/>
    </row>
    <row r="80" spans="2:11" x14ac:dyDescent="0.2">
      <c r="B80" s="6" t="e">
        <f>IF(B79&lt;('Contributions calculator'!#REF!-250),Codes!B79+250,"")</f>
        <v>#REF!</v>
      </c>
      <c r="H80" s="4"/>
      <c r="I80" s="4"/>
      <c r="J80" s="4"/>
      <c r="K80" s="4"/>
    </row>
    <row r="81" spans="2:11" x14ac:dyDescent="0.2">
      <c r="B81" s="6" t="e">
        <f>IF(B80&lt;('Contributions calculator'!#REF!-250),Codes!B80+250,"")</f>
        <v>#REF!</v>
      </c>
      <c r="H81" s="4"/>
      <c r="I81" s="4"/>
      <c r="J81" s="4"/>
      <c r="K81" s="4"/>
    </row>
    <row r="82" spans="2:11" x14ac:dyDescent="0.2">
      <c r="B82" s="6" t="e">
        <f>IF(B81&lt;('Contributions calculator'!#REF!-250),Codes!B81+250,"")</f>
        <v>#REF!</v>
      </c>
      <c r="H82" s="4"/>
      <c r="I82" s="4"/>
      <c r="J82" s="4"/>
      <c r="K82" s="4"/>
    </row>
    <row r="83" spans="2:11" x14ac:dyDescent="0.2">
      <c r="B83" s="6" t="e">
        <f>IF(B82&lt;('Contributions calculator'!#REF!-250),Codes!B82+250,"")</f>
        <v>#REF!</v>
      </c>
      <c r="H83" s="4"/>
      <c r="I83" s="4"/>
      <c r="J83" s="4"/>
      <c r="K83" s="4"/>
    </row>
    <row r="84" spans="2:11" x14ac:dyDescent="0.2">
      <c r="B84" s="6" t="e">
        <f>IF(B83&lt;('Contributions calculator'!#REF!-250),Codes!B83+250,"")</f>
        <v>#REF!</v>
      </c>
      <c r="H84" s="4"/>
      <c r="I84" s="4"/>
      <c r="J84" s="4"/>
      <c r="K84" s="4"/>
    </row>
    <row r="85" spans="2:11" x14ac:dyDescent="0.2">
      <c r="B85" s="6" t="e">
        <f>IF(B84&lt;('Contributions calculator'!#REF!-250),Codes!B84+250,"")</f>
        <v>#REF!</v>
      </c>
      <c r="H85" s="4"/>
      <c r="I85" s="4"/>
      <c r="J85" s="4"/>
      <c r="K85" s="4"/>
    </row>
    <row r="86" spans="2:11" x14ac:dyDescent="0.2">
      <c r="B86" s="6" t="e">
        <f>IF(B85&lt;('Contributions calculator'!#REF!-250),Codes!B85+250,"")</f>
        <v>#REF!</v>
      </c>
      <c r="H86" s="4"/>
      <c r="I86" s="4"/>
      <c r="J86" s="4"/>
      <c r="K86" s="4"/>
    </row>
    <row r="87" spans="2:11" x14ac:dyDescent="0.2">
      <c r="B87" s="6" t="e">
        <f>IF(B86&lt;('Contributions calculator'!#REF!-250),Codes!B86+250,"")</f>
        <v>#REF!</v>
      </c>
      <c r="H87" s="4"/>
      <c r="I87" s="4"/>
      <c r="J87" s="4"/>
      <c r="K87" s="4"/>
    </row>
    <row r="88" spans="2:11" x14ac:dyDescent="0.2">
      <c r="B88" s="6" t="e">
        <f>IF(B87&lt;('Contributions calculator'!#REF!-250),Codes!B87+250,"")</f>
        <v>#REF!</v>
      </c>
      <c r="H88" s="4"/>
      <c r="I88" s="4"/>
      <c r="J88" s="4"/>
      <c r="K88" s="4"/>
    </row>
    <row r="89" spans="2:11" x14ac:dyDescent="0.2">
      <c r="B89" s="6" t="e">
        <f>IF(B88&lt;('Contributions calculator'!#REF!-250),Codes!B88+250,"")</f>
        <v>#REF!</v>
      </c>
      <c r="H89" s="4"/>
      <c r="I89" s="4"/>
      <c r="J89" s="4"/>
      <c r="K89" s="4"/>
    </row>
    <row r="90" spans="2:11" x14ac:dyDescent="0.2">
      <c r="B90" s="6" t="e">
        <f>IF(B89&lt;('Contributions calculator'!#REF!-250),Codes!B89+250,"")</f>
        <v>#REF!</v>
      </c>
      <c r="H90" s="4"/>
      <c r="I90" s="4"/>
      <c r="J90" s="4"/>
      <c r="K90" s="4"/>
    </row>
    <row r="91" spans="2:11" x14ac:dyDescent="0.2">
      <c r="B91" s="6" t="e">
        <f>IF(B90&lt;('Contributions calculator'!#REF!-250),Codes!B90+250,"")</f>
        <v>#REF!</v>
      </c>
      <c r="H91" s="4"/>
      <c r="I91" s="4"/>
      <c r="J91" s="4"/>
      <c r="K91" s="4"/>
    </row>
    <row r="92" spans="2:11" x14ac:dyDescent="0.2">
      <c r="B92" s="6" t="e">
        <f>IF(B91&lt;('Contributions calculator'!#REF!-250),Codes!B91+250,"")</f>
        <v>#REF!</v>
      </c>
      <c r="H92" s="4"/>
      <c r="I92" s="4"/>
      <c r="J92" s="4"/>
      <c r="K92" s="4"/>
    </row>
    <row r="93" spans="2:11" x14ac:dyDescent="0.2">
      <c r="B93" s="6" t="e">
        <f>IF(B92&lt;('Contributions calculator'!#REF!-250),Codes!B92+250,"")</f>
        <v>#REF!</v>
      </c>
      <c r="H93" s="4"/>
      <c r="I93" s="4"/>
      <c r="J93" s="4"/>
      <c r="K93" s="4"/>
    </row>
    <row r="94" spans="2:11" x14ac:dyDescent="0.2">
      <c r="B94" s="6" t="e">
        <f>IF(B93&lt;('Contributions calculator'!#REF!-250),Codes!B93+250,"")</f>
        <v>#REF!</v>
      </c>
      <c r="H94" s="4"/>
      <c r="I94" s="4"/>
      <c r="J94" s="4"/>
      <c r="K94" s="4"/>
    </row>
    <row r="95" spans="2:11" x14ac:dyDescent="0.2">
      <c r="B95" s="6" t="e">
        <f>IF(B94&lt;('Contributions calculator'!#REF!-250),Codes!B94+250,"")</f>
        <v>#REF!</v>
      </c>
      <c r="H95" s="4"/>
      <c r="I95" s="4"/>
      <c r="J95" s="4"/>
      <c r="K95" s="4"/>
    </row>
    <row r="96" spans="2:11" x14ac:dyDescent="0.2">
      <c r="B96" s="6" t="e">
        <f>IF(B95&lt;('Contributions calculator'!#REF!-250),Codes!B95+250,"")</f>
        <v>#REF!</v>
      </c>
      <c r="H96" s="4"/>
      <c r="I96" s="4"/>
      <c r="J96" s="4"/>
      <c r="K96" s="4"/>
    </row>
    <row r="97" spans="2:11" x14ac:dyDescent="0.2">
      <c r="B97" s="6" t="e">
        <f>IF(B96&lt;('Contributions calculator'!#REF!-250),Codes!B96+250,"")</f>
        <v>#REF!</v>
      </c>
      <c r="H97" s="4"/>
      <c r="I97" s="4"/>
      <c r="J97" s="4"/>
      <c r="K97" s="4"/>
    </row>
    <row r="98" spans="2:11" x14ac:dyDescent="0.2">
      <c r="B98" s="6" t="e">
        <f>IF(B97&lt;('Contributions calculator'!#REF!-250),Codes!B97+250,"")</f>
        <v>#REF!</v>
      </c>
      <c r="H98" s="4"/>
      <c r="I98" s="4"/>
      <c r="J98" s="4"/>
      <c r="K98" s="4"/>
    </row>
    <row r="99" spans="2:11" x14ac:dyDescent="0.2">
      <c r="B99" s="6" t="e">
        <f>IF(B98&lt;('Contributions calculator'!#REF!-250),Codes!B98+250,"")</f>
        <v>#REF!</v>
      </c>
      <c r="H99" s="4"/>
      <c r="I99" s="4"/>
      <c r="J99" s="4"/>
      <c r="K99" s="4"/>
    </row>
    <row r="100" spans="2:11" x14ac:dyDescent="0.2">
      <c r="B100" s="6" t="e">
        <f>IF(B99&lt;('Contributions calculator'!#REF!-250),Codes!B99+250,"")</f>
        <v>#REF!</v>
      </c>
      <c r="H100" s="4"/>
      <c r="I100" s="4"/>
      <c r="J100" s="4"/>
      <c r="K100" s="4"/>
    </row>
    <row r="101" spans="2:11" x14ac:dyDescent="0.2">
      <c r="B101" s="6" t="e">
        <f>IF(B100&lt;('Contributions calculator'!#REF!-250),Codes!B100+250,"")</f>
        <v>#REF!</v>
      </c>
      <c r="H101" s="4"/>
      <c r="I101" s="4"/>
      <c r="J101" s="4"/>
      <c r="K101" s="4"/>
    </row>
    <row r="102" spans="2:11" x14ac:dyDescent="0.2">
      <c r="B102" s="6" t="e">
        <f>IF(B101&lt;('Contributions calculator'!#REF!-250),Codes!B101+250,"")</f>
        <v>#REF!</v>
      </c>
      <c r="H102" s="4"/>
      <c r="I102" s="4"/>
      <c r="J102" s="4"/>
      <c r="K102" s="4"/>
    </row>
    <row r="103" spans="2:11" x14ac:dyDescent="0.2">
      <c r="B103" s="6" t="e">
        <f>IF(B102&lt;('Contributions calculator'!#REF!-250),Codes!B102+250,"")</f>
        <v>#REF!</v>
      </c>
      <c r="H103" s="4"/>
      <c r="I103" s="4"/>
      <c r="J103" s="4"/>
      <c r="K103" s="4"/>
    </row>
    <row r="104" spans="2:11" x14ac:dyDescent="0.2">
      <c r="B104" s="6" t="e">
        <f>IF(B103&lt;('Contributions calculator'!#REF!-250),Codes!B103+250,"")</f>
        <v>#REF!</v>
      </c>
      <c r="H104" s="4"/>
      <c r="I104" s="4"/>
      <c r="J104" s="4"/>
      <c r="K104" s="4"/>
    </row>
    <row r="105" spans="2:11" x14ac:dyDescent="0.2">
      <c r="B105" s="6" t="e">
        <f>IF(B104&lt;('Contributions calculator'!#REF!-250),Codes!B104+250,"")</f>
        <v>#REF!</v>
      </c>
      <c r="H105" s="4"/>
      <c r="I105" s="4"/>
      <c r="J105" s="4"/>
      <c r="K105" s="4"/>
    </row>
    <row r="106" spans="2:11" x14ac:dyDescent="0.2">
      <c r="B106" s="6" t="e">
        <f>IF(B105&lt;('Contributions calculator'!#REF!-250),Codes!B105+250,"")</f>
        <v>#REF!</v>
      </c>
      <c r="H106" s="4"/>
      <c r="I106" s="4"/>
      <c r="J106" s="4"/>
      <c r="K106" s="4"/>
    </row>
    <row r="107" spans="2:11" x14ac:dyDescent="0.2">
      <c r="B107" s="6" t="e">
        <f>IF(B106&lt;('Contributions calculator'!#REF!-250),Codes!B106+250,"")</f>
        <v>#REF!</v>
      </c>
      <c r="H107" s="4"/>
      <c r="I107" s="4"/>
      <c r="J107" s="4"/>
      <c r="K107" s="4"/>
    </row>
    <row r="108" spans="2:11" x14ac:dyDescent="0.2">
      <c r="B108" s="6" t="e">
        <f>IF(B107&lt;('Contributions calculator'!#REF!-250),Codes!B107+250,"")</f>
        <v>#REF!</v>
      </c>
      <c r="H108" s="4"/>
      <c r="I108" s="4"/>
      <c r="J108" s="4"/>
      <c r="K108" s="4"/>
    </row>
    <row r="109" spans="2:11" x14ac:dyDescent="0.2">
      <c r="B109" s="6" t="e">
        <f>IF(B108&lt;('Contributions calculator'!#REF!-250),Codes!B108+250,"")</f>
        <v>#REF!</v>
      </c>
      <c r="H109" s="4"/>
      <c r="I109" s="4"/>
      <c r="J109" s="4"/>
      <c r="K109" s="4"/>
    </row>
    <row r="110" spans="2:11" x14ac:dyDescent="0.2">
      <c r="B110" s="6" t="e">
        <f>IF(B109&lt;('Contributions calculator'!#REF!-250),Codes!B109+250,"")</f>
        <v>#REF!</v>
      </c>
      <c r="H110" s="4"/>
      <c r="I110" s="4"/>
      <c r="J110" s="4"/>
      <c r="K110" s="4"/>
    </row>
    <row r="111" spans="2:11" x14ac:dyDescent="0.2">
      <c r="B111" s="6" t="e">
        <f>IF(B110&lt;('Contributions calculator'!#REF!-250),Codes!B110+250,"")</f>
        <v>#REF!</v>
      </c>
      <c r="H111" s="4"/>
      <c r="I111" s="4"/>
      <c r="J111" s="4"/>
      <c r="K111" s="4"/>
    </row>
    <row r="112" spans="2:11" x14ac:dyDescent="0.2">
      <c r="B112" s="6" t="e">
        <f>IF(B111&lt;('Contributions calculator'!#REF!-250),Codes!B111+250,"")</f>
        <v>#REF!</v>
      </c>
      <c r="H112" s="4"/>
      <c r="I112" s="4"/>
      <c r="J112" s="4"/>
      <c r="K112" s="4"/>
    </row>
    <row r="113" spans="2:11" x14ac:dyDescent="0.2">
      <c r="B113" s="6" t="e">
        <f>IF(B112&lt;('Contributions calculator'!#REF!-250),Codes!B112+250,"")</f>
        <v>#REF!</v>
      </c>
      <c r="H113" s="4"/>
      <c r="I113" s="4"/>
      <c r="J113" s="4"/>
      <c r="K113" s="4"/>
    </row>
    <row r="114" spans="2:11" x14ac:dyDescent="0.2">
      <c r="B114" s="6" t="e">
        <f>IF(B113&lt;('Contributions calculator'!#REF!-250),Codes!B113+250,"")</f>
        <v>#REF!</v>
      </c>
      <c r="H114" s="4"/>
      <c r="I114" s="4"/>
      <c r="J114" s="4"/>
      <c r="K114" s="4"/>
    </row>
    <row r="115" spans="2:11" x14ac:dyDescent="0.2">
      <c r="B115" s="6" t="e">
        <f>IF(B114&lt;('Contributions calculator'!#REF!-250),Codes!B114+250,"")</f>
        <v>#REF!</v>
      </c>
      <c r="H115" s="4"/>
      <c r="I115" s="4"/>
      <c r="J115" s="4"/>
      <c r="K115" s="4"/>
    </row>
    <row r="116" spans="2:11" x14ac:dyDescent="0.2">
      <c r="B116" s="6" t="e">
        <f>IF(B115&lt;('Contributions calculator'!#REF!-250),Codes!B115+250,"")</f>
        <v>#REF!</v>
      </c>
      <c r="H116" s="4"/>
      <c r="I116" s="4"/>
      <c r="J116" s="4"/>
      <c r="K116" s="4"/>
    </row>
    <row r="117" spans="2:11" x14ac:dyDescent="0.2">
      <c r="B117" s="6" t="e">
        <f>IF(B116&lt;('Contributions calculator'!#REF!-250),Codes!B116+250,"")</f>
        <v>#REF!</v>
      </c>
      <c r="H117" s="4"/>
      <c r="I117" s="4"/>
      <c r="J117" s="4"/>
      <c r="K117" s="4"/>
    </row>
    <row r="118" spans="2:11" x14ac:dyDescent="0.2">
      <c r="B118" s="6" t="e">
        <f>IF(B117&lt;('Contributions calculator'!#REF!-250),Codes!B117+250,"")</f>
        <v>#REF!</v>
      </c>
      <c r="H118" s="4"/>
      <c r="I118" s="4"/>
      <c r="J118" s="4"/>
      <c r="K118" s="4"/>
    </row>
    <row r="119" spans="2:11" x14ac:dyDescent="0.2">
      <c r="B119" s="6" t="e">
        <f>IF(B118&lt;('Contributions calculator'!#REF!-250),Codes!B118+250,"")</f>
        <v>#REF!</v>
      </c>
      <c r="H119" s="4"/>
      <c r="I119" s="4"/>
      <c r="J119" s="4"/>
      <c r="K119" s="4"/>
    </row>
    <row r="120" spans="2:11" x14ac:dyDescent="0.2">
      <c r="B120" s="6" t="e">
        <f>IF(B119&lt;('Contributions calculator'!#REF!-250),Codes!B119+250,"")</f>
        <v>#REF!</v>
      </c>
      <c r="H120" s="4"/>
      <c r="I120" s="4"/>
      <c r="J120" s="4"/>
      <c r="K120" s="4"/>
    </row>
    <row r="121" spans="2:11" x14ac:dyDescent="0.2">
      <c r="B121" s="6" t="e">
        <f>IF(B120&lt;('Contributions calculator'!#REF!-250),Codes!B120+250,"")</f>
        <v>#REF!</v>
      </c>
      <c r="H121" s="4"/>
      <c r="I121" s="4"/>
      <c r="J121" s="4"/>
      <c r="K121" s="4"/>
    </row>
    <row r="122" spans="2:11" x14ac:dyDescent="0.2">
      <c r="B122" s="6" t="e">
        <f>IF(B121&lt;('Contributions calculator'!#REF!-250),Codes!B121+250,"")</f>
        <v>#REF!</v>
      </c>
      <c r="H122" s="4"/>
      <c r="I122" s="4"/>
      <c r="J122" s="4"/>
      <c r="K122" s="4"/>
    </row>
    <row r="123" spans="2:11" x14ac:dyDescent="0.2">
      <c r="B123" s="6" t="e">
        <f>IF(B122&lt;('Contributions calculator'!#REF!-250),Codes!B122+250,"")</f>
        <v>#REF!</v>
      </c>
      <c r="H123" s="4"/>
      <c r="I123" s="4"/>
      <c r="J123" s="4"/>
      <c r="K123" s="4"/>
    </row>
    <row r="124" spans="2:11" x14ac:dyDescent="0.2">
      <c r="B124" s="6" t="e">
        <f>IF(B123&lt;('Contributions calculator'!#REF!-250),Codes!B123+250,"")</f>
        <v>#REF!</v>
      </c>
      <c r="H124" s="4"/>
      <c r="I124" s="4"/>
      <c r="J124" s="4"/>
      <c r="K124" s="4"/>
    </row>
    <row r="125" spans="2:11" x14ac:dyDescent="0.2">
      <c r="B125" s="6" t="e">
        <f>IF(B124&lt;('Contributions calculator'!#REF!-250),Codes!B124+250,"")</f>
        <v>#REF!</v>
      </c>
      <c r="H125" s="4"/>
      <c r="I125" s="4"/>
      <c r="J125" s="4"/>
      <c r="K125" s="4"/>
    </row>
    <row r="126" spans="2:11" x14ac:dyDescent="0.2">
      <c r="B126" s="6" t="e">
        <f>IF(B125&lt;('Contributions calculator'!#REF!-250),Codes!B125+250,"")</f>
        <v>#REF!</v>
      </c>
      <c r="H126" s="4"/>
      <c r="I126" s="4"/>
      <c r="J126" s="4"/>
      <c r="K126" s="4"/>
    </row>
    <row r="127" spans="2:11" x14ac:dyDescent="0.2">
      <c r="B127" s="6" t="e">
        <f>IF(B126&lt;('Contributions calculator'!#REF!-250),Codes!B126+250,"")</f>
        <v>#REF!</v>
      </c>
      <c r="H127" s="4"/>
      <c r="I127" s="4"/>
      <c r="J127" s="4"/>
      <c r="K127" s="4"/>
    </row>
    <row r="128" spans="2:11" x14ac:dyDescent="0.2">
      <c r="B128" s="6" t="e">
        <f>IF(B127&lt;('Contributions calculator'!#REF!-250),Codes!B127+250,"")</f>
        <v>#REF!</v>
      </c>
      <c r="H128" s="4"/>
      <c r="I128" s="4"/>
      <c r="J128" s="4"/>
      <c r="K128" s="4"/>
    </row>
    <row r="129" spans="2:11" x14ac:dyDescent="0.2">
      <c r="B129" s="6" t="e">
        <f>IF(B128&lt;('Contributions calculator'!#REF!-250),Codes!B128+250,"")</f>
        <v>#REF!</v>
      </c>
      <c r="H129" s="4"/>
      <c r="I129" s="4"/>
      <c r="J129" s="4"/>
      <c r="K129" s="4"/>
    </row>
    <row r="130" spans="2:11" x14ac:dyDescent="0.2">
      <c r="B130" s="6" t="e">
        <f>IF(B129&lt;('Contributions calculator'!#REF!-250),Codes!B129+250,"")</f>
        <v>#REF!</v>
      </c>
      <c r="H130" s="4"/>
      <c r="I130" s="4"/>
      <c r="J130" s="4"/>
      <c r="K130" s="4"/>
    </row>
    <row r="131" spans="2:11" x14ac:dyDescent="0.2">
      <c r="B131" s="6" t="e">
        <f>IF(B130&lt;('Contributions calculator'!#REF!-250),Codes!B130+250,"")</f>
        <v>#REF!</v>
      </c>
      <c r="H131" s="4"/>
      <c r="I131" s="4"/>
      <c r="J131" s="4"/>
      <c r="K131" s="4"/>
    </row>
    <row r="132" spans="2:11" x14ac:dyDescent="0.2">
      <c r="B132" s="6" t="e">
        <f>IF(B131&lt;('Contributions calculator'!#REF!-250),Codes!B131+250,"")</f>
        <v>#REF!</v>
      </c>
      <c r="H132" s="4"/>
      <c r="I132" s="4"/>
      <c r="J132" s="4"/>
      <c r="K132" s="4"/>
    </row>
    <row r="133" spans="2:11" x14ac:dyDescent="0.2">
      <c r="B133" s="6" t="e">
        <f>IF(B132&lt;('Contributions calculator'!#REF!-250),Codes!B132+250,"")</f>
        <v>#REF!</v>
      </c>
      <c r="H133" s="4"/>
      <c r="I133" s="4"/>
      <c r="J133" s="4"/>
      <c r="K133" s="4"/>
    </row>
    <row r="134" spans="2:11" x14ac:dyDescent="0.2">
      <c r="B134" s="6" t="e">
        <f>IF(B133&lt;('Contributions calculator'!#REF!-250),Codes!B133+250,"")</f>
        <v>#REF!</v>
      </c>
      <c r="H134" s="4"/>
      <c r="I134" s="4"/>
      <c r="J134" s="4"/>
      <c r="K134" s="4"/>
    </row>
    <row r="135" spans="2:11" x14ac:dyDescent="0.2">
      <c r="B135" s="6" t="e">
        <f>IF(B134&lt;('Contributions calculator'!#REF!-250),Codes!B134+250,"")</f>
        <v>#REF!</v>
      </c>
      <c r="H135" s="4"/>
      <c r="I135" s="4"/>
      <c r="J135" s="4"/>
      <c r="K135" s="4"/>
    </row>
    <row r="136" spans="2:11" x14ac:dyDescent="0.2">
      <c r="B136" s="6" t="e">
        <f>IF(B135&lt;('Contributions calculator'!#REF!-250),Codes!B135+250,"")</f>
        <v>#REF!</v>
      </c>
      <c r="H136" s="4"/>
      <c r="I136" s="4"/>
      <c r="J136" s="4"/>
      <c r="K136" s="4"/>
    </row>
    <row r="137" spans="2:11" x14ac:dyDescent="0.2">
      <c r="B137" s="6" t="e">
        <f>IF(B136&lt;('Contributions calculator'!#REF!-250),Codes!B136+250,"")</f>
        <v>#REF!</v>
      </c>
      <c r="H137" s="4"/>
      <c r="I137" s="4"/>
      <c r="J137" s="4"/>
      <c r="K137" s="4"/>
    </row>
    <row r="138" spans="2:11" x14ac:dyDescent="0.2">
      <c r="B138" s="6" t="e">
        <f>IF(B137&lt;('Contributions calculator'!#REF!-250),Codes!B137+250,"")</f>
        <v>#REF!</v>
      </c>
      <c r="H138" s="4"/>
      <c r="I138" s="4"/>
      <c r="J138" s="4"/>
      <c r="K138" s="4"/>
    </row>
    <row r="139" spans="2:11" x14ac:dyDescent="0.2">
      <c r="B139" s="6" t="e">
        <f>IF(B138&lt;('Contributions calculator'!#REF!-250),Codes!B138+250,"")</f>
        <v>#REF!</v>
      </c>
      <c r="H139" s="4"/>
      <c r="I139" s="4"/>
      <c r="J139" s="4"/>
      <c r="K139" s="4"/>
    </row>
    <row r="140" spans="2:11" x14ac:dyDescent="0.2">
      <c r="B140" s="6" t="e">
        <f>IF(B139&lt;('Contributions calculator'!#REF!-250),Codes!B139+250,"")</f>
        <v>#REF!</v>
      </c>
      <c r="H140" s="4"/>
      <c r="I140" s="4"/>
      <c r="J140" s="4"/>
      <c r="K140" s="4"/>
    </row>
    <row r="141" spans="2:11" x14ac:dyDescent="0.2">
      <c r="B141" s="6" t="e">
        <f>IF(B140&lt;('Contributions calculator'!#REF!-250),Codes!B140+250,"")</f>
        <v>#REF!</v>
      </c>
      <c r="H141" s="4"/>
      <c r="I141" s="4"/>
      <c r="J141" s="4"/>
      <c r="K141" s="4"/>
    </row>
    <row r="142" spans="2:11" x14ac:dyDescent="0.2">
      <c r="B142" s="6" t="e">
        <f>IF(B141&lt;('Contributions calculator'!#REF!-250),Codes!B141+250,"")</f>
        <v>#REF!</v>
      </c>
      <c r="H142" s="4"/>
      <c r="I142" s="4"/>
      <c r="J142" s="4"/>
      <c r="K142" s="4"/>
    </row>
    <row r="143" spans="2:11" x14ac:dyDescent="0.2">
      <c r="B143" s="6" t="e">
        <f>IF(B142&lt;('Contributions calculator'!#REF!-250),Codes!B142+250,"")</f>
        <v>#REF!</v>
      </c>
      <c r="H143" s="4"/>
      <c r="I143" s="4"/>
      <c r="J143" s="4"/>
      <c r="K143" s="4"/>
    </row>
    <row r="144" spans="2:11" x14ac:dyDescent="0.2">
      <c r="B144" s="6" t="e">
        <f>IF(B143&lt;('Contributions calculator'!#REF!-250),Codes!B143+250,"")</f>
        <v>#REF!</v>
      </c>
      <c r="H144" s="4"/>
      <c r="I144" s="4"/>
      <c r="J144" s="4"/>
      <c r="K144" s="4"/>
    </row>
    <row r="145" spans="2:11" x14ac:dyDescent="0.2">
      <c r="B145" s="6" t="e">
        <f>IF(B144&lt;('Contributions calculator'!#REF!-250),Codes!B144+250,"")</f>
        <v>#REF!</v>
      </c>
      <c r="H145" s="4"/>
      <c r="I145" s="4"/>
      <c r="J145" s="4"/>
      <c r="K145" s="4"/>
    </row>
    <row r="146" spans="2:11" x14ac:dyDescent="0.2">
      <c r="B146" s="6" t="e">
        <f>IF(B145&lt;('Contributions calculator'!#REF!-250),Codes!B145+250,"")</f>
        <v>#REF!</v>
      </c>
      <c r="H146" s="4"/>
      <c r="I146" s="4"/>
      <c r="J146" s="4"/>
      <c r="K146" s="4"/>
    </row>
    <row r="147" spans="2:11" x14ac:dyDescent="0.2">
      <c r="B147" s="6" t="e">
        <f>IF(B146&lt;('Contributions calculator'!#REF!-250),Codes!B146+250,"")</f>
        <v>#REF!</v>
      </c>
      <c r="H147" s="4"/>
      <c r="I147" s="4"/>
      <c r="J147" s="4"/>
      <c r="K147" s="4"/>
    </row>
    <row r="148" spans="2:11" x14ac:dyDescent="0.2">
      <c r="B148" s="6" t="e">
        <f>IF(B147&lt;('Contributions calculator'!#REF!-250),Codes!B147+250,"")</f>
        <v>#REF!</v>
      </c>
      <c r="H148" s="4"/>
      <c r="I148" s="4"/>
      <c r="J148" s="4"/>
      <c r="K148" s="4"/>
    </row>
    <row r="149" spans="2:11" x14ac:dyDescent="0.2">
      <c r="B149" s="6" t="e">
        <f>IF(B148&lt;('Contributions calculator'!#REF!-250),Codes!B148+250,"")</f>
        <v>#REF!</v>
      </c>
      <c r="H149" s="4"/>
      <c r="I149" s="4"/>
      <c r="J149" s="4"/>
      <c r="K149" s="4"/>
    </row>
    <row r="150" spans="2:11" x14ac:dyDescent="0.2">
      <c r="B150" s="6" t="e">
        <f>IF(B149&lt;('Contributions calculator'!#REF!-250),Codes!B149+250,"")</f>
        <v>#REF!</v>
      </c>
      <c r="H150" s="4"/>
      <c r="I150" s="4"/>
      <c r="J150" s="4"/>
      <c r="K150" s="4"/>
    </row>
    <row r="151" spans="2:11" x14ac:dyDescent="0.2">
      <c r="B151" s="6" t="e">
        <f>IF(B150&lt;('Contributions calculator'!#REF!-250),Codes!B150+250,"")</f>
        <v>#REF!</v>
      </c>
      <c r="H151" s="4"/>
      <c r="I151" s="4"/>
      <c r="J151" s="4"/>
      <c r="K151" s="4"/>
    </row>
    <row r="152" spans="2:11" x14ac:dyDescent="0.2">
      <c r="B152" s="6" t="e">
        <f>IF(B151&lt;('Contributions calculator'!#REF!-250),Codes!B151+250,"")</f>
        <v>#REF!</v>
      </c>
      <c r="H152" s="4"/>
      <c r="I152" s="4"/>
      <c r="J152" s="4"/>
      <c r="K152" s="4"/>
    </row>
    <row r="153" spans="2:11" x14ac:dyDescent="0.2">
      <c r="B153" s="6" t="e">
        <f>IF(B152&lt;('Contributions calculator'!#REF!-250),Codes!B152+250,"")</f>
        <v>#REF!</v>
      </c>
      <c r="H153" s="4"/>
      <c r="I153" s="4"/>
      <c r="J153" s="4"/>
      <c r="K153" s="4"/>
    </row>
    <row r="154" spans="2:11" x14ac:dyDescent="0.2">
      <c r="B154" s="6" t="e">
        <f>IF(B153&lt;('Contributions calculator'!#REF!-250),Codes!B153+250,"")</f>
        <v>#REF!</v>
      </c>
      <c r="H154" s="4"/>
      <c r="I154" s="4"/>
      <c r="J154" s="4"/>
      <c r="K154" s="4"/>
    </row>
    <row r="155" spans="2:11" x14ac:dyDescent="0.2">
      <c r="B155" s="6" t="e">
        <f>IF(B154&lt;('Contributions calculator'!#REF!-250),Codes!B154+250,"")</f>
        <v>#REF!</v>
      </c>
      <c r="H155" s="4"/>
      <c r="I155" s="4"/>
      <c r="J155" s="4"/>
      <c r="K155" s="4"/>
    </row>
    <row r="156" spans="2:11" x14ac:dyDescent="0.2">
      <c r="B156" s="6" t="e">
        <f>IF(B155&lt;('Contributions calculator'!#REF!-250),Codes!B155+250,"")</f>
        <v>#REF!</v>
      </c>
      <c r="H156" s="4"/>
      <c r="I156" s="4"/>
      <c r="J156" s="4"/>
      <c r="K156" s="4"/>
    </row>
    <row r="157" spans="2:11" x14ac:dyDescent="0.2">
      <c r="B157" s="6" t="e">
        <f>IF(B156&lt;('Contributions calculator'!#REF!-250),Codes!B156+250,"")</f>
        <v>#REF!</v>
      </c>
      <c r="H157" s="4"/>
      <c r="I157" s="4"/>
      <c r="J157" s="4"/>
      <c r="K157" s="4"/>
    </row>
    <row r="158" spans="2:11" x14ac:dyDescent="0.2">
      <c r="B158" s="6" t="e">
        <f>IF(B157&lt;('Contributions calculator'!#REF!-250),Codes!B157+250,"")</f>
        <v>#REF!</v>
      </c>
      <c r="H158" s="4"/>
      <c r="I158" s="4"/>
      <c r="J158" s="4"/>
      <c r="K158" s="4"/>
    </row>
    <row r="159" spans="2:11" x14ac:dyDescent="0.2">
      <c r="B159" s="6" t="e">
        <f>IF(B158&lt;('Contributions calculator'!#REF!-250),Codes!B158+250,"")</f>
        <v>#REF!</v>
      </c>
      <c r="H159" s="4"/>
      <c r="I159" s="4"/>
      <c r="J159" s="4"/>
      <c r="K159" s="4"/>
    </row>
    <row r="160" spans="2:11" x14ac:dyDescent="0.2">
      <c r="B160" s="6" t="e">
        <f>IF(B159&lt;('Contributions calculator'!#REF!-250),Codes!B159+250,"")</f>
        <v>#REF!</v>
      </c>
      <c r="H160" s="4"/>
      <c r="I160" s="4"/>
      <c r="J160" s="4"/>
      <c r="K160" s="4"/>
    </row>
    <row r="161" spans="2:11" x14ac:dyDescent="0.2">
      <c r="B161" s="6" t="e">
        <f>IF(B160&lt;('Contributions calculator'!#REF!-250),Codes!B160+250,"")</f>
        <v>#REF!</v>
      </c>
      <c r="H161" s="4"/>
      <c r="I161" s="4"/>
      <c r="J161" s="4"/>
      <c r="K161" s="4"/>
    </row>
    <row r="162" spans="2:11" x14ac:dyDescent="0.2">
      <c r="B162" s="6" t="e">
        <f>IF(B161&lt;('Contributions calculator'!#REF!-250),Codes!B161+250,"")</f>
        <v>#REF!</v>
      </c>
      <c r="H162" s="4"/>
      <c r="I162" s="4"/>
      <c r="J162" s="4"/>
      <c r="K162" s="4"/>
    </row>
    <row r="163" spans="2:11" x14ac:dyDescent="0.2">
      <c r="B163" s="6" t="e">
        <f>IF(B162&lt;('Contributions calculator'!#REF!-250),Codes!B162+250,"")</f>
        <v>#REF!</v>
      </c>
      <c r="H163" s="4"/>
      <c r="I163" s="4"/>
      <c r="J163" s="4"/>
      <c r="K163" s="4"/>
    </row>
    <row r="164" spans="2:11" x14ac:dyDescent="0.2">
      <c r="B164" s="6" t="e">
        <f>IF(B163&lt;('Contributions calculator'!#REF!-250),Codes!B163+250,"")</f>
        <v>#REF!</v>
      </c>
      <c r="H164" s="4"/>
      <c r="I164" s="4"/>
      <c r="J164" s="4"/>
      <c r="K164" s="4"/>
    </row>
    <row r="165" spans="2:11" x14ac:dyDescent="0.2">
      <c r="B165" s="6" t="e">
        <f>IF(B164&lt;('Contributions calculator'!#REF!-250),Codes!B164+250,"")</f>
        <v>#REF!</v>
      </c>
      <c r="H165" s="4"/>
      <c r="I165" s="4"/>
      <c r="J165" s="4"/>
      <c r="K165" s="4"/>
    </row>
    <row r="166" spans="2:11" x14ac:dyDescent="0.2">
      <c r="B166" s="6" t="e">
        <f>IF(B165&lt;('Contributions calculator'!#REF!-250),Codes!B165+250,"")</f>
        <v>#REF!</v>
      </c>
      <c r="H166" s="4"/>
      <c r="I166" s="4"/>
      <c r="J166" s="4"/>
      <c r="K166" s="4"/>
    </row>
    <row r="167" spans="2:11" x14ac:dyDescent="0.2">
      <c r="B167" s="6" t="e">
        <f>IF(B166&lt;('Contributions calculator'!#REF!-250),Codes!B166+250,"")</f>
        <v>#REF!</v>
      </c>
      <c r="H167" s="4"/>
      <c r="I167" s="4"/>
      <c r="J167" s="4"/>
      <c r="K167" s="4"/>
    </row>
    <row r="168" spans="2:11" x14ac:dyDescent="0.2">
      <c r="B168" s="6" t="e">
        <f>IF(B167&lt;('Contributions calculator'!#REF!-250),Codes!B167+250,"")</f>
        <v>#REF!</v>
      </c>
      <c r="H168" s="4"/>
      <c r="I168" s="4"/>
      <c r="J168" s="4"/>
      <c r="K168" s="4"/>
    </row>
    <row r="169" spans="2:11" x14ac:dyDescent="0.2">
      <c r="B169" s="6" t="e">
        <f>IF(B168&lt;('Contributions calculator'!#REF!-250),Codes!B168+250,"")</f>
        <v>#REF!</v>
      </c>
      <c r="H169" s="4"/>
      <c r="I169" s="4"/>
      <c r="J169" s="4"/>
      <c r="K169" s="4"/>
    </row>
    <row r="170" spans="2:11" x14ac:dyDescent="0.2">
      <c r="B170" s="6" t="e">
        <f>IF(B169&lt;('Contributions calculator'!#REF!-250),Codes!B169+250,"")</f>
        <v>#REF!</v>
      </c>
      <c r="H170" s="4"/>
      <c r="I170" s="4"/>
      <c r="J170" s="4"/>
      <c r="K170" s="4"/>
    </row>
    <row r="171" spans="2:11" x14ac:dyDescent="0.2">
      <c r="B171" s="6" t="e">
        <f>IF(B170&lt;('Contributions calculator'!#REF!-250),Codes!B170+250,"")</f>
        <v>#REF!</v>
      </c>
      <c r="H171" s="4"/>
      <c r="I171" s="4"/>
      <c r="J171" s="4"/>
      <c r="K171" s="4"/>
    </row>
    <row r="172" spans="2:11" x14ac:dyDescent="0.2">
      <c r="B172" s="6" t="e">
        <f>IF(B171&lt;('Contributions calculator'!#REF!-250),Codes!B171+250,"")</f>
        <v>#REF!</v>
      </c>
      <c r="H172" s="4"/>
      <c r="I172" s="4"/>
      <c r="J172" s="4"/>
      <c r="K172" s="4"/>
    </row>
    <row r="173" spans="2:11" x14ac:dyDescent="0.2">
      <c r="B173" s="6" t="e">
        <f>IF(B172&lt;('Contributions calculator'!#REF!-250),Codes!B172+250,"")</f>
        <v>#REF!</v>
      </c>
      <c r="H173" s="4"/>
      <c r="I173" s="4"/>
      <c r="J173" s="4"/>
      <c r="K173" s="4"/>
    </row>
    <row r="174" spans="2:11" x14ac:dyDescent="0.2">
      <c r="B174" s="6" t="e">
        <f>IF(B173&lt;('Contributions calculator'!#REF!-250),Codes!B173+250,"")</f>
        <v>#REF!</v>
      </c>
      <c r="H174" s="4"/>
      <c r="I174" s="4"/>
      <c r="J174" s="4"/>
      <c r="K174" s="4"/>
    </row>
    <row r="175" spans="2:11" x14ac:dyDescent="0.2">
      <c r="B175" s="6" t="e">
        <f>IF(B174&lt;('Contributions calculator'!#REF!-250),Codes!B174+250,"")</f>
        <v>#REF!</v>
      </c>
      <c r="H175" s="4"/>
      <c r="I175" s="4"/>
      <c r="J175" s="4"/>
      <c r="K175" s="4"/>
    </row>
    <row r="176" spans="2:11" x14ac:dyDescent="0.2">
      <c r="B176" s="6" t="e">
        <f>IF(B175&lt;('Contributions calculator'!#REF!-250),Codes!B175+250,"")</f>
        <v>#REF!</v>
      </c>
      <c r="H176" s="4"/>
      <c r="I176" s="4"/>
      <c r="J176" s="4"/>
      <c r="K176" s="4"/>
    </row>
    <row r="177" spans="2:11" x14ac:dyDescent="0.2">
      <c r="B177" s="6" t="e">
        <f>IF(B176&lt;('Contributions calculator'!#REF!-250),Codes!B176+250,"")</f>
        <v>#REF!</v>
      </c>
      <c r="H177" s="4"/>
      <c r="I177" s="4"/>
      <c r="J177" s="4"/>
      <c r="K177" s="4"/>
    </row>
    <row r="178" spans="2:11" x14ac:dyDescent="0.2">
      <c r="B178" s="6" t="e">
        <f>IF(B177&lt;('Contributions calculator'!#REF!-250),Codes!B177+250,"")</f>
        <v>#REF!</v>
      </c>
      <c r="H178" s="4"/>
      <c r="I178" s="4"/>
      <c r="J178" s="4"/>
      <c r="K178" s="4"/>
    </row>
    <row r="179" spans="2:11" x14ac:dyDescent="0.2">
      <c r="B179" s="6" t="e">
        <f>IF(B178&lt;('Contributions calculator'!#REF!-250),Codes!B178+250,"")</f>
        <v>#REF!</v>
      </c>
      <c r="H179" s="4"/>
      <c r="I179" s="4"/>
      <c r="J179" s="4"/>
      <c r="K179" s="4"/>
    </row>
    <row r="180" spans="2:11" x14ac:dyDescent="0.2">
      <c r="B180" s="6" t="e">
        <f>IF(B179&lt;('Contributions calculator'!#REF!-250),Codes!B179+250,"")</f>
        <v>#REF!</v>
      </c>
      <c r="H180" s="4"/>
      <c r="I180" s="4"/>
      <c r="J180" s="4"/>
      <c r="K180" s="4"/>
    </row>
    <row r="181" spans="2:11" x14ac:dyDescent="0.2">
      <c r="B181" s="6" t="e">
        <f>IF(B180&lt;('Contributions calculator'!#REF!-250),Codes!B180+250,"")</f>
        <v>#REF!</v>
      </c>
      <c r="H181" s="4"/>
      <c r="I181" s="4"/>
      <c r="J181" s="4"/>
      <c r="K181" s="4"/>
    </row>
    <row r="182" spans="2:11" x14ac:dyDescent="0.2">
      <c r="B182" s="6" t="e">
        <f>IF(B181&lt;('Contributions calculator'!#REF!-250),Codes!B181+250,"")</f>
        <v>#REF!</v>
      </c>
      <c r="H182" s="4"/>
      <c r="I182" s="4"/>
      <c r="J182" s="4"/>
      <c r="K182" s="4"/>
    </row>
    <row r="183" spans="2:11" x14ac:dyDescent="0.2">
      <c r="B183" s="6" t="e">
        <f>IF(B182&lt;('Contributions calculator'!#REF!-250),Codes!B182+250,"")</f>
        <v>#REF!</v>
      </c>
      <c r="H183" s="4"/>
      <c r="I183" s="4"/>
      <c r="J183" s="4"/>
      <c r="K183" s="4"/>
    </row>
    <row r="184" spans="2:11" x14ac:dyDescent="0.2">
      <c r="B184" s="6" t="e">
        <f>IF(B183&lt;('Contributions calculator'!#REF!-250),Codes!B183+250,"")</f>
        <v>#REF!</v>
      </c>
      <c r="H184" s="4"/>
      <c r="I184" s="4"/>
      <c r="J184" s="4"/>
      <c r="K184" s="4"/>
    </row>
    <row r="185" spans="2:11" x14ac:dyDescent="0.2">
      <c r="B185" s="6" t="e">
        <f>IF(B184&lt;('Contributions calculator'!#REF!-250),Codes!B184+250,"")</f>
        <v>#REF!</v>
      </c>
      <c r="H185" s="4"/>
      <c r="I185" s="4"/>
      <c r="J185" s="4"/>
      <c r="K185" s="4"/>
    </row>
    <row r="186" spans="2:11" x14ac:dyDescent="0.2">
      <c r="B186" s="6" t="e">
        <f>IF(B185&lt;('Contributions calculator'!#REF!-250),Codes!B185+250,"")</f>
        <v>#REF!</v>
      </c>
      <c r="H186" s="4"/>
      <c r="I186" s="4"/>
      <c r="J186" s="4"/>
      <c r="K186" s="4"/>
    </row>
    <row r="187" spans="2:11" x14ac:dyDescent="0.2">
      <c r="B187" s="6" t="e">
        <f>IF(B186&lt;('Contributions calculator'!#REF!-250),Codes!B186+250,"")</f>
        <v>#REF!</v>
      </c>
      <c r="H187" s="4"/>
      <c r="I187" s="4"/>
      <c r="J187" s="4"/>
      <c r="K187" s="4"/>
    </row>
    <row r="188" spans="2:11" x14ac:dyDescent="0.2">
      <c r="B188" s="6" t="e">
        <f>IF(B187&lt;('Contributions calculator'!#REF!-250),Codes!B187+250,"")</f>
        <v>#REF!</v>
      </c>
      <c r="H188" s="4"/>
      <c r="I188" s="4"/>
      <c r="J188" s="4"/>
      <c r="K188" s="4"/>
    </row>
    <row r="189" spans="2:11" x14ac:dyDescent="0.2">
      <c r="B189" s="6" t="e">
        <f>IF(B188&lt;('Contributions calculator'!#REF!-250),Codes!B188+250,"")</f>
        <v>#REF!</v>
      </c>
      <c r="H189" s="4"/>
      <c r="I189" s="4"/>
      <c r="J189" s="4"/>
      <c r="K189" s="4"/>
    </row>
    <row r="190" spans="2:11" x14ac:dyDescent="0.2">
      <c r="B190" s="6" t="e">
        <f>IF(B189&lt;('Contributions calculator'!#REF!-250),Codes!B189+250,"")</f>
        <v>#REF!</v>
      </c>
      <c r="H190" s="4"/>
      <c r="I190" s="4"/>
      <c r="J190" s="4"/>
      <c r="K190" s="4"/>
    </row>
    <row r="191" spans="2:11" x14ac:dyDescent="0.2">
      <c r="B191" s="6" t="e">
        <f>IF(B190&lt;('Contributions calculator'!#REF!-250),Codes!B190+250,"")</f>
        <v>#REF!</v>
      </c>
      <c r="H191" s="4"/>
      <c r="I191" s="4"/>
      <c r="J191" s="4"/>
      <c r="K191" s="4"/>
    </row>
    <row r="192" spans="2:11" x14ac:dyDescent="0.2">
      <c r="B192" s="6" t="e">
        <f>IF(B191&lt;('Contributions calculator'!#REF!-250),Codes!B191+250,"")</f>
        <v>#REF!</v>
      </c>
      <c r="H192" s="4"/>
      <c r="I192" s="4"/>
      <c r="J192" s="4"/>
      <c r="K192" s="4"/>
    </row>
    <row r="193" spans="2:11" x14ac:dyDescent="0.2">
      <c r="B193" s="6" t="e">
        <f>IF(B192&lt;('Contributions calculator'!#REF!-250),Codes!B192+250,"")</f>
        <v>#REF!</v>
      </c>
      <c r="H193" s="4"/>
      <c r="I193" s="4"/>
      <c r="J193" s="4"/>
      <c r="K193" s="4"/>
    </row>
    <row r="194" spans="2:11" x14ac:dyDescent="0.2">
      <c r="B194" s="6" t="e">
        <f>IF(B193&lt;('Contributions calculator'!#REF!-250),Codes!B193+250,"")</f>
        <v>#REF!</v>
      </c>
      <c r="H194" s="4"/>
      <c r="I194" s="4"/>
      <c r="J194" s="4"/>
      <c r="K194" s="4"/>
    </row>
    <row r="195" spans="2:11" x14ac:dyDescent="0.2">
      <c r="B195" s="6" t="e">
        <f>IF(B194&lt;('Contributions calculator'!#REF!-250),Codes!B194+250,"")</f>
        <v>#REF!</v>
      </c>
      <c r="H195" s="4"/>
      <c r="I195" s="4"/>
      <c r="J195" s="4"/>
      <c r="K195" s="4"/>
    </row>
    <row r="196" spans="2:11" x14ac:dyDescent="0.2">
      <c r="B196" s="6" t="e">
        <f>IF(B195&lt;('Contributions calculator'!#REF!-250),Codes!B195+250,"")</f>
        <v>#REF!</v>
      </c>
      <c r="H196" s="4"/>
      <c r="I196" s="4"/>
      <c r="J196" s="4"/>
      <c r="K196" s="4"/>
    </row>
    <row r="197" spans="2:11" x14ac:dyDescent="0.2">
      <c r="B197" s="6" t="e">
        <f>IF(B196&lt;('Contributions calculator'!#REF!-250),Codes!B196+250,"")</f>
        <v>#REF!</v>
      </c>
      <c r="H197" s="4"/>
      <c r="I197" s="4"/>
      <c r="J197" s="4"/>
      <c r="K197" s="4"/>
    </row>
    <row r="198" spans="2:11" x14ac:dyDescent="0.2">
      <c r="B198" s="6" t="e">
        <f>IF(B197&lt;('Contributions calculator'!#REF!-250),Codes!B197+250,"")</f>
        <v>#REF!</v>
      </c>
      <c r="H198" s="4"/>
      <c r="I198" s="4"/>
      <c r="J198" s="4"/>
      <c r="K198" s="4"/>
    </row>
    <row r="199" spans="2:11" x14ac:dyDescent="0.2">
      <c r="B199" s="6" t="e">
        <f>IF(B198&lt;('Contributions calculator'!#REF!-250),Codes!B198+250,"")</f>
        <v>#REF!</v>
      </c>
      <c r="H199" s="4"/>
      <c r="I199" s="4"/>
      <c r="J199" s="4"/>
      <c r="K199" s="4"/>
    </row>
    <row r="200" spans="2:11" x14ac:dyDescent="0.2">
      <c r="B200" s="6" t="e">
        <f>IF(B199&lt;('Contributions calculator'!#REF!-250),Codes!B199+250,"")</f>
        <v>#REF!</v>
      </c>
      <c r="H200" s="4"/>
      <c r="I200" s="4"/>
      <c r="J200" s="4"/>
      <c r="K200" s="4"/>
    </row>
    <row r="201" spans="2:11" x14ac:dyDescent="0.2">
      <c r="B201" s="6" t="e">
        <f>IF(B200&lt;('Contributions calculator'!#REF!-250),Codes!B200+250,"")</f>
        <v>#REF!</v>
      </c>
      <c r="H201" s="4"/>
      <c r="I201" s="4"/>
      <c r="J201" s="4"/>
      <c r="K201" s="4"/>
    </row>
    <row r="202" spans="2:11" x14ac:dyDescent="0.2">
      <c r="B202" s="6" t="e">
        <f>IF(B201&lt;('Contributions calculator'!#REF!-250),Codes!B201+250,"")</f>
        <v>#REF!</v>
      </c>
      <c r="H202" s="4"/>
      <c r="I202" s="4"/>
      <c r="J202" s="4"/>
      <c r="K202" s="4"/>
    </row>
    <row r="203" spans="2:11" x14ac:dyDescent="0.2">
      <c r="B203" s="6" t="e">
        <f>IF(B202&lt;('Contributions calculator'!#REF!-250),Codes!B202+250,"")</f>
        <v>#REF!</v>
      </c>
      <c r="H203" s="4"/>
      <c r="I203" s="4"/>
      <c r="J203" s="4"/>
      <c r="K203" s="4"/>
    </row>
    <row r="204" spans="2:11" x14ac:dyDescent="0.2">
      <c r="B204" s="6" t="e">
        <f>IF(B203&lt;('Contributions calculator'!#REF!-250),Codes!B203+250,"")</f>
        <v>#REF!</v>
      </c>
      <c r="H204" s="4"/>
      <c r="I204" s="4"/>
      <c r="J204" s="4"/>
      <c r="K204" s="4"/>
    </row>
    <row r="205" spans="2:11" x14ac:dyDescent="0.2">
      <c r="B205" s="6" t="e">
        <f>IF(B204&lt;('Contributions calculator'!#REF!-250),Codes!B204+250,"")</f>
        <v>#REF!</v>
      </c>
      <c r="H205" s="4"/>
      <c r="I205" s="4"/>
      <c r="J205" s="4"/>
      <c r="K205" s="4"/>
    </row>
    <row r="206" spans="2:11" x14ac:dyDescent="0.2">
      <c r="B206" s="6" t="e">
        <f>IF(B205&lt;('Contributions calculator'!#REF!-250),Codes!B205+250,"")</f>
        <v>#REF!</v>
      </c>
      <c r="H206" s="4"/>
      <c r="I206" s="4"/>
      <c r="J206" s="4"/>
      <c r="K206" s="4"/>
    </row>
    <row r="207" spans="2:11" x14ac:dyDescent="0.2">
      <c r="B207" s="6" t="e">
        <f>IF(B206&lt;('Contributions calculator'!#REF!-250),Codes!B206+250,"")</f>
        <v>#REF!</v>
      </c>
      <c r="H207" s="4"/>
      <c r="I207" s="4"/>
      <c r="J207" s="4"/>
      <c r="K207" s="4"/>
    </row>
    <row r="208" spans="2:11" x14ac:dyDescent="0.2">
      <c r="B208" s="6" t="e">
        <f>IF(B207&lt;('Contributions calculator'!#REF!-250),Codes!B207+250,"")</f>
        <v>#REF!</v>
      </c>
      <c r="H208" s="4"/>
      <c r="I208" s="4"/>
      <c r="J208" s="4"/>
      <c r="K208" s="4"/>
    </row>
    <row r="209" spans="2:11" x14ac:dyDescent="0.2">
      <c r="B209" s="6" t="e">
        <f>IF(B208&lt;('Contributions calculator'!#REF!-250),Codes!B208+250,"")</f>
        <v>#REF!</v>
      </c>
      <c r="H209" s="4"/>
      <c r="I209" s="4"/>
      <c r="J209" s="4"/>
      <c r="K209" s="4"/>
    </row>
    <row r="210" spans="2:11" x14ac:dyDescent="0.2">
      <c r="B210" s="6" t="e">
        <f>IF(B209&lt;('Contributions calculator'!#REF!-250),Codes!B209+250,"")</f>
        <v>#REF!</v>
      </c>
      <c r="H210" s="4"/>
      <c r="I210" s="4"/>
      <c r="J210" s="4"/>
      <c r="K210" s="4"/>
    </row>
    <row r="211" spans="2:11" x14ac:dyDescent="0.2">
      <c r="B211" s="6" t="e">
        <f>IF(B210&lt;('Contributions calculator'!#REF!-250),Codes!B210+250,"")</f>
        <v>#REF!</v>
      </c>
      <c r="H211" s="4"/>
      <c r="I211" s="4"/>
      <c r="J211" s="4"/>
      <c r="K211" s="4"/>
    </row>
    <row r="212" spans="2:11" x14ac:dyDescent="0.2">
      <c r="B212" s="6" t="e">
        <f>IF(B211&lt;('Contributions calculator'!#REF!-250),Codes!B211+250,"")</f>
        <v>#REF!</v>
      </c>
      <c r="H212" s="4"/>
      <c r="I212" s="4"/>
      <c r="J212" s="4"/>
      <c r="K212" s="4"/>
    </row>
    <row r="213" spans="2:11" x14ac:dyDescent="0.2">
      <c r="B213" s="6" t="e">
        <f>IF(B212&lt;('Contributions calculator'!#REF!-250),Codes!B212+250,"")</f>
        <v>#REF!</v>
      </c>
      <c r="H213" s="4"/>
      <c r="I213" s="4"/>
      <c r="J213" s="4"/>
      <c r="K213" s="4"/>
    </row>
    <row r="214" spans="2:11" x14ac:dyDescent="0.2">
      <c r="B214" s="6" t="e">
        <f>IF(B213&lt;('Contributions calculator'!#REF!-250),Codes!B213+250,"")</f>
        <v>#REF!</v>
      </c>
      <c r="H214" s="4"/>
      <c r="I214" s="4"/>
      <c r="J214" s="4"/>
      <c r="K214" s="4"/>
    </row>
    <row r="215" spans="2:11" x14ac:dyDescent="0.2">
      <c r="B215" s="6" t="e">
        <f>IF(B214&lt;('Contributions calculator'!#REF!-250),Codes!B214+250,"")</f>
        <v>#REF!</v>
      </c>
      <c r="H215" s="4"/>
      <c r="I215" s="4"/>
      <c r="J215" s="4"/>
      <c r="K215" s="4"/>
    </row>
    <row r="216" spans="2:11" x14ac:dyDescent="0.2">
      <c r="B216" s="6" t="e">
        <f>IF(B215&lt;('Contributions calculator'!#REF!-250),Codes!B215+250,"")</f>
        <v>#REF!</v>
      </c>
      <c r="H216" s="4"/>
      <c r="I216" s="4"/>
      <c r="J216" s="4"/>
      <c r="K216" s="4"/>
    </row>
    <row r="217" spans="2:11" x14ac:dyDescent="0.2">
      <c r="B217" s="6" t="e">
        <f>IF(B216&lt;('Contributions calculator'!#REF!-250),Codes!B216+250,"")</f>
        <v>#REF!</v>
      </c>
      <c r="H217" s="4"/>
      <c r="I217" s="4"/>
      <c r="J217" s="4"/>
      <c r="K217" s="4"/>
    </row>
    <row r="218" spans="2:11" x14ac:dyDescent="0.2">
      <c r="B218" s="6" t="e">
        <f>IF(B217&lt;('Contributions calculator'!#REF!-250),Codes!B217+250,"")</f>
        <v>#REF!</v>
      </c>
      <c r="H218" s="4"/>
      <c r="I218" s="4"/>
      <c r="J218" s="4"/>
      <c r="K218" s="4"/>
    </row>
    <row r="219" spans="2:11" x14ac:dyDescent="0.2">
      <c r="B219" s="6" t="e">
        <f>IF(B218&lt;('Contributions calculator'!#REF!-250),Codes!B218+250,"")</f>
        <v>#REF!</v>
      </c>
      <c r="H219" s="4"/>
      <c r="I219" s="4"/>
      <c r="J219" s="4"/>
      <c r="K219" s="4"/>
    </row>
    <row r="220" spans="2:11" x14ac:dyDescent="0.2">
      <c r="B220" s="6" t="e">
        <f>IF(B219&lt;('Contributions calculator'!#REF!-250),Codes!B219+250,"")</f>
        <v>#REF!</v>
      </c>
      <c r="H220" s="4"/>
      <c r="I220" s="4"/>
      <c r="J220" s="4"/>
      <c r="K220" s="4"/>
    </row>
    <row r="221" spans="2:11" x14ac:dyDescent="0.2">
      <c r="B221" s="6" t="e">
        <f>IF(B220&lt;('Contributions calculator'!#REF!-250),Codes!B220+250,"")</f>
        <v>#REF!</v>
      </c>
      <c r="H221" s="4"/>
      <c r="I221" s="4"/>
      <c r="J221" s="4"/>
      <c r="K221" s="4"/>
    </row>
    <row r="222" spans="2:11" x14ac:dyDescent="0.2">
      <c r="B222" s="6" t="e">
        <f>IF(B221&lt;('Contributions calculator'!#REF!-250),Codes!B221+250,"")</f>
        <v>#REF!</v>
      </c>
      <c r="H222" s="4"/>
      <c r="I222" s="4"/>
      <c r="J222" s="4"/>
      <c r="K222" s="4"/>
    </row>
    <row r="223" spans="2:11" x14ac:dyDescent="0.2">
      <c r="B223" s="6" t="e">
        <f>IF(B222&lt;('Contributions calculator'!#REF!-250),Codes!B222+250,"")</f>
        <v>#REF!</v>
      </c>
      <c r="H223" s="4"/>
      <c r="I223" s="4"/>
      <c r="J223" s="4"/>
      <c r="K223" s="4"/>
    </row>
    <row r="224" spans="2:11" x14ac:dyDescent="0.2">
      <c r="B224" s="6" t="e">
        <f>IF(B223&lt;('Contributions calculator'!#REF!-250),Codes!B223+250,"")</f>
        <v>#REF!</v>
      </c>
      <c r="H224" s="4"/>
      <c r="I224" s="4"/>
      <c r="J224" s="4"/>
      <c r="K224" s="4"/>
    </row>
    <row r="225" spans="2:11" x14ac:dyDescent="0.2">
      <c r="B225" s="6" t="e">
        <f>IF(B224&lt;('Contributions calculator'!#REF!-250),Codes!B224+250,"")</f>
        <v>#REF!</v>
      </c>
      <c r="H225" s="4"/>
      <c r="I225" s="4"/>
      <c r="J225" s="4"/>
      <c r="K225" s="4"/>
    </row>
    <row r="226" spans="2:11" x14ac:dyDescent="0.2">
      <c r="B226" s="6" t="e">
        <f>IF(B225&lt;('Contributions calculator'!#REF!-250),Codes!B225+250,"")</f>
        <v>#REF!</v>
      </c>
      <c r="H226" s="4"/>
      <c r="I226" s="4"/>
      <c r="J226" s="4"/>
      <c r="K226" s="4"/>
    </row>
    <row r="227" spans="2:11" x14ac:dyDescent="0.2">
      <c r="B227" s="6" t="e">
        <f>IF(B226&lt;('Contributions calculator'!#REF!-250),Codes!B226+250,"")</f>
        <v>#REF!</v>
      </c>
      <c r="H227" s="4"/>
      <c r="I227" s="4"/>
      <c r="J227" s="4"/>
      <c r="K227" s="4"/>
    </row>
    <row r="228" spans="2:11" x14ac:dyDescent="0.2">
      <c r="B228" s="6" t="e">
        <f>IF(B227&lt;('Contributions calculator'!#REF!-250),Codes!B227+250,"")</f>
        <v>#REF!</v>
      </c>
      <c r="H228" s="4"/>
      <c r="I228" s="4"/>
      <c r="J228" s="4"/>
      <c r="K228" s="4"/>
    </row>
    <row r="229" spans="2:11" x14ac:dyDescent="0.2">
      <c r="B229" s="6" t="e">
        <f>IF(B228&lt;('Contributions calculator'!#REF!-250),Codes!B228+250,"")</f>
        <v>#REF!</v>
      </c>
      <c r="H229" s="4"/>
      <c r="I229" s="4"/>
      <c r="J229" s="4"/>
      <c r="K229" s="4"/>
    </row>
    <row r="230" spans="2:11" x14ac:dyDescent="0.2">
      <c r="B230" s="6" t="e">
        <f>IF(B229&lt;('Contributions calculator'!#REF!-250),Codes!B229+250,"")</f>
        <v>#REF!</v>
      </c>
      <c r="H230" s="4"/>
      <c r="I230" s="4"/>
      <c r="J230" s="4"/>
      <c r="K230" s="4"/>
    </row>
    <row r="231" spans="2:11" x14ac:dyDescent="0.2">
      <c r="B231" s="6" t="e">
        <f>IF(B230&lt;('Contributions calculator'!#REF!-250),Codes!B230+250,"")</f>
        <v>#REF!</v>
      </c>
      <c r="H231" s="4"/>
      <c r="I231" s="4"/>
      <c r="J231" s="4"/>
      <c r="K231" s="4"/>
    </row>
    <row r="232" spans="2:11" x14ac:dyDescent="0.2">
      <c r="H232" s="4"/>
      <c r="I232" s="4"/>
      <c r="J232" s="4"/>
      <c r="K232" s="4"/>
    </row>
    <row r="233" spans="2:11" x14ac:dyDescent="0.2">
      <c r="H233" s="4"/>
      <c r="I233" s="4"/>
      <c r="J233" s="4"/>
      <c r="K233" s="4"/>
    </row>
    <row r="234" spans="2:11" x14ac:dyDescent="0.2">
      <c r="H234" s="4"/>
      <c r="I234" s="4"/>
      <c r="J234" s="4"/>
      <c r="K234" s="4"/>
    </row>
    <row r="235" spans="2:11" x14ac:dyDescent="0.2">
      <c r="H235" s="4"/>
      <c r="I235" s="4"/>
      <c r="J235" s="4"/>
      <c r="K235" s="4"/>
    </row>
    <row r="236" spans="2:11" x14ac:dyDescent="0.2">
      <c r="H236" s="4"/>
      <c r="I236" s="4"/>
      <c r="J236" s="4"/>
      <c r="K236" s="4"/>
    </row>
    <row r="237" spans="2:11" x14ac:dyDescent="0.2">
      <c r="H237" s="4"/>
      <c r="I237" s="4"/>
      <c r="J237" s="4"/>
      <c r="K237" s="4"/>
    </row>
    <row r="238" spans="2:11" x14ac:dyDescent="0.2">
      <c r="H238" s="4"/>
      <c r="I238" s="4"/>
      <c r="J238" s="4"/>
      <c r="K238" s="4"/>
    </row>
    <row r="239" spans="2:11" x14ac:dyDescent="0.2">
      <c r="H239" s="4"/>
      <c r="I239" s="4"/>
      <c r="J239" s="4"/>
      <c r="K239" s="4"/>
    </row>
    <row r="240" spans="2:11" x14ac:dyDescent="0.2">
      <c r="H240" s="4"/>
      <c r="I240" s="4"/>
      <c r="J240" s="4"/>
      <c r="K240" s="4"/>
    </row>
    <row r="241" spans="8:11" x14ac:dyDescent="0.2">
      <c r="H241" s="4"/>
      <c r="I241" s="4"/>
      <c r="J241" s="4"/>
      <c r="K241" s="4"/>
    </row>
    <row r="242" spans="8:11" x14ac:dyDescent="0.2">
      <c r="H242" s="4"/>
      <c r="I242" s="4"/>
      <c r="J242" s="4"/>
      <c r="K242" s="4"/>
    </row>
    <row r="243" spans="8:11" x14ac:dyDescent="0.2">
      <c r="H243" s="4"/>
      <c r="I243" s="4"/>
      <c r="J243" s="4"/>
      <c r="K243" s="4"/>
    </row>
    <row r="244" spans="8:11" x14ac:dyDescent="0.2">
      <c r="H244" s="4"/>
      <c r="I244" s="4"/>
      <c r="J244" s="4"/>
      <c r="K244" s="4"/>
    </row>
    <row r="245" spans="8:11" x14ac:dyDescent="0.2">
      <c r="H245" s="4"/>
      <c r="I245" s="4"/>
      <c r="J245" s="4"/>
      <c r="K245" s="4"/>
    </row>
    <row r="246" spans="8:11" x14ac:dyDescent="0.2">
      <c r="H246" s="4"/>
      <c r="I246" s="4"/>
      <c r="J246" s="4"/>
      <c r="K246" s="4"/>
    </row>
    <row r="247" spans="8:11" x14ac:dyDescent="0.2">
      <c r="H247" s="4"/>
      <c r="I247" s="4"/>
      <c r="J247" s="4"/>
      <c r="K247" s="4"/>
    </row>
    <row r="248" spans="8:11" x14ac:dyDescent="0.2">
      <c r="H248" s="4"/>
      <c r="I248" s="4"/>
      <c r="J248" s="4"/>
      <c r="K248" s="4"/>
    </row>
    <row r="249" spans="8:11" x14ac:dyDescent="0.2">
      <c r="H249" s="4"/>
      <c r="I249" s="4"/>
      <c r="J249" s="4"/>
      <c r="K249" s="4"/>
    </row>
    <row r="250" spans="8:11" x14ac:dyDescent="0.2">
      <c r="H250" s="4"/>
      <c r="I250" s="4"/>
      <c r="J250" s="4"/>
      <c r="K250" s="4"/>
    </row>
    <row r="251" spans="8:11" x14ac:dyDescent="0.2">
      <c r="H251" s="4"/>
      <c r="I251" s="4"/>
      <c r="J251" s="4"/>
      <c r="K251" s="4"/>
    </row>
    <row r="252" spans="8:11" x14ac:dyDescent="0.2">
      <c r="H252" s="4"/>
      <c r="I252" s="4"/>
      <c r="J252" s="4"/>
      <c r="K252" s="4"/>
    </row>
    <row r="253" spans="8:11" x14ac:dyDescent="0.2">
      <c r="H253" s="4"/>
      <c r="I253" s="4"/>
      <c r="J253" s="4"/>
      <c r="K253" s="4"/>
    </row>
    <row r="254" spans="8:11" x14ac:dyDescent="0.2">
      <c r="H254" s="4"/>
      <c r="I254" s="4"/>
      <c r="J254" s="4"/>
      <c r="K254" s="4"/>
    </row>
    <row r="255" spans="8:11" x14ac:dyDescent="0.2">
      <c r="H255" s="4"/>
      <c r="I255" s="4"/>
      <c r="J255" s="4"/>
      <c r="K255" s="4"/>
    </row>
    <row r="256" spans="8:11" x14ac:dyDescent="0.2">
      <c r="H256" s="4"/>
      <c r="I256" s="4"/>
      <c r="J256" s="4"/>
      <c r="K256" s="4"/>
    </row>
    <row r="257" spans="8:11" x14ac:dyDescent="0.2">
      <c r="H257" s="4"/>
      <c r="I257" s="4"/>
      <c r="J257" s="4"/>
      <c r="K257" s="4"/>
    </row>
    <row r="258" spans="8:11" x14ac:dyDescent="0.2">
      <c r="H258" s="4"/>
      <c r="I258" s="4"/>
      <c r="J258" s="4"/>
      <c r="K258" s="4"/>
    </row>
    <row r="259" spans="8:11" x14ac:dyDescent="0.2">
      <c r="H259" s="4"/>
      <c r="I259" s="4"/>
      <c r="J259" s="4"/>
      <c r="K259" s="4"/>
    </row>
    <row r="260" spans="8:11" x14ac:dyDescent="0.2">
      <c r="H260" s="4"/>
      <c r="I260" s="4"/>
      <c r="J260" s="4"/>
      <c r="K260" s="4"/>
    </row>
    <row r="261" spans="8:11" x14ac:dyDescent="0.2">
      <c r="H261" s="4"/>
      <c r="I261" s="4"/>
      <c r="J261" s="4"/>
      <c r="K261" s="4"/>
    </row>
    <row r="262" spans="8:11" x14ac:dyDescent="0.2">
      <c r="H262" s="4"/>
      <c r="I262" s="4"/>
      <c r="J262" s="4"/>
      <c r="K262" s="4"/>
    </row>
    <row r="263" spans="8:11" x14ac:dyDescent="0.2">
      <c r="H263" s="4"/>
      <c r="I263" s="4"/>
      <c r="J263" s="4"/>
      <c r="K263" s="4"/>
    </row>
    <row r="264" spans="8:11" x14ac:dyDescent="0.2">
      <c r="H264" s="4"/>
      <c r="I264" s="4"/>
      <c r="J264" s="4"/>
      <c r="K264" s="4"/>
    </row>
    <row r="265" spans="8:11" x14ac:dyDescent="0.2">
      <c r="H265" s="4"/>
      <c r="I265" s="4"/>
      <c r="J265" s="4"/>
      <c r="K265" s="4"/>
    </row>
    <row r="266" spans="8:11" x14ac:dyDescent="0.2">
      <c r="H266" s="4"/>
      <c r="I266" s="4"/>
      <c r="J266" s="4"/>
      <c r="K266" s="4"/>
    </row>
    <row r="267" spans="8:11" x14ac:dyDescent="0.2">
      <c r="H267" s="4"/>
      <c r="I267" s="4"/>
      <c r="J267" s="4"/>
      <c r="K267" s="4"/>
    </row>
    <row r="268" spans="8:11" x14ac:dyDescent="0.2">
      <c r="H268" s="4"/>
      <c r="I268" s="4"/>
      <c r="J268" s="4"/>
      <c r="K268" s="4"/>
    </row>
    <row r="269" spans="8:11" x14ac:dyDescent="0.2">
      <c r="H269" s="4"/>
      <c r="I269" s="4"/>
      <c r="J269" s="4"/>
      <c r="K269" s="4"/>
    </row>
    <row r="270" spans="8:11" x14ac:dyDescent="0.2">
      <c r="H270" s="4"/>
      <c r="I270" s="4"/>
      <c r="J270" s="4"/>
      <c r="K270" s="4"/>
    </row>
    <row r="271" spans="8:11" x14ac:dyDescent="0.2">
      <c r="H271" s="4"/>
      <c r="I271" s="4"/>
      <c r="J271" s="4"/>
      <c r="K271" s="4"/>
    </row>
    <row r="272" spans="8:11" x14ac:dyDescent="0.2">
      <c r="H272" s="4"/>
      <c r="I272" s="4"/>
      <c r="J272" s="4"/>
      <c r="K272" s="4"/>
    </row>
    <row r="273" spans="8:11" x14ac:dyDescent="0.2">
      <c r="H273" s="4"/>
      <c r="I273" s="4"/>
      <c r="J273" s="4"/>
      <c r="K273" s="4"/>
    </row>
    <row r="274" spans="8:11" x14ac:dyDescent="0.2">
      <c r="H274" s="4"/>
      <c r="I274" s="4"/>
      <c r="J274" s="4"/>
      <c r="K274" s="4"/>
    </row>
    <row r="275" spans="8:11" x14ac:dyDescent="0.2">
      <c r="H275" s="4"/>
      <c r="I275" s="4"/>
      <c r="J275" s="4"/>
      <c r="K275" s="4"/>
    </row>
    <row r="276" spans="8:11" x14ac:dyDescent="0.2">
      <c r="H276" s="4"/>
      <c r="I276" s="4"/>
      <c r="J276" s="4"/>
      <c r="K276" s="4"/>
    </row>
    <row r="277" spans="8:11" x14ac:dyDescent="0.2">
      <c r="H277" s="4"/>
      <c r="I277" s="4"/>
      <c r="J277" s="4"/>
      <c r="K277" s="4"/>
    </row>
    <row r="278" spans="8:11" x14ac:dyDescent="0.2">
      <c r="H278" s="4"/>
      <c r="I278" s="4"/>
      <c r="J278" s="4"/>
      <c r="K278" s="4"/>
    </row>
    <row r="279" spans="8:11" x14ac:dyDescent="0.2">
      <c r="H279" s="4"/>
      <c r="I279" s="4"/>
      <c r="J279" s="4"/>
      <c r="K279" s="4"/>
    </row>
    <row r="280" spans="8:11" x14ac:dyDescent="0.2">
      <c r="H280" s="4"/>
      <c r="I280" s="4"/>
      <c r="J280" s="4"/>
      <c r="K280" s="4"/>
    </row>
    <row r="281" spans="8:11" x14ac:dyDescent="0.2">
      <c r="H281" s="4"/>
      <c r="I281" s="4"/>
      <c r="J281" s="4"/>
      <c r="K281" s="4"/>
    </row>
    <row r="282" spans="8:11" x14ac:dyDescent="0.2">
      <c r="H282" s="4"/>
      <c r="I282" s="4"/>
      <c r="J282" s="4"/>
      <c r="K282" s="4"/>
    </row>
    <row r="283" spans="8:11" x14ac:dyDescent="0.2">
      <c r="H283" s="4"/>
      <c r="I283" s="4"/>
      <c r="J283" s="4"/>
      <c r="K283" s="4"/>
    </row>
    <row r="284" spans="8:11" x14ac:dyDescent="0.2">
      <c r="H284" s="4"/>
      <c r="I284" s="4"/>
      <c r="J284" s="4"/>
      <c r="K284" s="4"/>
    </row>
    <row r="285" spans="8:11" x14ac:dyDescent="0.2">
      <c r="H285" s="4"/>
      <c r="I285" s="4"/>
      <c r="J285" s="4"/>
      <c r="K285" s="4"/>
    </row>
    <row r="286" spans="8:11" x14ac:dyDescent="0.2">
      <c r="H286" s="4"/>
      <c r="I286" s="4"/>
      <c r="J286" s="4"/>
      <c r="K286" s="4"/>
    </row>
    <row r="287" spans="8:11" x14ac:dyDescent="0.2">
      <c r="H287" s="4"/>
      <c r="I287" s="4"/>
      <c r="J287" s="4"/>
      <c r="K287" s="4"/>
    </row>
    <row r="288" spans="8:11" x14ac:dyDescent="0.2">
      <c r="H288" s="4"/>
      <c r="I288" s="4"/>
      <c r="J288" s="4"/>
      <c r="K288" s="4"/>
    </row>
    <row r="289" spans="8:11" x14ac:dyDescent="0.2">
      <c r="H289" s="4"/>
      <c r="I289" s="4"/>
      <c r="J289" s="4"/>
      <c r="K289" s="4"/>
    </row>
    <row r="290" spans="8:11" x14ac:dyDescent="0.2">
      <c r="H290" s="4"/>
      <c r="I290" s="4"/>
      <c r="J290" s="4"/>
      <c r="K290" s="4"/>
    </row>
    <row r="291" spans="8:11" x14ac:dyDescent="0.2">
      <c r="H291" s="4"/>
      <c r="I291" s="4"/>
      <c r="J291" s="4"/>
      <c r="K291" s="4"/>
    </row>
    <row r="292" spans="8:11" x14ac:dyDescent="0.2">
      <c r="H292" s="4"/>
      <c r="I292" s="4"/>
      <c r="J292" s="4"/>
      <c r="K292" s="4"/>
    </row>
    <row r="293" spans="8:11" x14ac:dyDescent="0.2">
      <c r="H293" s="4"/>
      <c r="I293" s="4"/>
      <c r="J293" s="4"/>
      <c r="K293" s="4"/>
    </row>
    <row r="294" spans="8:11" x14ac:dyDescent="0.2">
      <c r="H294" s="4"/>
      <c r="I294" s="4"/>
      <c r="J294" s="4"/>
      <c r="K294" s="4"/>
    </row>
    <row r="295" spans="8:11" x14ac:dyDescent="0.2">
      <c r="H295" s="4"/>
      <c r="I295" s="4"/>
      <c r="J295" s="4"/>
      <c r="K295" s="4"/>
    </row>
    <row r="296" spans="8:11" x14ac:dyDescent="0.2">
      <c r="H296" s="4"/>
      <c r="I296" s="4"/>
      <c r="J296" s="4"/>
      <c r="K296" s="4"/>
    </row>
    <row r="297" spans="8:11" x14ac:dyDescent="0.2">
      <c r="H297" s="4"/>
      <c r="I297" s="4"/>
      <c r="J297" s="4"/>
      <c r="K297" s="4"/>
    </row>
    <row r="298" spans="8:11" x14ac:dyDescent="0.2">
      <c r="H298" s="4"/>
      <c r="I298" s="4"/>
      <c r="J298" s="4"/>
      <c r="K298" s="4"/>
    </row>
    <row r="299" spans="8:11" x14ac:dyDescent="0.2">
      <c r="H299" s="4"/>
      <c r="I299" s="4"/>
      <c r="J299" s="4"/>
      <c r="K299" s="4"/>
    </row>
    <row r="300" spans="8:11" x14ac:dyDescent="0.2">
      <c r="H300" s="4"/>
      <c r="I300" s="4"/>
      <c r="J300" s="4"/>
      <c r="K300" s="4"/>
    </row>
    <row r="301" spans="8:11" x14ac:dyDescent="0.2">
      <c r="H301" s="4"/>
      <c r="I301" s="4"/>
      <c r="J301" s="4"/>
      <c r="K301" s="4"/>
    </row>
    <row r="302" spans="8:11" x14ac:dyDescent="0.2">
      <c r="H302" s="4"/>
      <c r="I302" s="4"/>
      <c r="J302" s="4"/>
      <c r="K302" s="4"/>
    </row>
    <row r="303" spans="8:11" x14ac:dyDescent="0.2">
      <c r="H303" s="4"/>
      <c r="I303" s="4"/>
      <c r="J303" s="4"/>
      <c r="K303" s="4"/>
    </row>
    <row r="304" spans="8:11" x14ac:dyDescent="0.2">
      <c r="H304" s="4"/>
      <c r="I304" s="4"/>
      <c r="J304" s="4"/>
      <c r="K304" s="4"/>
    </row>
    <row r="305" spans="8:11" x14ac:dyDescent="0.2">
      <c r="H305" s="4"/>
      <c r="I305" s="4"/>
      <c r="J305" s="4"/>
      <c r="K305" s="4"/>
    </row>
    <row r="306" spans="8:11" x14ac:dyDescent="0.2">
      <c r="H306" s="4"/>
      <c r="I306" s="4"/>
      <c r="J306" s="4"/>
      <c r="K306" s="4"/>
    </row>
    <row r="307" spans="8:11" x14ac:dyDescent="0.2">
      <c r="H307" s="4"/>
      <c r="I307" s="4"/>
      <c r="J307" s="4"/>
      <c r="K307" s="4"/>
    </row>
    <row r="308" spans="8:11" x14ac:dyDescent="0.2">
      <c r="H308" s="4"/>
      <c r="I308" s="4"/>
      <c r="J308" s="4"/>
      <c r="K308" s="4"/>
    </row>
    <row r="309" spans="8:11" x14ac:dyDescent="0.2">
      <c r="H309" s="4"/>
      <c r="I309" s="4"/>
      <c r="J309" s="4"/>
      <c r="K309" s="4"/>
    </row>
    <row r="310" spans="8:11" x14ac:dyDescent="0.2">
      <c r="H310" s="4"/>
      <c r="I310" s="4"/>
      <c r="J310" s="4"/>
      <c r="K310" s="4"/>
    </row>
    <row r="311" spans="8:11" x14ac:dyDescent="0.2">
      <c r="H311" s="4"/>
      <c r="I311" s="4"/>
      <c r="J311" s="4"/>
      <c r="K311" s="4"/>
    </row>
    <row r="312" spans="8:11" x14ac:dyDescent="0.2">
      <c r="H312" s="4"/>
      <c r="I312" s="4"/>
      <c r="J312" s="4"/>
      <c r="K312" s="4"/>
    </row>
    <row r="313" spans="8:11" x14ac:dyDescent="0.2">
      <c r="H313" s="4"/>
      <c r="I313" s="4"/>
      <c r="J313" s="4"/>
      <c r="K313" s="4"/>
    </row>
    <row r="314" spans="8:11" x14ac:dyDescent="0.2">
      <c r="H314" s="4"/>
      <c r="I314" s="4"/>
      <c r="J314" s="4"/>
      <c r="K314" s="4"/>
    </row>
    <row r="315" spans="8:11" x14ac:dyDescent="0.2">
      <c r="H315" s="4"/>
      <c r="I315" s="4"/>
      <c r="J315" s="4"/>
      <c r="K315" s="4"/>
    </row>
    <row r="316" spans="8:11" x14ac:dyDescent="0.2">
      <c r="H316" s="4"/>
      <c r="I316" s="4"/>
      <c r="J316" s="4"/>
      <c r="K316" s="4"/>
    </row>
    <row r="317" spans="8:11" x14ac:dyDescent="0.2">
      <c r="H317" s="4"/>
      <c r="I317" s="4"/>
      <c r="J317" s="4"/>
      <c r="K317" s="4"/>
    </row>
    <row r="318" spans="8:11" x14ac:dyDescent="0.2">
      <c r="H318" s="4"/>
      <c r="I318" s="4"/>
      <c r="J318" s="4"/>
      <c r="K318" s="4"/>
    </row>
    <row r="319" spans="8:11" x14ac:dyDescent="0.2">
      <c r="H319" s="4"/>
      <c r="I319" s="4"/>
      <c r="J319" s="4"/>
      <c r="K319" s="4"/>
    </row>
    <row r="320" spans="8:11" x14ac:dyDescent="0.2">
      <c r="H320" s="4"/>
      <c r="I320" s="4"/>
      <c r="J320" s="4"/>
      <c r="K320" s="4"/>
    </row>
    <row r="321" spans="8:11" x14ac:dyDescent="0.2">
      <c r="H321" s="4"/>
      <c r="I321" s="4"/>
      <c r="J321" s="4"/>
      <c r="K321" s="4"/>
    </row>
    <row r="322" spans="8:11" x14ac:dyDescent="0.2">
      <c r="H322" s="4"/>
      <c r="I322" s="4"/>
      <c r="J322" s="4"/>
      <c r="K322" s="4"/>
    </row>
    <row r="323" spans="8:11" x14ac:dyDescent="0.2">
      <c r="H323" s="4"/>
      <c r="I323" s="4"/>
      <c r="J323" s="4"/>
      <c r="K323" s="4"/>
    </row>
    <row r="324" spans="8:11" x14ac:dyDescent="0.2">
      <c r="H324" s="4"/>
      <c r="I324" s="4"/>
      <c r="J324" s="4"/>
      <c r="K324" s="4"/>
    </row>
    <row r="325" spans="8:11" x14ac:dyDescent="0.2">
      <c r="H325" s="4"/>
      <c r="I325" s="4"/>
      <c r="J325" s="4"/>
      <c r="K325" s="4"/>
    </row>
    <row r="326" spans="8:11" x14ac:dyDescent="0.2">
      <c r="H326" s="4"/>
      <c r="I326" s="4"/>
      <c r="J326" s="4"/>
      <c r="K326" s="4"/>
    </row>
    <row r="327" spans="8:11" x14ac:dyDescent="0.2">
      <c r="H327" s="4"/>
      <c r="I327" s="4"/>
      <c r="J327" s="4"/>
      <c r="K327" s="4"/>
    </row>
    <row r="328" spans="8:11" x14ac:dyDescent="0.2">
      <c r="H328" s="4"/>
      <c r="I328" s="4"/>
      <c r="J328" s="4"/>
      <c r="K328" s="4"/>
    </row>
    <row r="329" spans="8:11" x14ac:dyDescent="0.2">
      <c r="H329" s="4"/>
      <c r="I329" s="4"/>
      <c r="J329" s="4"/>
      <c r="K329" s="4"/>
    </row>
    <row r="330" spans="8:11" x14ac:dyDescent="0.2">
      <c r="H330" s="4"/>
      <c r="I330" s="4"/>
      <c r="J330" s="4"/>
      <c r="K330" s="4"/>
    </row>
    <row r="331" spans="8:11" x14ac:dyDescent="0.2">
      <c r="H331" s="4"/>
      <c r="I331" s="4"/>
      <c r="J331" s="4"/>
      <c r="K331" s="4"/>
    </row>
    <row r="332" spans="8:11" x14ac:dyDescent="0.2">
      <c r="H332" s="4"/>
      <c r="I332" s="4"/>
      <c r="J332" s="4"/>
      <c r="K332" s="4"/>
    </row>
    <row r="333" spans="8:11" x14ac:dyDescent="0.2">
      <c r="H333" s="4"/>
      <c r="I333" s="4"/>
      <c r="J333" s="4"/>
      <c r="K333" s="4"/>
    </row>
    <row r="334" spans="8:11" x14ac:dyDescent="0.2">
      <c r="H334" s="4"/>
      <c r="I334" s="4"/>
      <c r="J334" s="4"/>
      <c r="K334" s="4"/>
    </row>
    <row r="335" spans="8:11" x14ac:dyDescent="0.2">
      <c r="H335" s="4"/>
      <c r="I335" s="4"/>
      <c r="J335" s="4"/>
      <c r="K335" s="4"/>
    </row>
    <row r="336" spans="8:11" x14ac:dyDescent="0.2">
      <c r="H336" s="4"/>
      <c r="I336" s="4"/>
      <c r="J336" s="4"/>
      <c r="K336" s="4"/>
    </row>
    <row r="337" spans="8:11" x14ac:dyDescent="0.2">
      <c r="H337" s="4"/>
      <c r="I337" s="4"/>
      <c r="J337" s="4"/>
      <c r="K337" s="4"/>
    </row>
    <row r="338" spans="8:11" x14ac:dyDescent="0.2">
      <c r="H338" s="4"/>
      <c r="I338" s="4"/>
      <c r="J338" s="4"/>
      <c r="K338" s="4"/>
    </row>
    <row r="339" spans="8:11" x14ac:dyDescent="0.2">
      <c r="H339" s="4"/>
      <c r="I339" s="4"/>
      <c r="J339" s="4"/>
      <c r="K339" s="4"/>
    </row>
    <row r="340" spans="8:11" x14ac:dyDescent="0.2">
      <c r="H340" s="4"/>
      <c r="I340" s="4"/>
      <c r="J340" s="4"/>
      <c r="K340" s="4"/>
    </row>
    <row r="341" spans="8:11" x14ac:dyDescent="0.2">
      <c r="H341" s="4"/>
      <c r="I341" s="4"/>
      <c r="J341" s="4"/>
      <c r="K341" s="4"/>
    </row>
    <row r="342" spans="8:11" x14ac:dyDescent="0.2">
      <c r="H342" s="4"/>
      <c r="I342" s="4"/>
      <c r="J342" s="4"/>
      <c r="K342" s="4"/>
    </row>
    <row r="343" spans="8:11" x14ac:dyDescent="0.2">
      <c r="H343" s="4"/>
      <c r="I343" s="4"/>
      <c r="J343" s="4"/>
      <c r="K343" s="4"/>
    </row>
    <row r="344" spans="8:11" x14ac:dyDescent="0.2">
      <c r="H344" s="4"/>
      <c r="I344" s="4"/>
      <c r="J344" s="4"/>
      <c r="K344" s="4"/>
    </row>
    <row r="345" spans="8:11" x14ac:dyDescent="0.2">
      <c r="H345" s="4"/>
      <c r="I345" s="4"/>
      <c r="J345" s="4"/>
      <c r="K345" s="4"/>
    </row>
    <row r="346" spans="8:11" x14ac:dyDescent="0.2">
      <c r="H346" s="4"/>
      <c r="I346" s="4"/>
      <c r="J346" s="4"/>
      <c r="K346" s="4"/>
    </row>
    <row r="347" spans="8:11" x14ac:dyDescent="0.2">
      <c r="H347" s="4"/>
      <c r="I347" s="4"/>
      <c r="J347" s="4"/>
      <c r="K347" s="4"/>
    </row>
    <row r="348" spans="8:11" x14ac:dyDescent="0.2">
      <c r="H348" s="4"/>
      <c r="I348" s="4"/>
      <c r="J348" s="4"/>
      <c r="K348" s="4"/>
    </row>
    <row r="349" spans="8:11" x14ac:dyDescent="0.2">
      <c r="H349" s="4"/>
      <c r="I349" s="4"/>
      <c r="J349" s="4"/>
      <c r="K349" s="4"/>
    </row>
    <row r="350" spans="8:11" x14ac:dyDescent="0.2">
      <c r="H350" s="4"/>
      <c r="I350" s="4"/>
      <c r="J350" s="4"/>
      <c r="K350" s="4"/>
    </row>
    <row r="351" spans="8:11" x14ac:dyDescent="0.2">
      <c r="H351" s="4"/>
      <c r="I351" s="4"/>
      <c r="J351" s="4"/>
      <c r="K351" s="4"/>
    </row>
    <row r="352" spans="8:11" x14ac:dyDescent="0.2">
      <c r="H352" s="4"/>
      <c r="I352" s="4"/>
      <c r="J352" s="4"/>
      <c r="K352" s="4"/>
    </row>
    <row r="353" spans="8:11" x14ac:dyDescent="0.2">
      <c r="H353" s="4"/>
      <c r="I353" s="4"/>
      <c r="J353" s="4"/>
      <c r="K353" s="4"/>
    </row>
    <row r="354" spans="8:11" x14ac:dyDescent="0.2">
      <c r="H354" s="4"/>
      <c r="I354" s="4"/>
      <c r="J354" s="4"/>
      <c r="K354" s="4"/>
    </row>
    <row r="355" spans="8:11" x14ac:dyDescent="0.2">
      <c r="H355" s="4"/>
      <c r="I355" s="4"/>
      <c r="J355" s="4"/>
      <c r="K355" s="4"/>
    </row>
    <row r="356" spans="8:11" x14ac:dyDescent="0.2">
      <c r="H356" s="4"/>
      <c r="I356" s="4"/>
      <c r="J356" s="4"/>
      <c r="K356" s="4"/>
    </row>
    <row r="357" spans="8:11" x14ac:dyDescent="0.2">
      <c r="H357" s="4"/>
      <c r="I357" s="4"/>
      <c r="J357" s="4"/>
      <c r="K357" s="4"/>
    </row>
    <row r="358" spans="8:11" x14ac:dyDescent="0.2">
      <c r="H358" s="4"/>
      <c r="I358" s="4"/>
      <c r="J358" s="4"/>
      <c r="K358" s="4"/>
    </row>
    <row r="359" spans="8:11" x14ac:dyDescent="0.2">
      <c r="H359" s="4"/>
      <c r="I359" s="4"/>
      <c r="J359" s="4"/>
      <c r="K359" s="4"/>
    </row>
    <row r="360" spans="8:11" x14ac:dyDescent="0.2">
      <c r="H360" s="4"/>
      <c r="I360" s="4"/>
      <c r="J360" s="4"/>
      <c r="K360" s="4"/>
    </row>
    <row r="361" spans="8:11" x14ac:dyDescent="0.2">
      <c r="H361" s="4"/>
      <c r="I361" s="4"/>
      <c r="J361" s="4"/>
      <c r="K361" s="4"/>
    </row>
    <row r="362" spans="8:11" x14ac:dyDescent="0.2">
      <c r="H362" s="4"/>
      <c r="I362" s="4"/>
      <c r="J362" s="4"/>
      <c r="K362" s="4"/>
    </row>
    <row r="363" spans="8:11" x14ac:dyDescent="0.2">
      <c r="H363" s="4"/>
      <c r="I363" s="4"/>
      <c r="J363" s="4"/>
      <c r="K363" s="4"/>
    </row>
    <row r="364" spans="8:11" x14ac:dyDescent="0.2">
      <c r="H364" s="4"/>
      <c r="I364" s="4"/>
      <c r="J364" s="4"/>
      <c r="K364" s="4"/>
    </row>
    <row r="365" spans="8:11" x14ac:dyDescent="0.2">
      <c r="H365" s="4"/>
      <c r="I365" s="4"/>
      <c r="J365" s="4"/>
      <c r="K365" s="4"/>
    </row>
    <row r="366" spans="8:11" x14ac:dyDescent="0.2">
      <c r="H366" s="4"/>
      <c r="I366" s="4"/>
      <c r="J366" s="4"/>
      <c r="K366" s="4"/>
    </row>
    <row r="367" spans="8:11" x14ac:dyDescent="0.2">
      <c r="H367" s="4"/>
      <c r="I367" s="4"/>
      <c r="J367" s="4"/>
      <c r="K367" s="4"/>
    </row>
    <row r="368" spans="8:11" x14ac:dyDescent="0.2">
      <c r="H368" s="4"/>
      <c r="I368" s="4"/>
      <c r="J368" s="4"/>
      <c r="K368" s="4"/>
    </row>
    <row r="369" spans="8:11" x14ac:dyDescent="0.2">
      <c r="H369" s="4"/>
      <c r="I369" s="4"/>
      <c r="J369" s="4"/>
      <c r="K369" s="4"/>
    </row>
    <row r="370" spans="8:11" x14ac:dyDescent="0.2">
      <c r="H370" s="4"/>
      <c r="I370" s="4"/>
      <c r="J370" s="4"/>
      <c r="K370" s="4"/>
    </row>
    <row r="371" spans="8:11" x14ac:dyDescent="0.2">
      <c r="H371" s="4"/>
      <c r="I371" s="4"/>
      <c r="J371" s="4"/>
      <c r="K371" s="4"/>
    </row>
    <row r="372" spans="8:11" x14ac:dyDescent="0.2">
      <c r="H372" s="4"/>
      <c r="I372" s="4"/>
      <c r="J372" s="4"/>
      <c r="K372" s="4"/>
    </row>
    <row r="373" spans="8:11" x14ac:dyDescent="0.2">
      <c r="H373" s="4"/>
      <c r="I373" s="4"/>
      <c r="J373" s="4"/>
    </row>
    <row r="374" spans="8:11" x14ac:dyDescent="0.2">
      <c r="H374" s="4"/>
      <c r="I374" s="4"/>
      <c r="J374" s="4"/>
    </row>
    <row r="375" spans="8:11" x14ac:dyDescent="0.2">
      <c r="H375" s="4"/>
      <c r="I375" s="4"/>
      <c r="J375" s="4"/>
    </row>
    <row r="376" spans="8:11" x14ac:dyDescent="0.2">
      <c r="H376" s="4"/>
      <c r="I376" s="4"/>
      <c r="J376" s="4"/>
    </row>
    <row r="377" spans="8:11" x14ac:dyDescent="0.2">
      <c r="H377" s="4"/>
      <c r="I377" s="4"/>
      <c r="J377" s="4"/>
    </row>
    <row r="378" spans="8:11" x14ac:dyDescent="0.2">
      <c r="H378" s="4"/>
      <c r="I378" s="4"/>
      <c r="J378" s="4"/>
    </row>
    <row r="379" spans="8:11" x14ac:dyDescent="0.2">
      <c r="H379" s="4"/>
    </row>
    <row r="380" spans="8:11" x14ac:dyDescent="0.2">
      <c r="H380" s="4"/>
    </row>
    <row r="381" spans="8:11" x14ac:dyDescent="0.2">
      <c r="H381" s="4"/>
    </row>
    <row r="382" spans="8:11" x14ac:dyDescent="0.2">
      <c r="H382" s="4"/>
    </row>
    <row r="383" spans="8:11" x14ac:dyDescent="0.2">
      <c r="H383" s="4"/>
    </row>
    <row r="384" spans="8:11" x14ac:dyDescent="0.2">
      <c r="H384" s="4"/>
    </row>
    <row r="385" spans="8:8" x14ac:dyDescent="0.2">
      <c r="H385" s="4"/>
    </row>
    <row r="386" spans="8:8" x14ac:dyDescent="0.2">
      <c r="H386" s="4"/>
    </row>
    <row r="387" spans="8:8" x14ac:dyDescent="0.2">
      <c r="H387" s="4"/>
    </row>
    <row r="388" spans="8:8" x14ac:dyDescent="0.2">
      <c r="H388" s="4"/>
    </row>
    <row r="389" spans="8:8" x14ac:dyDescent="0.2">
      <c r="H389" s="4"/>
    </row>
    <row r="390" spans="8:8" x14ac:dyDescent="0.2">
      <c r="H390" s="4"/>
    </row>
    <row r="391" spans="8:8" x14ac:dyDescent="0.2">
      <c r="H391" s="4"/>
    </row>
    <row r="392" spans="8:8" x14ac:dyDescent="0.2">
      <c r="H392" s="4"/>
    </row>
    <row r="393" spans="8:8" x14ac:dyDescent="0.2">
      <c r="H393" s="4"/>
    </row>
    <row r="394" spans="8:8" x14ac:dyDescent="0.2">
      <c r="H394" s="4"/>
    </row>
    <row r="395" spans="8:8" x14ac:dyDescent="0.2">
      <c r="H395" s="4"/>
    </row>
    <row r="396" spans="8:8" x14ac:dyDescent="0.2">
      <c r="H396" s="4"/>
    </row>
    <row r="397" spans="8:8" x14ac:dyDescent="0.2">
      <c r="H397" s="4"/>
    </row>
    <row r="398" spans="8:8" x14ac:dyDescent="0.2">
      <c r="H398" s="4"/>
    </row>
    <row r="399" spans="8:8" x14ac:dyDescent="0.2">
      <c r="H399" s="4"/>
    </row>
    <row r="400" spans="8:8" x14ac:dyDescent="0.2">
      <c r="H400" s="4"/>
    </row>
    <row r="401" spans="8:8" x14ac:dyDescent="0.2">
      <c r="H401" s="4"/>
    </row>
    <row r="402" spans="8:8" x14ac:dyDescent="0.2">
      <c r="H402" s="4"/>
    </row>
    <row r="403" spans="8:8" x14ac:dyDescent="0.2">
      <c r="H403" s="4"/>
    </row>
    <row r="404" spans="8:8" x14ac:dyDescent="0.2">
      <c r="H404" s="4"/>
    </row>
    <row r="405" spans="8:8" x14ac:dyDescent="0.2">
      <c r="H405" s="4"/>
    </row>
    <row r="406" spans="8:8" x14ac:dyDescent="0.2">
      <c r="H406" s="4"/>
    </row>
    <row r="407" spans="8:8" x14ac:dyDescent="0.2">
      <c r="H407" s="4"/>
    </row>
    <row r="408" spans="8:8" x14ac:dyDescent="0.2">
      <c r="H408" s="4"/>
    </row>
    <row r="409" spans="8:8" x14ac:dyDescent="0.2">
      <c r="H409" s="4"/>
    </row>
    <row r="410" spans="8:8" x14ac:dyDescent="0.2">
      <c r="H410" s="4"/>
    </row>
    <row r="411" spans="8:8" x14ac:dyDescent="0.2">
      <c r="H411" s="4"/>
    </row>
    <row r="412" spans="8:8" x14ac:dyDescent="0.2">
      <c r="H412" s="4"/>
    </row>
    <row r="413" spans="8:8" x14ac:dyDescent="0.2">
      <c r="H413" s="4"/>
    </row>
    <row r="414" spans="8:8" x14ac:dyDescent="0.2">
      <c r="H414" s="4"/>
    </row>
    <row r="415" spans="8:8" x14ac:dyDescent="0.2">
      <c r="H415" s="4"/>
    </row>
    <row r="416" spans="8:8" x14ac:dyDescent="0.2">
      <c r="H416" s="4"/>
    </row>
    <row r="417" spans="8:8" x14ac:dyDescent="0.2">
      <c r="H417" s="4"/>
    </row>
    <row r="418" spans="8:8" x14ac:dyDescent="0.2">
      <c r="H418" s="4"/>
    </row>
    <row r="419" spans="8:8" x14ac:dyDescent="0.2">
      <c r="H419" s="4"/>
    </row>
    <row r="420" spans="8:8" x14ac:dyDescent="0.2">
      <c r="H420" s="4"/>
    </row>
    <row r="421" spans="8:8" x14ac:dyDescent="0.2">
      <c r="H421" s="4"/>
    </row>
    <row r="422" spans="8:8" x14ac:dyDescent="0.2">
      <c r="H422" s="4"/>
    </row>
    <row r="423" spans="8:8" x14ac:dyDescent="0.2">
      <c r="H423" s="4"/>
    </row>
    <row r="424" spans="8:8" x14ac:dyDescent="0.2">
      <c r="H424" s="4"/>
    </row>
    <row r="425" spans="8:8" x14ac:dyDescent="0.2">
      <c r="H425" s="4"/>
    </row>
    <row r="426" spans="8:8" x14ac:dyDescent="0.2">
      <c r="H426" s="4"/>
    </row>
    <row r="427" spans="8:8" x14ac:dyDescent="0.2">
      <c r="H427" s="4"/>
    </row>
    <row r="428" spans="8:8" x14ac:dyDescent="0.2">
      <c r="H428" s="4"/>
    </row>
    <row r="429" spans="8:8" x14ac:dyDescent="0.2">
      <c r="H429" s="4"/>
    </row>
    <row r="430" spans="8:8" x14ac:dyDescent="0.2">
      <c r="H430" s="4"/>
    </row>
    <row r="431" spans="8:8" x14ac:dyDescent="0.2">
      <c r="H431" s="4"/>
    </row>
    <row r="432" spans="8:8" x14ac:dyDescent="0.2">
      <c r="H432" s="4"/>
    </row>
    <row r="433" spans="8:8" x14ac:dyDescent="0.2">
      <c r="H433" s="4"/>
    </row>
    <row r="434" spans="8:8" x14ac:dyDescent="0.2">
      <c r="H434" s="4"/>
    </row>
    <row r="435" spans="8:8" x14ac:dyDescent="0.2">
      <c r="H435" s="4"/>
    </row>
    <row r="436" spans="8:8" x14ac:dyDescent="0.2">
      <c r="H436" s="4"/>
    </row>
    <row r="437" spans="8:8" x14ac:dyDescent="0.2">
      <c r="H437" s="4"/>
    </row>
    <row r="438" spans="8:8" x14ac:dyDescent="0.2">
      <c r="H438" s="4"/>
    </row>
    <row r="439" spans="8:8" x14ac:dyDescent="0.2">
      <c r="H439" s="4"/>
    </row>
    <row r="440" spans="8:8" x14ac:dyDescent="0.2">
      <c r="H440" s="4"/>
    </row>
    <row r="441" spans="8:8" x14ac:dyDescent="0.2">
      <c r="H441" s="4"/>
    </row>
    <row r="442" spans="8:8" x14ac:dyDescent="0.2">
      <c r="H442" s="4"/>
    </row>
    <row r="443" spans="8:8" x14ac:dyDescent="0.2">
      <c r="H443" s="4"/>
    </row>
    <row r="444" spans="8:8" x14ac:dyDescent="0.2">
      <c r="H444" s="4"/>
    </row>
    <row r="445" spans="8:8" x14ac:dyDescent="0.2">
      <c r="H445" s="4"/>
    </row>
    <row r="446" spans="8:8" x14ac:dyDescent="0.2">
      <c r="H446" s="4"/>
    </row>
    <row r="447" spans="8:8" x14ac:dyDescent="0.2">
      <c r="H447" s="4"/>
    </row>
    <row r="448" spans="8:8" x14ac:dyDescent="0.2">
      <c r="H448" s="4"/>
    </row>
    <row r="449" spans="8:8" x14ac:dyDescent="0.2">
      <c r="H449" s="4"/>
    </row>
    <row r="450" spans="8:8" x14ac:dyDescent="0.2">
      <c r="H450" s="4"/>
    </row>
    <row r="451" spans="8:8" x14ac:dyDescent="0.2">
      <c r="H451" s="4"/>
    </row>
    <row r="452" spans="8:8" x14ac:dyDescent="0.2">
      <c r="H452" s="4"/>
    </row>
    <row r="453" spans="8:8" x14ac:dyDescent="0.2">
      <c r="H453" s="4"/>
    </row>
    <row r="454" spans="8:8" x14ac:dyDescent="0.2">
      <c r="H454" s="4"/>
    </row>
    <row r="455" spans="8:8" x14ac:dyDescent="0.2">
      <c r="H455" s="4"/>
    </row>
    <row r="456" spans="8:8" x14ac:dyDescent="0.2">
      <c r="H456" s="4"/>
    </row>
    <row r="457" spans="8:8" x14ac:dyDescent="0.2">
      <c r="H457" s="4"/>
    </row>
    <row r="458" spans="8:8" x14ac:dyDescent="0.2">
      <c r="H458" s="4"/>
    </row>
    <row r="459" spans="8:8" x14ac:dyDescent="0.2">
      <c r="H459" s="4"/>
    </row>
    <row r="460" spans="8:8" x14ac:dyDescent="0.2">
      <c r="H460" s="4"/>
    </row>
    <row r="461" spans="8:8" x14ac:dyDescent="0.2">
      <c r="H461" s="4"/>
    </row>
    <row r="462" spans="8:8" x14ac:dyDescent="0.2">
      <c r="H462" s="4"/>
    </row>
    <row r="463" spans="8:8" x14ac:dyDescent="0.2">
      <c r="H463" s="4"/>
    </row>
    <row r="464" spans="8:8" x14ac:dyDescent="0.2">
      <c r="H464" s="4"/>
    </row>
    <row r="465" spans="8:8" x14ac:dyDescent="0.2">
      <c r="H465" s="4"/>
    </row>
    <row r="466" spans="8:8" x14ac:dyDescent="0.2">
      <c r="H466" s="4"/>
    </row>
    <row r="467" spans="8:8" x14ac:dyDescent="0.2">
      <c r="H467" s="4"/>
    </row>
    <row r="468" spans="8:8" x14ac:dyDescent="0.2">
      <c r="H468" s="4"/>
    </row>
    <row r="469" spans="8:8" x14ac:dyDescent="0.2">
      <c r="H469" s="4"/>
    </row>
    <row r="470" spans="8:8" x14ac:dyDescent="0.2">
      <c r="H470" s="4"/>
    </row>
    <row r="471" spans="8:8" x14ac:dyDescent="0.2">
      <c r="H471" s="4"/>
    </row>
    <row r="472" spans="8:8" x14ac:dyDescent="0.2">
      <c r="H472" s="4"/>
    </row>
    <row r="473" spans="8:8" x14ac:dyDescent="0.2">
      <c r="H473" s="4"/>
    </row>
    <row r="474" spans="8:8" x14ac:dyDescent="0.2">
      <c r="H474" s="4"/>
    </row>
    <row r="475" spans="8:8" x14ac:dyDescent="0.2">
      <c r="H475" s="4"/>
    </row>
    <row r="476" spans="8:8" x14ac:dyDescent="0.2">
      <c r="H476" s="4"/>
    </row>
    <row r="477" spans="8:8" x14ac:dyDescent="0.2">
      <c r="H477" s="4"/>
    </row>
    <row r="478" spans="8:8" x14ac:dyDescent="0.2">
      <c r="H478" s="4"/>
    </row>
    <row r="479" spans="8:8" x14ac:dyDescent="0.2">
      <c r="H479" s="4"/>
    </row>
    <row r="480" spans="8:8" x14ac:dyDescent="0.2">
      <c r="H480" s="4"/>
    </row>
    <row r="481" spans="8:8" x14ac:dyDescent="0.2">
      <c r="H481" s="4"/>
    </row>
    <row r="482" spans="8:8" x14ac:dyDescent="0.2">
      <c r="H482" s="4"/>
    </row>
    <row r="483" spans="8:8" x14ac:dyDescent="0.2">
      <c r="H483" s="4"/>
    </row>
    <row r="484" spans="8:8" x14ac:dyDescent="0.2">
      <c r="H484" s="4"/>
    </row>
    <row r="485" spans="8:8" x14ac:dyDescent="0.2">
      <c r="H485" s="4"/>
    </row>
    <row r="486" spans="8:8" x14ac:dyDescent="0.2">
      <c r="H486" s="4"/>
    </row>
    <row r="487" spans="8:8" x14ac:dyDescent="0.2">
      <c r="H487" s="4"/>
    </row>
    <row r="488" spans="8:8" x14ac:dyDescent="0.2">
      <c r="H488" s="4"/>
    </row>
    <row r="489" spans="8:8" x14ac:dyDescent="0.2">
      <c r="H489" s="4"/>
    </row>
    <row r="490" spans="8:8" x14ac:dyDescent="0.2">
      <c r="H490" s="4"/>
    </row>
    <row r="491" spans="8:8" x14ac:dyDescent="0.2">
      <c r="H491" s="4"/>
    </row>
    <row r="492" spans="8:8" x14ac:dyDescent="0.2">
      <c r="H492" s="4"/>
    </row>
    <row r="493" spans="8:8" x14ac:dyDescent="0.2">
      <c r="H493" s="4"/>
    </row>
    <row r="494" spans="8:8" x14ac:dyDescent="0.2">
      <c r="H494" s="4"/>
    </row>
    <row r="495" spans="8:8" x14ac:dyDescent="0.2">
      <c r="H495" s="4"/>
    </row>
    <row r="496" spans="8:8" x14ac:dyDescent="0.2">
      <c r="H496" s="4"/>
    </row>
    <row r="497" spans="8:8" x14ac:dyDescent="0.2">
      <c r="H497" s="4"/>
    </row>
    <row r="498" spans="8:8" x14ac:dyDescent="0.2">
      <c r="H498" s="4"/>
    </row>
    <row r="499" spans="8:8" x14ac:dyDescent="0.2">
      <c r="H499" s="4"/>
    </row>
    <row r="500" spans="8:8" x14ac:dyDescent="0.2">
      <c r="H500" s="4"/>
    </row>
    <row r="501" spans="8:8" x14ac:dyDescent="0.2">
      <c r="H501" s="4"/>
    </row>
    <row r="502" spans="8:8" x14ac:dyDescent="0.2">
      <c r="H502" s="4"/>
    </row>
    <row r="503" spans="8:8" x14ac:dyDescent="0.2">
      <c r="H503" s="4"/>
    </row>
    <row r="504" spans="8:8" x14ac:dyDescent="0.2">
      <c r="H504" s="4"/>
    </row>
    <row r="505" spans="8:8" x14ac:dyDescent="0.2">
      <c r="H505" s="4"/>
    </row>
    <row r="506" spans="8:8" x14ac:dyDescent="0.2">
      <c r="H506" s="4"/>
    </row>
    <row r="507" spans="8:8" x14ac:dyDescent="0.2">
      <c r="H507" s="4"/>
    </row>
    <row r="508" spans="8:8" x14ac:dyDescent="0.2">
      <c r="H508" s="4"/>
    </row>
    <row r="509" spans="8:8" x14ac:dyDescent="0.2">
      <c r="H509" s="4"/>
    </row>
    <row r="510" spans="8:8" x14ac:dyDescent="0.2">
      <c r="H510" s="4"/>
    </row>
    <row r="511" spans="8:8" x14ac:dyDescent="0.2">
      <c r="H511" s="4"/>
    </row>
    <row r="512" spans="8:8" x14ac:dyDescent="0.2">
      <c r="H512" s="4"/>
    </row>
    <row r="513" spans="8:8" x14ac:dyDescent="0.2">
      <c r="H513" s="4"/>
    </row>
    <row r="514" spans="8:8" x14ac:dyDescent="0.2">
      <c r="H514" s="4"/>
    </row>
    <row r="515" spans="8:8" x14ac:dyDescent="0.2">
      <c r="H515" s="4"/>
    </row>
    <row r="516" spans="8:8" x14ac:dyDescent="0.2">
      <c r="H516" s="4"/>
    </row>
    <row r="517" spans="8:8" x14ac:dyDescent="0.2">
      <c r="H517" s="4"/>
    </row>
    <row r="518" spans="8:8" x14ac:dyDescent="0.2">
      <c r="H518" s="4"/>
    </row>
    <row r="519" spans="8:8" x14ac:dyDescent="0.2">
      <c r="H519" s="4"/>
    </row>
    <row r="520" spans="8:8" x14ac:dyDescent="0.2">
      <c r="H520" s="4"/>
    </row>
    <row r="521" spans="8:8" x14ac:dyDescent="0.2">
      <c r="H521" s="4"/>
    </row>
    <row r="522" spans="8:8" x14ac:dyDescent="0.2">
      <c r="H522" s="4"/>
    </row>
    <row r="523" spans="8:8" x14ac:dyDescent="0.2">
      <c r="H523" s="4"/>
    </row>
    <row r="524" spans="8:8" x14ac:dyDescent="0.2">
      <c r="H524" s="4"/>
    </row>
    <row r="525" spans="8:8" x14ac:dyDescent="0.2">
      <c r="H525" s="4"/>
    </row>
    <row r="526" spans="8:8" x14ac:dyDescent="0.2">
      <c r="H526" s="4"/>
    </row>
    <row r="527" spans="8:8" x14ac:dyDescent="0.2">
      <c r="H527" s="4"/>
    </row>
    <row r="528" spans="8:8" x14ac:dyDescent="0.2">
      <c r="H528" s="4"/>
    </row>
    <row r="529" spans="8:8" x14ac:dyDescent="0.2">
      <c r="H529" s="4"/>
    </row>
    <row r="530" spans="8:8" x14ac:dyDescent="0.2">
      <c r="H530" s="4"/>
    </row>
    <row r="531" spans="8:8" x14ac:dyDescent="0.2">
      <c r="H531" s="4"/>
    </row>
    <row r="532" spans="8:8" x14ac:dyDescent="0.2">
      <c r="H532" s="4"/>
    </row>
    <row r="533" spans="8:8" x14ac:dyDescent="0.2">
      <c r="H533" s="4"/>
    </row>
    <row r="534" spans="8:8" x14ac:dyDescent="0.2">
      <c r="H534" s="4"/>
    </row>
    <row r="535" spans="8:8" x14ac:dyDescent="0.2">
      <c r="H535" s="4"/>
    </row>
    <row r="536" spans="8:8" x14ac:dyDescent="0.2">
      <c r="H536" s="4"/>
    </row>
    <row r="537" spans="8:8" x14ac:dyDescent="0.2">
      <c r="H537" s="4"/>
    </row>
    <row r="538" spans="8:8" x14ac:dyDescent="0.2">
      <c r="H538" s="4"/>
    </row>
    <row r="539" spans="8:8" x14ac:dyDescent="0.2">
      <c r="H539" s="4"/>
    </row>
    <row r="540" spans="8:8" x14ac:dyDescent="0.2">
      <c r="H540" s="4"/>
    </row>
    <row r="541" spans="8:8" x14ac:dyDescent="0.2">
      <c r="H541" s="4"/>
    </row>
    <row r="542" spans="8:8" x14ac:dyDescent="0.2">
      <c r="H542" s="4"/>
    </row>
    <row r="543" spans="8:8" x14ac:dyDescent="0.2">
      <c r="H543" s="4"/>
    </row>
    <row r="544" spans="8:8" x14ac:dyDescent="0.2">
      <c r="H544" s="4"/>
    </row>
    <row r="545" spans="8:8" x14ac:dyDescent="0.2">
      <c r="H545" s="4"/>
    </row>
    <row r="546" spans="8:8" x14ac:dyDescent="0.2">
      <c r="H546" s="4"/>
    </row>
    <row r="547" spans="8:8" x14ac:dyDescent="0.2">
      <c r="H547" s="4"/>
    </row>
    <row r="548" spans="8:8" x14ac:dyDescent="0.2">
      <c r="H548" s="4"/>
    </row>
    <row r="549" spans="8:8" x14ac:dyDescent="0.2">
      <c r="H549" s="4"/>
    </row>
    <row r="550" spans="8:8" x14ac:dyDescent="0.2">
      <c r="H550" s="4"/>
    </row>
    <row r="551" spans="8:8" x14ac:dyDescent="0.2">
      <c r="H551" s="4"/>
    </row>
    <row r="552" spans="8:8" x14ac:dyDescent="0.2">
      <c r="H552" s="4"/>
    </row>
    <row r="553" spans="8:8" x14ac:dyDescent="0.2">
      <c r="H553" s="4"/>
    </row>
    <row r="554" spans="8:8" x14ac:dyDescent="0.2">
      <c r="H554" s="4"/>
    </row>
    <row r="555" spans="8:8" x14ac:dyDescent="0.2">
      <c r="H555" s="4"/>
    </row>
    <row r="556" spans="8:8" x14ac:dyDescent="0.2">
      <c r="H556" s="4"/>
    </row>
    <row r="557" spans="8:8" x14ac:dyDescent="0.2">
      <c r="H557" s="4"/>
    </row>
    <row r="558" spans="8:8" x14ac:dyDescent="0.2">
      <c r="H558" s="4"/>
    </row>
    <row r="559" spans="8:8" x14ac:dyDescent="0.2">
      <c r="H559" s="4"/>
    </row>
    <row r="560" spans="8:8" x14ac:dyDescent="0.2">
      <c r="H560" s="4"/>
    </row>
    <row r="561" spans="8:8" x14ac:dyDescent="0.2">
      <c r="H561" s="4"/>
    </row>
    <row r="562" spans="8:8" x14ac:dyDescent="0.2">
      <c r="H562" s="4"/>
    </row>
    <row r="563" spans="8:8" x14ac:dyDescent="0.2">
      <c r="H563" s="4"/>
    </row>
    <row r="564" spans="8:8" x14ac:dyDescent="0.2">
      <c r="H564" s="4"/>
    </row>
    <row r="565" spans="8:8" x14ac:dyDescent="0.2">
      <c r="H565" s="4"/>
    </row>
    <row r="566" spans="8:8" x14ac:dyDescent="0.2">
      <c r="H566" s="4"/>
    </row>
    <row r="567" spans="8:8" x14ac:dyDescent="0.2">
      <c r="H567" s="4"/>
    </row>
    <row r="568" spans="8:8" x14ac:dyDescent="0.2">
      <c r="H568" s="4"/>
    </row>
    <row r="569" spans="8:8" x14ac:dyDescent="0.2">
      <c r="H569" s="4"/>
    </row>
    <row r="570" spans="8:8" x14ac:dyDescent="0.2">
      <c r="H570" s="4"/>
    </row>
    <row r="571" spans="8:8" x14ac:dyDescent="0.2">
      <c r="H571" s="4"/>
    </row>
    <row r="572" spans="8:8" x14ac:dyDescent="0.2">
      <c r="H572" s="4"/>
    </row>
    <row r="573" spans="8:8" x14ac:dyDescent="0.2">
      <c r="H573" s="4"/>
    </row>
    <row r="574" spans="8:8" x14ac:dyDescent="0.2">
      <c r="H574" s="4"/>
    </row>
    <row r="575" spans="8:8" x14ac:dyDescent="0.2">
      <c r="H575" s="4"/>
    </row>
    <row r="576" spans="8:8" x14ac:dyDescent="0.2">
      <c r="H576" s="4"/>
    </row>
    <row r="577" spans="8:8" x14ac:dyDescent="0.2">
      <c r="H577" s="4"/>
    </row>
    <row r="578" spans="8:8" x14ac:dyDescent="0.2">
      <c r="H578" s="4"/>
    </row>
    <row r="579" spans="8:8" x14ac:dyDescent="0.2">
      <c r="H579" s="4"/>
    </row>
    <row r="580" spans="8:8" x14ac:dyDescent="0.2">
      <c r="H580" s="4"/>
    </row>
    <row r="581" spans="8:8" x14ac:dyDescent="0.2">
      <c r="H581" s="4"/>
    </row>
    <row r="582" spans="8:8" x14ac:dyDescent="0.2">
      <c r="H582" s="4"/>
    </row>
    <row r="583" spans="8:8" x14ac:dyDescent="0.2">
      <c r="H583" s="4"/>
    </row>
    <row r="584" spans="8:8" x14ac:dyDescent="0.2">
      <c r="H584" s="4"/>
    </row>
    <row r="585" spans="8:8" x14ac:dyDescent="0.2">
      <c r="H585" s="4"/>
    </row>
    <row r="586" spans="8:8" x14ac:dyDescent="0.2">
      <c r="H586" s="4"/>
    </row>
    <row r="587" spans="8:8" x14ac:dyDescent="0.2">
      <c r="H587" s="4"/>
    </row>
    <row r="588" spans="8:8" x14ac:dyDescent="0.2">
      <c r="H588" s="4"/>
    </row>
    <row r="589" spans="8:8" x14ac:dyDescent="0.2">
      <c r="H589" s="4"/>
    </row>
    <row r="590" spans="8:8" x14ac:dyDescent="0.2">
      <c r="H590" s="4"/>
    </row>
    <row r="591" spans="8:8" x14ac:dyDescent="0.2">
      <c r="H591" s="4"/>
    </row>
    <row r="592" spans="8:8" x14ac:dyDescent="0.2">
      <c r="H592" s="4"/>
    </row>
    <row r="593" spans="8:8" x14ac:dyDescent="0.2">
      <c r="H593" s="4"/>
    </row>
    <row r="594" spans="8:8" x14ac:dyDescent="0.2">
      <c r="H594" s="4"/>
    </row>
    <row r="595" spans="8:8" x14ac:dyDescent="0.2">
      <c r="H595" s="4"/>
    </row>
    <row r="596" spans="8:8" x14ac:dyDescent="0.2">
      <c r="H596" s="4"/>
    </row>
    <row r="597" spans="8:8" x14ac:dyDescent="0.2">
      <c r="H597" s="4"/>
    </row>
    <row r="598" spans="8:8" x14ac:dyDescent="0.2">
      <c r="H598" s="4"/>
    </row>
    <row r="599" spans="8:8" x14ac:dyDescent="0.2">
      <c r="H599" s="4"/>
    </row>
    <row r="600" spans="8:8" x14ac:dyDescent="0.2">
      <c r="H600" s="4"/>
    </row>
    <row r="601" spans="8:8" x14ac:dyDescent="0.2">
      <c r="H601" s="4"/>
    </row>
    <row r="602" spans="8:8" x14ac:dyDescent="0.2">
      <c r="H602" s="4"/>
    </row>
    <row r="603" spans="8:8" x14ac:dyDescent="0.2">
      <c r="H603" s="4"/>
    </row>
    <row r="604" spans="8:8" x14ac:dyDescent="0.2">
      <c r="H604" s="4"/>
    </row>
    <row r="605" spans="8:8" x14ac:dyDescent="0.2">
      <c r="H605" s="4"/>
    </row>
    <row r="606" spans="8:8" x14ac:dyDescent="0.2">
      <c r="H606" s="4"/>
    </row>
    <row r="607" spans="8:8" x14ac:dyDescent="0.2">
      <c r="H607" s="4"/>
    </row>
    <row r="608" spans="8:8" x14ac:dyDescent="0.2">
      <c r="H608" s="4"/>
    </row>
    <row r="609" spans="8:8" x14ac:dyDescent="0.2">
      <c r="H609" s="4"/>
    </row>
    <row r="610" spans="8:8" x14ac:dyDescent="0.2">
      <c r="H610" s="4"/>
    </row>
    <row r="611" spans="8:8" x14ac:dyDescent="0.2">
      <c r="H611" s="4"/>
    </row>
    <row r="612" spans="8:8" x14ac:dyDescent="0.2">
      <c r="H612" s="4"/>
    </row>
    <row r="613" spans="8:8" x14ac:dyDescent="0.2">
      <c r="H613" s="4"/>
    </row>
    <row r="614" spans="8:8" x14ac:dyDescent="0.2">
      <c r="H614" s="4"/>
    </row>
    <row r="615" spans="8:8" x14ac:dyDescent="0.2">
      <c r="H615" s="4"/>
    </row>
    <row r="616" spans="8:8" x14ac:dyDescent="0.2">
      <c r="H616" s="4"/>
    </row>
    <row r="617" spans="8:8" x14ac:dyDescent="0.2">
      <c r="H617" s="4"/>
    </row>
    <row r="618" spans="8:8" x14ac:dyDescent="0.2">
      <c r="H618" s="4"/>
    </row>
    <row r="619" spans="8:8" x14ac:dyDescent="0.2">
      <c r="H619" s="4"/>
    </row>
    <row r="620" spans="8:8" x14ac:dyDescent="0.2">
      <c r="H620" s="4"/>
    </row>
    <row r="621" spans="8:8" x14ac:dyDescent="0.2">
      <c r="H621" s="4"/>
    </row>
    <row r="622" spans="8:8" x14ac:dyDescent="0.2">
      <c r="H622" s="4"/>
    </row>
    <row r="623" spans="8:8" x14ac:dyDescent="0.2">
      <c r="H623" s="4"/>
    </row>
    <row r="624" spans="8:8" x14ac:dyDescent="0.2">
      <c r="H624" s="4"/>
    </row>
    <row r="625" spans="8:8" x14ac:dyDescent="0.2">
      <c r="H625" s="4"/>
    </row>
    <row r="626" spans="8:8" x14ac:dyDescent="0.2">
      <c r="H626" s="4"/>
    </row>
    <row r="627" spans="8:8" x14ac:dyDescent="0.2">
      <c r="H627" s="4"/>
    </row>
    <row r="628" spans="8:8" x14ac:dyDescent="0.2">
      <c r="H628" s="4"/>
    </row>
    <row r="629" spans="8:8" x14ac:dyDescent="0.2">
      <c r="H629" s="4"/>
    </row>
    <row r="630" spans="8:8" x14ac:dyDescent="0.2">
      <c r="H630" s="4"/>
    </row>
    <row r="631" spans="8:8" x14ac:dyDescent="0.2">
      <c r="H631" s="4"/>
    </row>
    <row r="632" spans="8:8" x14ac:dyDescent="0.2">
      <c r="H632" s="4"/>
    </row>
    <row r="633" spans="8:8" x14ac:dyDescent="0.2">
      <c r="H633" s="4"/>
    </row>
    <row r="634" spans="8:8" x14ac:dyDescent="0.2">
      <c r="H634" s="4"/>
    </row>
    <row r="635" spans="8:8" x14ac:dyDescent="0.2">
      <c r="H635" s="4"/>
    </row>
    <row r="636" spans="8:8" x14ac:dyDescent="0.2">
      <c r="H636" s="4"/>
    </row>
    <row r="637" spans="8:8" x14ac:dyDescent="0.2">
      <c r="H637" s="4"/>
    </row>
    <row r="638" spans="8:8" x14ac:dyDescent="0.2">
      <c r="H638" s="4"/>
    </row>
    <row r="639" spans="8:8" x14ac:dyDescent="0.2">
      <c r="H639" s="4"/>
    </row>
    <row r="640" spans="8:8" x14ac:dyDescent="0.2">
      <c r="H640" s="4"/>
    </row>
    <row r="641" spans="8:8" x14ac:dyDescent="0.2">
      <c r="H641" s="4"/>
    </row>
    <row r="642" spans="8:8" x14ac:dyDescent="0.2">
      <c r="H642" s="4"/>
    </row>
    <row r="643" spans="8:8" x14ac:dyDescent="0.2">
      <c r="H643" s="4"/>
    </row>
    <row r="644" spans="8:8" x14ac:dyDescent="0.2">
      <c r="H644" s="4"/>
    </row>
    <row r="645" spans="8:8" x14ac:dyDescent="0.2">
      <c r="H645" s="4"/>
    </row>
    <row r="646" spans="8:8" x14ac:dyDescent="0.2">
      <c r="H646" s="4"/>
    </row>
    <row r="647" spans="8:8" x14ac:dyDescent="0.2">
      <c r="H647" s="4"/>
    </row>
    <row r="648" spans="8:8" x14ac:dyDescent="0.2">
      <c r="H648" s="4"/>
    </row>
    <row r="649" spans="8:8" x14ac:dyDescent="0.2">
      <c r="H649" s="4"/>
    </row>
    <row r="650" spans="8:8" x14ac:dyDescent="0.2">
      <c r="H650" s="4"/>
    </row>
    <row r="651" spans="8:8" x14ac:dyDescent="0.2">
      <c r="H651" s="4"/>
    </row>
    <row r="652" spans="8:8" x14ac:dyDescent="0.2">
      <c r="H652" s="4"/>
    </row>
    <row r="653" spans="8:8" x14ac:dyDescent="0.2">
      <c r="H653" s="4"/>
    </row>
    <row r="654" spans="8:8" x14ac:dyDescent="0.2">
      <c r="H654" s="4"/>
    </row>
    <row r="655" spans="8:8" x14ac:dyDescent="0.2">
      <c r="H655" s="4"/>
    </row>
    <row r="656" spans="8:8" x14ac:dyDescent="0.2">
      <c r="H656" s="4"/>
    </row>
    <row r="657" spans="8:8" x14ac:dyDescent="0.2">
      <c r="H657" s="4"/>
    </row>
    <row r="658" spans="8:8" x14ac:dyDescent="0.2">
      <c r="H658" s="4"/>
    </row>
    <row r="659" spans="8:8" x14ac:dyDescent="0.2">
      <c r="H659" s="4"/>
    </row>
    <row r="660" spans="8:8" x14ac:dyDescent="0.2">
      <c r="H660" s="4"/>
    </row>
    <row r="661" spans="8:8" x14ac:dyDescent="0.2">
      <c r="H661" s="4"/>
    </row>
    <row r="662" spans="8:8" x14ac:dyDescent="0.2">
      <c r="H662" s="4"/>
    </row>
    <row r="663" spans="8:8" x14ac:dyDescent="0.2">
      <c r="H663" s="4"/>
    </row>
    <row r="664" spans="8:8" x14ac:dyDescent="0.2">
      <c r="H664" s="4"/>
    </row>
    <row r="665" spans="8:8" x14ac:dyDescent="0.2">
      <c r="H665" s="4"/>
    </row>
    <row r="666" spans="8:8" x14ac:dyDescent="0.2">
      <c r="H666" s="4"/>
    </row>
    <row r="667" spans="8:8" x14ac:dyDescent="0.2">
      <c r="H667" s="4"/>
    </row>
    <row r="668" spans="8:8" x14ac:dyDescent="0.2">
      <c r="H668" s="4"/>
    </row>
    <row r="669" spans="8:8" x14ac:dyDescent="0.2">
      <c r="H669" s="4"/>
    </row>
    <row r="670" spans="8:8" x14ac:dyDescent="0.2">
      <c r="H670" s="4"/>
    </row>
    <row r="671" spans="8:8" x14ac:dyDescent="0.2">
      <c r="H671" s="4"/>
    </row>
    <row r="672" spans="8:8" x14ac:dyDescent="0.2">
      <c r="H672" s="4"/>
    </row>
    <row r="673" spans="8:8" x14ac:dyDescent="0.2">
      <c r="H673" s="4"/>
    </row>
    <row r="674" spans="8:8" x14ac:dyDescent="0.2">
      <c r="H674" s="4"/>
    </row>
    <row r="675" spans="8:8" x14ac:dyDescent="0.2">
      <c r="H675" s="4"/>
    </row>
    <row r="676" spans="8:8" x14ac:dyDescent="0.2">
      <c r="H676" s="4"/>
    </row>
    <row r="677" spans="8:8" x14ac:dyDescent="0.2">
      <c r="H677" s="4"/>
    </row>
    <row r="678" spans="8:8" x14ac:dyDescent="0.2">
      <c r="H678" s="4"/>
    </row>
    <row r="679" spans="8:8" x14ac:dyDescent="0.2">
      <c r="H679" s="4"/>
    </row>
    <row r="680" spans="8:8" x14ac:dyDescent="0.2">
      <c r="H680" s="4"/>
    </row>
    <row r="681" spans="8:8" x14ac:dyDescent="0.2">
      <c r="H681" s="4"/>
    </row>
    <row r="682" spans="8:8" x14ac:dyDescent="0.2">
      <c r="H682" s="4"/>
    </row>
    <row r="683" spans="8:8" x14ac:dyDescent="0.2">
      <c r="H683" s="4"/>
    </row>
    <row r="684" spans="8:8" x14ac:dyDescent="0.2">
      <c r="H684" s="4"/>
    </row>
    <row r="685" spans="8:8" x14ac:dyDescent="0.2">
      <c r="H685" s="4"/>
    </row>
    <row r="686" spans="8:8" x14ac:dyDescent="0.2">
      <c r="H686" s="4"/>
    </row>
    <row r="687" spans="8:8" x14ac:dyDescent="0.2">
      <c r="H687" s="4"/>
    </row>
    <row r="688" spans="8:8" x14ac:dyDescent="0.2">
      <c r="H688" s="4"/>
    </row>
    <row r="689" spans="8:8" x14ac:dyDescent="0.2">
      <c r="H689" s="4"/>
    </row>
    <row r="690" spans="8:8" x14ac:dyDescent="0.2">
      <c r="H690" s="4"/>
    </row>
    <row r="691" spans="8:8" x14ac:dyDescent="0.2">
      <c r="H691" s="4"/>
    </row>
    <row r="692" spans="8:8" x14ac:dyDescent="0.2">
      <c r="H692" s="4"/>
    </row>
    <row r="693" spans="8:8" x14ac:dyDescent="0.2">
      <c r="H693" s="4"/>
    </row>
    <row r="694" spans="8:8" x14ac:dyDescent="0.2">
      <c r="H694" s="4"/>
    </row>
    <row r="695" spans="8:8" x14ac:dyDescent="0.2">
      <c r="H695" s="4"/>
    </row>
    <row r="696" spans="8:8" x14ac:dyDescent="0.2">
      <c r="H696" s="4"/>
    </row>
    <row r="697" spans="8:8" x14ac:dyDescent="0.2">
      <c r="H697" s="4"/>
    </row>
    <row r="698" spans="8:8" x14ac:dyDescent="0.2">
      <c r="H698" s="4"/>
    </row>
    <row r="699" spans="8:8" x14ac:dyDescent="0.2">
      <c r="H699" s="4"/>
    </row>
    <row r="700" spans="8:8" x14ac:dyDescent="0.2">
      <c r="H700" s="4"/>
    </row>
    <row r="701" spans="8:8" x14ac:dyDescent="0.2">
      <c r="H701" s="4"/>
    </row>
    <row r="702" spans="8:8" x14ac:dyDescent="0.2">
      <c r="H702" s="4"/>
    </row>
    <row r="703" spans="8:8" x14ac:dyDescent="0.2">
      <c r="H703" s="4"/>
    </row>
    <row r="704" spans="8:8" x14ac:dyDescent="0.2">
      <c r="H704" s="4"/>
    </row>
    <row r="705" spans="8:8" x14ac:dyDescent="0.2">
      <c r="H705" s="4"/>
    </row>
    <row r="706" spans="8:8" x14ac:dyDescent="0.2">
      <c r="H706" s="4"/>
    </row>
    <row r="707" spans="8:8" x14ac:dyDescent="0.2">
      <c r="H707" s="4"/>
    </row>
    <row r="708" spans="8:8" x14ac:dyDescent="0.2">
      <c r="H708" s="4"/>
    </row>
    <row r="709" spans="8:8" x14ac:dyDescent="0.2">
      <c r="H709" s="4"/>
    </row>
    <row r="710" spans="8:8" x14ac:dyDescent="0.2">
      <c r="H710" s="4"/>
    </row>
    <row r="711" spans="8:8" x14ac:dyDescent="0.2">
      <c r="H711" s="4"/>
    </row>
    <row r="712" spans="8:8" x14ac:dyDescent="0.2">
      <c r="H712" s="4"/>
    </row>
    <row r="713" spans="8:8" x14ac:dyDescent="0.2">
      <c r="H713" s="4"/>
    </row>
    <row r="714" spans="8:8" x14ac:dyDescent="0.2">
      <c r="H714" s="4"/>
    </row>
    <row r="715" spans="8:8" x14ac:dyDescent="0.2">
      <c r="H715" s="4"/>
    </row>
    <row r="716" spans="8:8" x14ac:dyDescent="0.2">
      <c r="H716" s="4"/>
    </row>
    <row r="717" spans="8:8" x14ac:dyDescent="0.2">
      <c r="H717" s="4"/>
    </row>
    <row r="718" spans="8:8" x14ac:dyDescent="0.2">
      <c r="H718" s="4"/>
    </row>
    <row r="719" spans="8:8" x14ac:dyDescent="0.2">
      <c r="H719" s="4"/>
    </row>
    <row r="720" spans="8:8" x14ac:dyDescent="0.2">
      <c r="H720" s="4"/>
    </row>
    <row r="721" spans="8:8" x14ac:dyDescent="0.2">
      <c r="H721" s="4"/>
    </row>
    <row r="722" spans="8:8" x14ac:dyDescent="0.2">
      <c r="H722" s="4"/>
    </row>
    <row r="723" spans="8:8" x14ac:dyDescent="0.2">
      <c r="H723" s="4"/>
    </row>
    <row r="724" spans="8:8" x14ac:dyDescent="0.2">
      <c r="H724" s="4"/>
    </row>
    <row r="725" spans="8:8" x14ac:dyDescent="0.2">
      <c r="H725" s="4"/>
    </row>
    <row r="726" spans="8:8" x14ac:dyDescent="0.2">
      <c r="H726" s="4"/>
    </row>
    <row r="727" spans="8:8" x14ac:dyDescent="0.2">
      <c r="H727" s="4"/>
    </row>
    <row r="728" spans="8:8" x14ac:dyDescent="0.2">
      <c r="H728" s="4"/>
    </row>
    <row r="729" spans="8:8" x14ac:dyDescent="0.2">
      <c r="H729" s="4"/>
    </row>
    <row r="730" spans="8:8" x14ac:dyDescent="0.2">
      <c r="H730" s="4"/>
    </row>
    <row r="731" spans="8:8" x14ac:dyDescent="0.2">
      <c r="H731" s="4"/>
    </row>
    <row r="732" spans="8:8" x14ac:dyDescent="0.2">
      <c r="H732" s="4"/>
    </row>
    <row r="733" spans="8:8" x14ac:dyDescent="0.2">
      <c r="H733" s="4"/>
    </row>
    <row r="734" spans="8:8" x14ac:dyDescent="0.2">
      <c r="H734" s="4"/>
    </row>
    <row r="735" spans="8:8" x14ac:dyDescent="0.2">
      <c r="H735" s="4"/>
    </row>
    <row r="736" spans="8:8" x14ac:dyDescent="0.2">
      <c r="H736" s="4"/>
    </row>
    <row r="737" spans="8:8" x14ac:dyDescent="0.2">
      <c r="H737" s="4"/>
    </row>
    <row r="738" spans="8:8" x14ac:dyDescent="0.2">
      <c r="H738" s="4"/>
    </row>
    <row r="739" spans="8:8" x14ac:dyDescent="0.2">
      <c r="H739" s="4"/>
    </row>
    <row r="740" spans="8:8" x14ac:dyDescent="0.2">
      <c r="H740" s="4"/>
    </row>
    <row r="741" spans="8:8" x14ac:dyDescent="0.2">
      <c r="H741" s="4"/>
    </row>
    <row r="742" spans="8:8" x14ac:dyDescent="0.2">
      <c r="H742" s="4"/>
    </row>
    <row r="743" spans="8:8" x14ac:dyDescent="0.2">
      <c r="H743" s="4"/>
    </row>
    <row r="744" spans="8:8" x14ac:dyDescent="0.2">
      <c r="H744" s="4"/>
    </row>
    <row r="745" spans="8:8" x14ac:dyDescent="0.2">
      <c r="H745" s="4"/>
    </row>
    <row r="746" spans="8:8" x14ac:dyDescent="0.2">
      <c r="H746" s="4"/>
    </row>
    <row r="747" spans="8:8" x14ac:dyDescent="0.2">
      <c r="H747" s="4"/>
    </row>
    <row r="748" spans="8:8" x14ac:dyDescent="0.2">
      <c r="H748" s="4"/>
    </row>
    <row r="749" spans="8:8" x14ac:dyDescent="0.2">
      <c r="H749" s="4"/>
    </row>
    <row r="750" spans="8:8" x14ac:dyDescent="0.2">
      <c r="H750" s="4"/>
    </row>
    <row r="751" spans="8:8" x14ac:dyDescent="0.2">
      <c r="H751" s="4"/>
    </row>
    <row r="752" spans="8:8" x14ac:dyDescent="0.2">
      <c r="H752" s="4"/>
    </row>
    <row r="753" spans="8:8" x14ac:dyDescent="0.2">
      <c r="H753" s="4"/>
    </row>
    <row r="754" spans="8:8" x14ac:dyDescent="0.2">
      <c r="H754" s="4"/>
    </row>
    <row r="755" spans="8:8" x14ac:dyDescent="0.2">
      <c r="H755" s="4"/>
    </row>
    <row r="756" spans="8:8" x14ac:dyDescent="0.2">
      <c r="H756" s="4"/>
    </row>
    <row r="757" spans="8:8" x14ac:dyDescent="0.2">
      <c r="H757" s="4"/>
    </row>
    <row r="758" spans="8:8" x14ac:dyDescent="0.2">
      <c r="H758" s="4"/>
    </row>
    <row r="759" spans="8:8" x14ac:dyDescent="0.2">
      <c r="H759" s="4"/>
    </row>
    <row r="760" spans="8:8" x14ac:dyDescent="0.2">
      <c r="H760" s="4"/>
    </row>
    <row r="761" spans="8:8" x14ac:dyDescent="0.2">
      <c r="H761" s="4"/>
    </row>
    <row r="762" spans="8:8" x14ac:dyDescent="0.2">
      <c r="H762" s="4"/>
    </row>
    <row r="763" spans="8:8" x14ac:dyDescent="0.2">
      <c r="H763" s="4"/>
    </row>
    <row r="764" spans="8:8" x14ac:dyDescent="0.2">
      <c r="H764" s="4"/>
    </row>
    <row r="765" spans="8:8" x14ac:dyDescent="0.2">
      <c r="H765" s="4"/>
    </row>
    <row r="766" spans="8:8" x14ac:dyDescent="0.2">
      <c r="H766" s="4"/>
    </row>
    <row r="767" spans="8:8" x14ac:dyDescent="0.2">
      <c r="H767" s="4"/>
    </row>
    <row r="768" spans="8:8" x14ac:dyDescent="0.2">
      <c r="H768" s="4"/>
    </row>
    <row r="769" spans="8:8" x14ac:dyDescent="0.2">
      <c r="H769" s="4"/>
    </row>
    <row r="770" spans="8:8" x14ac:dyDescent="0.2">
      <c r="H770" s="4"/>
    </row>
    <row r="771" spans="8:8" x14ac:dyDescent="0.2">
      <c r="H771" s="4"/>
    </row>
    <row r="772" spans="8:8" x14ac:dyDescent="0.2">
      <c r="H772" s="4"/>
    </row>
    <row r="773" spans="8:8" x14ac:dyDescent="0.2">
      <c r="H773" s="4"/>
    </row>
    <row r="774" spans="8:8" x14ac:dyDescent="0.2">
      <c r="H774" s="4"/>
    </row>
    <row r="775" spans="8:8" x14ac:dyDescent="0.2">
      <c r="H775" s="4"/>
    </row>
    <row r="776" spans="8:8" x14ac:dyDescent="0.2">
      <c r="H776" s="4"/>
    </row>
    <row r="777" spans="8:8" x14ac:dyDescent="0.2">
      <c r="H777" s="4"/>
    </row>
    <row r="778" spans="8:8" x14ac:dyDescent="0.2">
      <c r="H778" s="4"/>
    </row>
    <row r="779" spans="8:8" x14ac:dyDescent="0.2">
      <c r="H779" s="4"/>
    </row>
    <row r="780" spans="8:8" x14ac:dyDescent="0.2">
      <c r="H780" s="4"/>
    </row>
    <row r="781" spans="8:8" x14ac:dyDescent="0.2">
      <c r="H781" s="4"/>
    </row>
    <row r="782" spans="8:8" x14ac:dyDescent="0.2">
      <c r="H782" s="4"/>
    </row>
    <row r="783" spans="8:8" x14ac:dyDescent="0.2">
      <c r="H783" s="4"/>
    </row>
    <row r="784" spans="8:8" x14ac:dyDescent="0.2">
      <c r="H784" s="4"/>
    </row>
    <row r="785" spans="8:8" x14ac:dyDescent="0.2">
      <c r="H785" s="4"/>
    </row>
    <row r="786" spans="8:8" x14ac:dyDescent="0.2">
      <c r="H786" s="4"/>
    </row>
    <row r="787" spans="8:8" x14ac:dyDescent="0.2">
      <c r="H787" s="4"/>
    </row>
    <row r="788" spans="8:8" x14ac:dyDescent="0.2">
      <c r="H788" s="4"/>
    </row>
    <row r="789" spans="8:8" x14ac:dyDescent="0.2">
      <c r="H789" s="4"/>
    </row>
    <row r="790" spans="8:8" x14ac:dyDescent="0.2">
      <c r="H790" s="4"/>
    </row>
    <row r="791" spans="8:8" x14ac:dyDescent="0.2">
      <c r="H791" s="4"/>
    </row>
    <row r="792" spans="8:8" x14ac:dyDescent="0.2">
      <c r="H792" s="4"/>
    </row>
    <row r="793" spans="8:8" x14ac:dyDescent="0.2">
      <c r="H793" s="4"/>
    </row>
    <row r="794" spans="8:8" x14ac:dyDescent="0.2">
      <c r="H794" s="4"/>
    </row>
    <row r="795" spans="8:8" x14ac:dyDescent="0.2">
      <c r="H795" s="4"/>
    </row>
    <row r="796" spans="8:8" x14ac:dyDescent="0.2">
      <c r="H796" s="4"/>
    </row>
    <row r="797" spans="8:8" x14ac:dyDescent="0.2">
      <c r="H797" s="4"/>
    </row>
    <row r="798" spans="8:8" x14ac:dyDescent="0.2">
      <c r="H798" s="4"/>
    </row>
    <row r="799" spans="8:8" x14ac:dyDescent="0.2">
      <c r="H799" s="4"/>
    </row>
    <row r="800" spans="8:8" x14ac:dyDescent="0.2">
      <c r="H800" s="4"/>
    </row>
    <row r="801" spans="8:8" x14ac:dyDescent="0.2">
      <c r="H801" s="4"/>
    </row>
    <row r="802" spans="8:8" x14ac:dyDescent="0.2">
      <c r="H802" s="4"/>
    </row>
    <row r="803" spans="8:8" x14ac:dyDescent="0.2">
      <c r="H803" s="4"/>
    </row>
    <row r="804" spans="8:8" x14ac:dyDescent="0.2">
      <c r="H804" s="4"/>
    </row>
    <row r="805" spans="8:8" x14ac:dyDescent="0.2">
      <c r="H805" s="4"/>
    </row>
    <row r="806" spans="8:8" x14ac:dyDescent="0.2">
      <c r="H806" s="4"/>
    </row>
    <row r="807" spans="8:8" x14ac:dyDescent="0.2">
      <c r="H807" s="4"/>
    </row>
    <row r="808" spans="8:8" x14ac:dyDescent="0.2">
      <c r="H808" s="4"/>
    </row>
    <row r="809" spans="8:8" x14ac:dyDescent="0.2">
      <c r="H809" s="4"/>
    </row>
    <row r="810" spans="8:8" x14ac:dyDescent="0.2">
      <c r="H810" s="4"/>
    </row>
    <row r="811" spans="8:8" x14ac:dyDescent="0.2">
      <c r="H811" s="4"/>
    </row>
    <row r="812" spans="8:8" x14ac:dyDescent="0.2">
      <c r="H812" s="4"/>
    </row>
    <row r="813" spans="8:8" x14ac:dyDescent="0.2">
      <c r="H813" s="4"/>
    </row>
    <row r="814" spans="8:8" x14ac:dyDescent="0.2">
      <c r="H814" s="4"/>
    </row>
    <row r="815" spans="8:8" x14ac:dyDescent="0.2">
      <c r="H815" s="4"/>
    </row>
    <row r="816" spans="8:8" x14ac:dyDescent="0.2">
      <c r="H816" s="4"/>
    </row>
    <row r="817" spans="8:8" x14ac:dyDescent="0.2">
      <c r="H817" s="4"/>
    </row>
    <row r="818" spans="8:8" x14ac:dyDescent="0.2">
      <c r="H818" s="4"/>
    </row>
    <row r="819" spans="8:8" x14ac:dyDescent="0.2">
      <c r="H819" s="4"/>
    </row>
    <row r="820" spans="8:8" x14ac:dyDescent="0.2">
      <c r="H820" s="4"/>
    </row>
    <row r="821" spans="8:8" x14ac:dyDescent="0.2">
      <c r="H821" s="4"/>
    </row>
    <row r="822" spans="8:8" x14ac:dyDescent="0.2">
      <c r="H822" s="4"/>
    </row>
    <row r="823" spans="8:8" x14ac:dyDescent="0.2">
      <c r="H823" s="4"/>
    </row>
    <row r="824" spans="8:8" x14ac:dyDescent="0.2">
      <c r="H824" s="4"/>
    </row>
    <row r="825" spans="8:8" x14ac:dyDescent="0.2">
      <c r="H825" s="4"/>
    </row>
    <row r="826" spans="8:8" x14ac:dyDescent="0.2">
      <c r="H826" s="4"/>
    </row>
    <row r="827" spans="8:8" x14ac:dyDescent="0.2">
      <c r="H827" s="4"/>
    </row>
    <row r="828" spans="8:8" x14ac:dyDescent="0.2">
      <c r="H828" s="4"/>
    </row>
    <row r="829" spans="8:8" x14ac:dyDescent="0.2">
      <c r="H829" s="4"/>
    </row>
    <row r="830" spans="8:8" x14ac:dyDescent="0.2">
      <c r="H830" s="4"/>
    </row>
    <row r="831" spans="8:8" x14ac:dyDescent="0.2">
      <c r="H831" s="4"/>
    </row>
    <row r="832" spans="8:8" x14ac:dyDescent="0.2">
      <c r="H832" s="4"/>
    </row>
    <row r="833" spans="8:8" x14ac:dyDescent="0.2">
      <c r="H833" s="4"/>
    </row>
    <row r="834" spans="8:8" x14ac:dyDescent="0.2">
      <c r="H834" s="4"/>
    </row>
    <row r="835" spans="8:8" x14ac:dyDescent="0.2">
      <c r="H835" s="4"/>
    </row>
    <row r="836" spans="8:8" x14ac:dyDescent="0.2">
      <c r="H836" s="4"/>
    </row>
    <row r="837" spans="8:8" x14ac:dyDescent="0.2">
      <c r="H837" s="4"/>
    </row>
    <row r="838" spans="8:8" x14ac:dyDescent="0.2">
      <c r="H838" s="4"/>
    </row>
    <row r="839" spans="8:8" x14ac:dyDescent="0.2">
      <c r="H839" s="4"/>
    </row>
    <row r="840" spans="8:8" x14ac:dyDescent="0.2">
      <c r="H840" s="4"/>
    </row>
    <row r="841" spans="8:8" x14ac:dyDescent="0.2">
      <c r="H841" s="4"/>
    </row>
    <row r="842" spans="8:8" x14ac:dyDescent="0.2">
      <c r="H842" s="4"/>
    </row>
    <row r="843" spans="8:8" x14ac:dyDescent="0.2">
      <c r="H843" s="4"/>
    </row>
    <row r="844" spans="8:8" x14ac:dyDescent="0.2">
      <c r="H844" s="4"/>
    </row>
    <row r="845" spans="8:8" x14ac:dyDescent="0.2">
      <c r="H845" s="4"/>
    </row>
    <row r="846" spans="8:8" x14ac:dyDescent="0.2">
      <c r="H846" s="4"/>
    </row>
    <row r="847" spans="8:8" x14ac:dyDescent="0.2">
      <c r="H847" s="4"/>
    </row>
    <row r="848" spans="8:8" x14ac:dyDescent="0.2">
      <c r="H848" s="4"/>
    </row>
    <row r="849" spans="8:8" x14ac:dyDescent="0.2">
      <c r="H849" s="4"/>
    </row>
    <row r="850" spans="8:8" x14ac:dyDescent="0.2">
      <c r="H850" s="4"/>
    </row>
    <row r="851" spans="8:8" x14ac:dyDescent="0.2">
      <c r="H851" s="4"/>
    </row>
    <row r="852" spans="8:8" x14ac:dyDescent="0.2">
      <c r="H852" s="4"/>
    </row>
    <row r="853" spans="8:8" x14ac:dyDescent="0.2">
      <c r="H853" s="4"/>
    </row>
    <row r="854" spans="8:8" x14ac:dyDescent="0.2">
      <c r="H854" s="4"/>
    </row>
    <row r="855" spans="8:8" x14ac:dyDescent="0.2">
      <c r="H855" s="4"/>
    </row>
    <row r="856" spans="8:8" x14ac:dyDescent="0.2">
      <c r="H856" s="4"/>
    </row>
    <row r="857" spans="8:8" x14ac:dyDescent="0.2">
      <c r="H857" s="4"/>
    </row>
    <row r="858" spans="8:8" x14ac:dyDescent="0.2">
      <c r="H858" s="4"/>
    </row>
    <row r="859" spans="8:8" x14ac:dyDescent="0.2">
      <c r="H859" s="4"/>
    </row>
    <row r="860" spans="8:8" x14ac:dyDescent="0.2">
      <c r="H860" s="4"/>
    </row>
    <row r="861" spans="8:8" x14ac:dyDescent="0.2">
      <c r="H861" s="4"/>
    </row>
    <row r="862" spans="8:8" x14ac:dyDescent="0.2">
      <c r="H862" s="4"/>
    </row>
    <row r="863" spans="8:8" x14ac:dyDescent="0.2">
      <c r="H863" s="4"/>
    </row>
    <row r="864" spans="8:8" x14ac:dyDescent="0.2">
      <c r="H864" s="4"/>
    </row>
    <row r="865" spans="8:8" x14ac:dyDescent="0.2">
      <c r="H865" s="4"/>
    </row>
    <row r="866" spans="8:8" x14ac:dyDescent="0.2">
      <c r="H866" s="4"/>
    </row>
    <row r="867" spans="8:8" x14ac:dyDescent="0.2">
      <c r="H867" s="4"/>
    </row>
    <row r="868" spans="8:8" x14ac:dyDescent="0.2">
      <c r="H868" s="4"/>
    </row>
    <row r="869" spans="8:8" x14ac:dyDescent="0.2">
      <c r="H869" s="4"/>
    </row>
    <row r="870" spans="8:8" x14ac:dyDescent="0.2">
      <c r="H870" s="4"/>
    </row>
    <row r="871" spans="8:8" x14ac:dyDescent="0.2">
      <c r="H871" s="4"/>
    </row>
    <row r="872" spans="8:8" x14ac:dyDescent="0.2">
      <c r="H872" s="4"/>
    </row>
    <row r="873" spans="8:8" x14ac:dyDescent="0.2">
      <c r="H873" s="4"/>
    </row>
    <row r="874" spans="8:8" x14ac:dyDescent="0.2">
      <c r="H874" s="4"/>
    </row>
    <row r="875" spans="8:8" x14ac:dyDescent="0.2">
      <c r="H875" s="4"/>
    </row>
    <row r="876" spans="8:8" x14ac:dyDescent="0.2">
      <c r="H876" s="4"/>
    </row>
    <row r="877" spans="8:8" x14ac:dyDescent="0.2">
      <c r="H877" s="4"/>
    </row>
    <row r="878" spans="8:8" x14ac:dyDescent="0.2">
      <c r="H878" s="4"/>
    </row>
    <row r="879" spans="8:8" x14ac:dyDescent="0.2">
      <c r="H879" s="4"/>
    </row>
    <row r="880" spans="8:8" x14ac:dyDescent="0.2">
      <c r="H880" s="4"/>
    </row>
    <row r="881" spans="8:8" x14ac:dyDescent="0.2">
      <c r="H881" s="4"/>
    </row>
    <row r="882" spans="8:8" x14ac:dyDescent="0.2">
      <c r="H882" s="4"/>
    </row>
    <row r="883" spans="8:8" x14ac:dyDescent="0.2">
      <c r="H883" s="4"/>
    </row>
    <row r="884" spans="8:8" x14ac:dyDescent="0.2">
      <c r="H884" s="4"/>
    </row>
    <row r="885" spans="8:8" x14ac:dyDescent="0.2">
      <c r="H885" s="4"/>
    </row>
    <row r="886" spans="8:8" x14ac:dyDescent="0.2">
      <c r="H886" s="4"/>
    </row>
    <row r="887" spans="8:8" x14ac:dyDescent="0.2">
      <c r="H887" s="4"/>
    </row>
    <row r="888" spans="8:8" x14ac:dyDescent="0.2">
      <c r="H888" s="4"/>
    </row>
    <row r="889" spans="8:8" x14ac:dyDescent="0.2">
      <c r="H889" s="4"/>
    </row>
    <row r="890" spans="8:8" x14ac:dyDescent="0.2">
      <c r="H890" s="4"/>
    </row>
    <row r="891" spans="8:8" x14ac:dyDescent="0.2">
      <c r="H891" s="4"/>
    </row>
    <row r="892" spans="8:8" x14ac:dyDescent="0.2">
      <c r="H892" s="4"/>
    </row>
    <row r="893" spans="8:8" x14ac:dyDescent="0.2">
      <c r="H893" s="4"/>
    </row>
    <row r="894" spans="8:8" x14ac:dyDescent="0.2">
      <c r="H894" s="4"/>
    </row>
    <row r="895" spans="8:8" x14ac:dyDescent="0.2">
      <c r="H895" s="4"/>
    </row>
    <row r="896" spans="8:8" x14ac:dyDescent="0.2">
      <c r="H896" s="4"/>
    </row>
    <row r="897" spans="8:8" x14ac:dyDescent="0.2">
      <c r="H897" s="4"/>
    </row>
    <row r="898" spans="8:8" x14ac:dyDescent="0.2">
      <c r="H898" s="4"/>
    </row>
    <row r="899" spans="8:8" x14ac:dyDescent="0.2">
      <c r="H899" s="4"/>
    </row>
    <row r="900" spans="8:8" x14ac:dyDescent="0.2">
      <c r="H900" s="4"/>
    </row>
    <row r="901" spans="8:8" x14ac:dyDescent="0.2">
      <c r="H901" s="4"/>
    </row>
    <row r="902" spans="8:8" x14ac:dyDescent="0.2">
      <c r="H902" s="4"/>
    </row>
    <row r="903" spans="8:8" x14ac:dyDescent="0.2">
      <c r="H903" s="4"/>
    </row>
    <row r="904" spans="8:8" x14ac:dyDescent="0.2">
      <c r="H904" s="4"/>
    </row>
    <row r="905" spans="8:8" x14ac:dyDescent="0.2">
      <c r="H905" s="4"/>
    </row>
    <row r="906" spans="8:8" x14ac:dyDescent="0.2">
      <c r="H906" s="4"/>
    </row>
    <row r="907" spans="8:8" x14ac:dyDescent="0.2">
      <c r="H907" s="4"/>
    </row>
    <row r="908" spans="8:8" x14ac:dyDescent="0.2">
      <c r="H908" s="4"/>
    </row>
    <row r="909" spans="8:8" x14ac:dyDescent="0.2">
      <c r="H909" s="4"/>
    </row>
    <row r="910" spans="8:8" x14ac:dyDescent="0.2">
      <c r="H910" s="4"/>
    </row>
    <row r="911" spans="8:8" x14ac:dyDescent="0.2">
      <c r="H911" s="4"/>
    </row>
    <row r="912" spans="8:8" x14ac:dyDescent="0.2">
      <c r="H912" s="4"/>
    </row>
    <row r="913" spans="8:8" x14ac:dyDescent="0.2">
      <c r="H913" s="4"/>
    </row>
    <row r="914" spans="8:8" x14ac:dyDescent="0.2">
      <c r="H914" s="4"/>
    </row>
    <row r="915" spans="8:8" x14ac:dyDescent="0.2">
      <c r="H915" s="4"/>
    </row>
    <row r="916" spans="8:8" x14ac:dyDescent="0.2">
      <c r="H916" s="4"/>
    </row>
    <row r="917" spans="8:8" x14ac:dyDescent="0.2">
      <c r="H917" s="4"/>
    </row>
    <row r="918" spans="8:8" x14ac:dyDescent="0.2">
      <c r="H918" s="4"/>
    </row>
    <row r="919" spans="8:8" x14ac:dyDescent="0.2">
      <c r="H919" s="4"/>
    </row>
    <row r="920" spans="8:8" x14ac:dyDescent="0.2">
      <c r="H920" s="4"/>
    </row>
    <row r="921" spans="8:8" x14ac:dyDescent="0.2">
      <c r="H921" s="4"/>
    </row>
    <row r="922" spans="8:8" x14ac:dyDescent="0.2">
      <c r="H922" s="4"/>
    </row>
    <row r="923" spans="8:8" x14ac:dyDescent="0.2">
      <c r="H923" s="4"/>
    </row>
    <row r="924" spans="8:8" x14ac:dyDescent="0.2">
      <c r="H924" s="4"/>
    </row>
    <row r="925" spans="8:8" x14ac:dyDescent="0.2">
      <c r="H925" s="4"/>
    </row>
    <row r="926" spans="8:8" x14ac:dyDescent="0.2">
      <c r="H926" s="4"/>
    </row>
    <row r="927" spans="8:8" x14ac:dyDescent="0.2">
      <c r="H927" s="4"/>
    </row>
    <row r="928" spans="8:8" x14ac:dyDescent="0.2">
      <c r="H928" s="4"/>
    </row>
    <row r="929" spans="8:8" x14ac:dyDescent="0.2">
      <c r="H929" s="4"/>
    </row>
    <row r="930" spans="8:8" x14ac:dyDescent="0.2">
      <c r="H930" s="4"/>
    </row>
    <row r="931" spans="8:8" x14ac:dyDescent="0.2">
      <c r="H931" s="4"/>
    </row>
    <row r="932" spans="8:8" x14ac:dyDescent="0.2">
      <c r="H932" s="4"/>
    </row>
    <row r="933" spans="8:8" x14ac:dyDescent="0.2">
      <c r="H933" s="4"/>
    </row>
    <row r="934" spans="8:8" x14ac:dyDescent="0.2">
      <c r="H934" s="4"/>
    </row>
    <row r="935" spans="8:8" x14ac:dyDescent="0.2">
      <c r="H935" s="4"/>
    </row>
    <row r="936" spans="8:8" x14ac:dyDescent="0.2">
      <c r="H936" s="4"/>
    </row>
    <row r="937" spans="8:8" x14ac:dyDescent="0.2">
      <c r="H937" s="4"/>
    </row>
    <row r="938" spans="8:8" x14ac:dyDescent="0.2">
      <c r="H938" s="4"/>
    </row>
    <row r="939" spans="8:8" x14ac:dyDescent="0.2">
      <c r="H939" s="4"/>
    </row>
    <row r="940" spans="8:8" x14ac:dyDescent="0.2">
      <c r="H940" s="4"/>
    </row>
    <row r="941" spans="8:8" x14ac:dyDescent="0.2">
      <c r="H941" s="4"/>
    </row>
    <row r="942" spans="8:8" x14ac:dyDescent="0.2">
      <c r="H942" s="4"/>
    </row>
    <row r="943" spans="8:8" x14ac:dyDescent="0.2">
      <c r="H943" s="4"/>
    </row>
    <row r="944" spans="8:8" x14ac:dyDescent="0.2">
      <c r="H944" s="4"/>
    </row>
    <row r="945" spans="8:8" x14ac:dyDescent="0.2">
      <c r="H945" s="4"/>
    </row>
    <row r="946" spans="8:8" x14ac:dyDescent="0.2">
      <c r="H946" s="4"/>
    </row>
    <row r="947" spans="8:8" x14ac:dyDescent="0.2">
      <c r="H947" s="4"/>
    </row>
    <row r="948" spans="8:8" x14ac:dyDescent="0.2">
      <c r="H948" s="4"/>
    </row>
    <row r="949" spans="8:8" x14ac:dyDescent="0.2">
      <c r="H949" s="4"/>
    </row>
    <row r="950" spans="8:8" x14ac:dyDescent="0.2">
      <c r="H950" s="4"/>
    </row>
    <row r="951" spans="8:8" x14ac:dyDescent="0.2">
      <c r="H951" s="4"/>
    </row>
    <row r="952" spans="8:8" x14ac:dyDescent="0.2">
      <c r="H952" s="4"/>
    </row>
    <row r="953" spans="8:8" x14ac:dyDescent="0.2">
      <c r="H953" s="4"/>
    </row>
    <row r="954" spans="8:8" x14ac:dyDescent="0.2">
      <c r="H954" s="4"/>
    </row>
    <row r="955" spans="8:8" x14ac:dyDescent="0.2">
      <c r="H955" s="4"/>
    </row>
    <row r="956" spans="8:8" x14ac:dyDescent="0.2">
      <c r="H956" s="4"/>
    </row>
    <row r="957" spans="8:8" x14ac:dyDescent="0.2">
      <c r="H957" s="4"/>
    </row>
    <row r="958" spans="8:8" x14ac:dyDescent="0.2">
      <c r="H958" s="4"/>
    </row>
    <row r="959" spans="8:8" x14ac:dyDescent="0.2">
      <c r="H959" s="4"/>
    </row>
    <row r="960" spans="8:8" x14ac:dyDescent="0.2">
      <c r="H960" s="4"/>
    </row>
    <row r="961" spans="8:8" x14ac:dyDescent="0.2">
      <c r="H961" s="4"/>
    </row>
    <row r="962" spans="8:8" x14ac:dyDescent="0.2">
      <c r="H962" s="4"/>
    </row>
    <row r="963" spans="8:8" x14ac:dyDescent="0.2">
      <c r="H963" s="4"/>
    </row>
    <row r="964" spans="8:8" x14ac:dyDescent="0.2">
      <c r="H964" s="4"/>
    </row>
    <row r="965" spans="8:8" x14ac:dyDescent="0.2">
      <c r="H965" s="4"/>
    </row>
    <row r="966" spans="8:8" x14ac:dyDescent="0.2">
      <c r="H966" s="4"/>
    </row>
    <row r="967" spans="8:8" x14ac:dyDescent="0.2">
      <c r="H967" s="4"/>
    </row>
    <row r="968" spans="8:8" x14ac:dyDescent="0.2">
      <c r="H968" s="4"/>
    </row>
    <row r="969" spans="8:8" x14ac:dyDescent="0.2">
      <c r="H969" s="4"/>
    </row>
    <row r="970" spans="8:8" x14ac:dyDescent="0.2">
      <c r="H970" s="4"/>
    </row>
    <row r="971" spans="8:8" x14ac:dyDescent="0.2">
      <c r="H971" s="4"/>
    </row>
    <row r="972" spans="8:8" x14ac:dyDescent="0.2">
      <c r="H972" s="4"/>
    </row>
    <row r="973" spans="8:8" x14ac:dyDescent="0.2">
      <c r="H973" s="4"/>
    </row>
    <row r="974" spans="8:8" x14ac:dyDescent="0.2">
      <c r="H974" s="4"/>
    </row>
    <row r="975" spans="8:8" x14ac:dyDescent="0.2">
      <c r="H975" s="4"/>
    </row>
    <row r="976" spans="8:8" x14ac:dyDescent="0.2">
      <c r="H976" s="4"/>
    </row>
    <row r="977" spans="8:8" x14ac:dyDescent="0.2">
      <c r="H977" s="4"/>
    </row>
    <row r="978" spans="8:8" x14ac:dyDescent="0.2">
      <c r="H978" s="4"/>
    </row>
    <row r="979" spans="8:8" x14ac:dyDescent="0.2">
      <c r="H979" s="4"/>
    </row>
    <row r="980" spans="8:8" x14ac:dyDescent="0.2">
      <c r="H980" s="4"/>
    </row>
    <row r="981" spans="8:8" x14ac:dyDescent="0.2">
      <c r="H981" s="4"/>
    </row>
    <row r="982" spans="8:8" x14ac:dyDescent="0.2">
      <c r="H982" s="4"/>
    </row>
    <row r="983" spans="8:8" x14ac:dyDescent="0.2">
      <c r="H983" s="4"/>
    </row>
    <row r="984" spans="8:8" x14ac:dyDescent="0.2">
      <c r="H984" s="4"/>
    </row>
    <row r="985" spans="8:8" x14ac:dyDescent="0.2">
      <c r="H985" s="4"/>
    </row>
    <row r="986" spans="8:8" x14ac:dyDescent="0.2">
      <c r="H986" s="4"/>
    </row>
    <row r="987" spans="8:8" x14ac:dyDescent="0.2">
      <c r="H987" s="4"/>
    </row>
    <row r="988" spans="8:8" x14ac:dyDescent="0.2">
      <c r="H988" s="4"/>
    </row>
    <row r="989" spans="8:8" x14ac:dyDescent="0.2">
      <c r="H989" s="4"/>
    </row>
    <row r="990" spans="8:8" x14ac:dyDescent="0.2">
      <c r="H990" s="4"/>
    </row>
    <row r="991" spans="8:8" x14ac:dyDescent="0.2">
      <c r="H991" s="4"/>
    </row>
    <row r="992" spans="8:8" x14ac:dyDescent="0.2">
      <c r="H992" s="4"/>
    </row>
    <row r="993" spans="8:8" x14ac:dyDescent="0.2">
      <c r="H993" s="4"/>
    </row>
    <row r="994" spans="8:8" x14ac:dyDescent="0.2">
      <c r="H994" s="4"/>
    </row>
    <row r="995" spans="8:8" x14ac:dyDescent="0.2">
      <c r="H995" s="4"/>
    </row>
    <row r="996" spans="8:8" x14ac:dyDescent="0.2">
      <c r="H996" s="4"/>
    </row>
    <row r="997" spans="8:8" x14ac:dyDescent="0.2">
      <c r="H997" s="4"/>
    </row>
    <row r="998" spans="8:8" x14ac:dyDescent="0.2">
      <c r="H998" s="4"/>
    </row>
    <row r="999" spans="8:8" x14ac:dyDescent="0.2">
      <c r="H999" s="4"/>
    </row>
    <row r="1000" spans="8:8" x14ac:dyDescent="0.2">
      <c r="H1000" s="4"/>
    </row>
    <row r="1001" spans="8:8" x14ac:dyDescent="0.2">
      <c r="H1001" s="4"/>
    </row>
    <row r="1002" spans="8:8" x14ac:dyDescent="0.2">
      <c r="H1002" s="4"/>
    </row>
    <row r="1003" spans="8:8" x14ac:dyDescent="0.2">
      <c r="H1003" s="4"/>
    </row>
    <row r="1004" spans="8:8" x14ac:dyDescent="0.2">
      <c r="H1004" s="4"/>
    </row>
    <row r="1005" spans="8:8" x14ac:dyDescent="0.2">
      <c r="H1005" s="4"/>
    </row>
    <row r="1006" spans="8:8" x14ac:dyDescent="0.2">
      <c r="H1006" s="4"/>
    </row>
    <row r="1007" spans="8:8" x14ac:dyDescent="0.2">
      <c r="H1007" s="4"/>
    </row>
    <row r="1008" spans="8:8" x14ac:dyDescent="0.2">
      <c r="H1008" s="4"/>
    </row>
    <row r="1009" spans="8:8" x14ac:dyDescent="0.2">
      <c r="H1009" s="4"/>
    </row>
    <row r="1010" spans="8:8" x14ac:dyDescent="0.2">
      <c r="H1010" s="4"/>
    </row>
    <row r="1011" spans="8:8" x14ac:dyDescent="0.2">
      <c r="H1011" s="4"/>
    </row>
    <row r="1012" spans="8:8" x14ac:dyDescent="0.2">
      <c r="H1012" s="4"/>
    </row>
    <row r="1013" spans="8:8" x14ac:dyDescent="0.2">
      <c r="H1013" s="4"/>
    </row>
    <row r="1014" spans="8:8" x14ac:dyDescent="0.2">
      <c r="H1014" s="4"/>
    </row>
    <row r="1015" spans="8:8" x14ac:dyDescent="0.2">
      <c r="H1015" s="4"/>
    </row>
    <row r="1016" spans="8:8" x14ac:dyDescent="0.2">
      <c r="H1016" s="4"/>
    </row>
    <row r="1017" spans="8:8" x14ac:dyDescent="0.2">
      <c r="H1017" s="4"/>
    </row>
    <row r="1018" spans="8:8" x14ac:dyDescent="0.2">
      <c r="H1018" s="4"/>
    </row>
    <row r="1019" spans="8:8" x14ac:dyDescent="0.2">
      <c r="H1019" s="4"/>
    </row>
    <row r="1020" spans="8:8" x14ac:dyDescent="0.2">
      <c r="H1020" s="4"/>
    </row>
    <row r="1021" spans="8:8" x14ac:dyDescent="0.2">
      <c r="H1021" s="4"/>
    </row>
    <row r="1022" spans="8:8" x14ac:dyDescent="0.2">
      <c r="H1022" s="4"/>
    </row>
    <row r="1023" spans="8:8" x14ac:dyDescent="0.2">
      <c r="H1023" s="4"/>
    </row>
    <row r="1024" spans="8:8" x14ac:dyDescent="0.2">
      <c r="H1024" s="4"/>
    </row>
    <row r="1025" spans="8:8" x14ac:dyDescent="0.2">
      <c r="H1025" s="4"/>
    </row>
    <row r="1026" spans="8:8" x14ac:dyDescent="0.2">
      <c r="H1026" s="4"/>
    </row>
    <row r="1027" spans="8:8" x14ac:dyDescent="0.2">
      <c r="H1027" s="4"/>
    </row>
    <row r="1028" spans="8:8" x14ac:dyDescent="0.2">
      <c r="H1028" s="4"/>
    </row>
    <row r="1029" spans="8:8" x14ac:dyDescent="0.2">
      <c r="H1029" s="4"/>
    </row>
    <row r="1030" spans="8:8" x14ac:dyDescent="0.2">
      <c r="H1030" s="4"/>
    </row>
    <row r="1031" spans="8:8" x14ac:dyDescent="0.2">
      <c r="H1031" s="4"/>
    </row>
    <row r="1032" spans="8:8" x14ac:dyDescent="0.2">
      <c r="H1032" s="4"/>
    </row>
    <row r="1033" spans="8:8" x14ac:dyDescent="0.2">
      <c r="H1033" s="4"/>
    </row>
    <row r="1034" spans="8:8" x14ac:dyDescent="0.2">
      <c r="H1034" s="4"/>
    </row>
    <row r="1035" spans="8:8" x14ac:dyDescent="0.2">
      <c r="H1035" s="4"/>
    </row>
    <row r="1036" spans="8:8" x14ac:dyDescent="0.2">
      <c r="H1036" s="4"/>
    </row>
    <row r="1037" spans="8:8" x14ac:dyDescent="0.2">
      <c r="H1037" s="4"/>
    </row>
    <row r="1038" spans="8:8" x14ac:dyDescent="0.2">
      <c r="H1038" s="4"/>
    </row>
    <row r="1039" spans="8:8" x14ac:dyDescent="0.2">
      <c r="H1039" s="4"/>
    </row>
    <row r="1040" spans="8:8" x14ac:dyDescent="0.2">
      <c r="H1040" s="4"/>
    </row>
    <row r="1041" spans="8:8" x14ac:dyDescent="0.2">
      <c r="H1041" s="4"/>
    </row>
    <row r="1042" spans="8:8" x14ac:dyDescent="0.2">
      <c r="H1042" s="4"/>
    </row>
    <row r="1043" spans="8:8" x14ac:dyDescent="0.2">
      <c r="H1043" s="4"/>
    </row>
    <row r="1044" spans="8:8" x14ac:dyDescent="0.2">
      <c r="H1044" s="4"/>
    </row>
    <row r="1045" spans="8:8" x14ac:dyDescent="0.2">
      <c r="H1045" s="4"/>
    </row>
    <row r="1046" spans="8:8" x14ac:dyDescent="0.2">
      <c r="H1046" s="4"/>
    </row>
    <row r="1047" spans="8:8" x14ac:dyDescent="0.2">
      <c r="H1047" s="4"/>
    </row>
    <row r="1048" spans="8:8" x14ac:dyDescent="0.2">
      <c r="H1048" s="4"/>
    </row>
    <row r="1049" spans="8:8" x14ac:dyDescent="0.2">
      <c r="H1049" s="4"/>
    </row>
    <row r="1050" spans="8:8" x14ac:dyDescent="0.2">
      <c r="H1050" s="4"/>
    </row>
    <row r="1051" spans="8:8" x14ac:dyDescent="0.2">
      <c r="H1051" s="4"/>
    </row>
    <row r="1052" spans="8:8" x14ac:dyDescent="0.2">
      <c r="H1052" s="4"/>
    </row>
    <row r="1053" spans="8:8" x14ac:dyDescent="0.2">
      <c r="H1053" s="4"/>
    </row>
    <row r="1054" spans="8:8" x14ac:dyDescent="0.2">
      <c r="H1054" s="4"/>
    </row>
    <row r="1055" spans="8:8" x14ac:dyDescent="0.2">
      <c r="H1055" s="4"/>
    </row>
    <row r="1056" spans="8:8" x14ac:dyDescent="0.2">
      <c r="H1056" s="4"/>
    </row>
    <row r="1057" spans="8:8" x14ac:dyDescent="0.2">
      <c r="H1057" s="4"/>
    </row>
    <row r="1058" spans="8:8" x14ac:dyDescent="0.2">
      <c r="H1058" s="4"/>
    </row>
    <row r="1059" spans="8:8" x14ac:dyDescent="0.2">
      <c r="H1059" s="4"/>
    </row>
    <row r="1060" spans="8:8" x14ac:dyDescent="0.2">
      <c r="H1060" s="4"/>
    </row>
    <row r="1061" spans="8:8" x14ac:dyDescent="0.2">
      <c r="H1061" s="4"/>
    </row>
    <row r="1062" spans="8:8" x14ac:dyDescent="0.2">
      <c r="H1062" s="4"/>
    </row>
    <row r="1063" spans="8:8" x14ac:dyDescent="0.2">
      <c r="H1063" s="4"/>
    </row>
    <row r="1064" spans="8:8" x14ac:dyDescent="0.2">
      <c r="H1064" s="4"/>
    </row>
    <row r="1065" spans="8:8" x14ac:dyDescent="0.2">
      <c r="H1065" s="4"/>
    </row>
    <row r="1066" spans="8:8" x14ac:dyDescent="0.2">
      <c r="H1066" s="4"/>
    </row>
    <row r="1067" spans="8:8" x14ac:dyDescent="0.2">
      <c r="H1067" s="4"/>
    </row>
    <row r="1068" spans="8:8" x14ac:dyDescent="0.2">
      <c r="H1068" s="4"/>
    </row>
    <row r="1069" spans="8:8" x14ac:dyDescent="0.2">
      <c r="H1069" s="4"/>
    </row>
    <row r="1070" spans="8:8" x14ac:dyDescent="0.2">
      <c r="H1070" s="4"/>
    </row>
    <row r="1071" spans="8:8" x14ac:dyDescent="0.2">
      <c r="H1071" s="4"/>
    </row>
    <row r="1072" spans="8:8" x14ac:dyDescent="0.2">
      <c r="H1072" s="4"/>
    </row>
    <row r="1073" spans="8:8" x14ac:dyDescent="0.2">
      <c r="H1073" s="4"/>
    </row>
    <row r="1074" spans="8:8" x14ac:dyDescent="0.2">
      <c r="H1074" s="4"/>
    </row>
    <row r="1075" spans="8:8" x14ac:dyDescent="0.2">
      <c r="H1075" s="4"/>
    </row>
    <row r="1076" spans="8:8" x14ac:dyDescent="0.2">
      <c r="H1076" s="4"/>
    </row>
    <row r="1077" spans="8:8" x14ac:dyDescent="0.2">
      <c r="H1077" s="4"/>
    </row>
    <row r="1078" spans="8:8" x14ac:dyDescent="0.2">
      <c r="H1078" s="4"/>
    </row>
    <row r="1079" spans="8:8" x14ac:dyDescent="0.2">
      <c r="H1079" s="4"/>
    </row>
    <row r="1080" spans="8:8" x14ac:dyDescent="0.2">
      <c r="H1080" s="4"/>
    </row>
    <row r="1081" spans="8:8" x14ac:dyDescent="0.2">
      <c r="H1081" s="4"/>
    </row>
    <row r="1082" spans="8:8" x14ac:dyDescent="0.2">
      <c r="H1082" s="4"/>
    </row>
    <row r="1083" spans="8:8" x14ac:dyDescent="0.2">
      <c r="H1083" s="4"/>
    </row>
    <row r="1084" spans="8:8" x14ac:dyDescent="0.2">
      <c r="H1084" s="4"/>
    </row>
    <row r="1085" spans="8:8" x14ac:dyDescent="0.2">
      <c r="H1085" s="4"/>
    </row>
    <row r="1086" spans="8:8" x14ac:dyDescent="0.2">
      <c r="H1086" s="4"/>
    </row>
    <row r="1087" spans="8:8" x14ac:dyDescent="0.2">
      <c r="H1087" s="4"/>
    </row>
    <row r="1088" spans="8:8" x14ac:dyDescent="0.2">
      <c r="H1088" s="4"/>
    </row>
    <row r="1089" spans="8:8" x14ac:dyDescent="0.2">
      <c r="H1089" s="4"/>
    </row>
    <row r="1090" spans="8:8" x14ac:dyDescent="0.2">
      <c r="H1090" s="4"/>
    </row>
    <row r="1091" spans="8:8" x14ac:dyDescent="0.2">
      <c r="H1091" s="4"/>
    </row>
    <row r="1092" spans="8:8" x14ac:dyDescent="0.2">
      <c r="H1092" s="4"/>
    </row>
    <row r="1093" spans="8:8" x14ac:dyDescent="0.2">
      <c r="H1093" s="4"/>
    </row>
    <row r="1094" spans="8:8" x14ac:dyDescent="0.2">
      <c r="H1094" s="4"/>
    </row>
    <row r="1095" spans="8:8" x14ac:dyDescent="0.2">
      <c r="H1095" s="4"/>
    </row>
    <row r="1096" spans="8:8" x14ac:dyDescent="0.2">
      <c r="H1096" s="4"/>
    </row>
    <row r="1097" spans="8:8" x14ac:dyDescent="0.2">
      <c r="H1097" s="4"/>
    </row>
    <row r="1098" spans="8:8" x14ac:dyDescent="0.2">
      <c r="H1098" s="4"/>
    </row>
    <row r="1099" spans="8:8" x14ac:dyDescent="0.2">
      <c r="H1099" s="4"/>
    </row>
    <row r="1100" spans="8:8" x14ac:dyDescent="0.2">
      <c r="H1100" s="4"/>
    </row>
    <row r="1101" spans="8:8" x14ac:dyDescent="0.2">
      <c r="H1101" s="4"/>
    </row>
    <row r="1102" spans="8:8" x14ac:dyDescent="0.2">
      <c r="H1102" s="4"/>
    </row>
    <row r="1103" spans="8:8" x14ac:dyDescent="0.2">
      <c r="H1103" s="4"/>
    </row>
    <row r="1104" spans="8:8" x14ac:dyDescent="0.2">
      <c r="H1104" s="4"/>
    </row>
    <row r="1105" spans="8:8" x14ac:dyDescent="0.2">
      <c r="H1105" s="4"/>
    </row>
    <row r="1106" spans="8:8" x14ac:dyDescent="0.2">
      <c r="H1106" s="4"/>
    </row>
    <row r="1107" spans="8:8" x14ac:dyDescent="0.2">
      <c r="H1107" s="4"/>
    </row>
    <row r="1108" spans="8:8" x14ac:dyDescent="0.2">
      <c r="H1108" s="4"/>
    </row>
    <row r="1109" spans="8:8" x14ac:dyDescent="0.2">
      <c r="H1109" s="4"/>
    </row>
    <row r="1110" spans="8:8" x14ac:dyDescent="0.2">
      <c r="H1110" s="4"/>
    </row>
    <row r="1111" spans="8:8" x14ac:dyDescent="0.2">
      <c r="H1111" s="4"/>
    </row>
    <row r="1112" spans="8:8" x14ac:dyDescent="0.2">
      <c r="H1112" s="4"/>
    </row>
    <row r="1113" spans="8:8" x14ac:dyDescent="0.2">
      <c r="H1113" s="4"/>
    </row>
    <row r="1114" spans="8:8" x14ac:dyDescent="0.2">
      <c r="H1114" s="4"/>
    </row>
    <row r="1115" spans="8:8" x14ac:dyDescent="0.2">
      <c r="H1115" s="4"/>
    </row>
    <row r="1116" spans="8:8" x14ac:dyDescent="0.2">
      <c r="H1116" s="4"/>
    </row>
    <row r="1117" spans="8:8" x14ac:dyDescent="0.2">
      <c r="H1117" s="4"/>
    </row>
    <row r="1118" spans="8:8" x14ac:dyDescent="0.2">
      <c r="H1118" s="4"/>
    </row>
    <row r="1119" spans="8:8" x14ac:dyDescent="0.2">
      <c r="H1119" s="4"/>
    </row>
    <row r="1120" spans="8:8" x14ac:dyDescent="0.2">
      <c r="H1120" s="4"/>
    </row>
    <row r="1121" spans="8:8" x14ac:dyDescent="0.2">
      <c r="H1121" s="4"/>
    </row>
    <row r="1122" spans="8:8" x14ac:dyDescent="0.2">
      <c r="H1122" s="4"/>
    </row>
    <row r="1123" spans="8:8" x14ac:dyDescent="0.2">
      <c r="H1123" s="4"/>
    </row>
    <row r="1124" spans="8:8" x14ac:dyDescent="0.2">
      <c r="H1124" s="4"/>
    </row>
    <row r="1125" spans="8:8" x14ac:dyDescent="0.2">
      <c r="H1125" s="4"/>
    </row>
    <row r="1126" spans="8:8" x14ac:dyDescent="0.2">
      <c r="H1126" s="4"/>
    </row>
    <row r="1127" spans="8:8" x14ac:dyDescent="0.2">
      <c r="H1127" s="4"/>
    </row>
    <row r="1128" spans="8:8" x14ac:dyDescent="0.2">
      <c r="H1128" s="4"/>
    </row>
    <row r="1129" spans="8:8" x14ac:dyDescent="0.2">
      <c r="H1129" s="4"/>
    </row>
    <row r="1130" spans="8:8" x14ac:dyDescent="0.2">
      <c r="H1130" s="4"/>
    </row>
    <row r="1131" spans="8:8" x14ac:dyDescent="0.2">
      <c r="H1131" s="4"/>
    </row>
    <row r="1132" spans="8:8" x14ac:dyDescent="0.2">
      <c r="H1132" s="4"/>
    </row>
    <row r="1133" spans="8:8" x14ac:dyDescent="0.2">
      <c r="H1133" s="4"/>
    </row>
    <row r="1134" spans="8:8" x14ac:dyDescent="0.2">
      <c r="H1134" s="4"/>
    </row>
    <row r="1135" spans="8:8" x14ac:dyDescent="0.2">
      <c r="H1135" s="4"/>
    </row>
    <row r="1136" spans="8:8" x14ac:dyDescent="0.2">
      <c r="H1136" s="4"/>
    </row>
    <row r="1137" spans="8:8" x14ac:dyDescent="0.2">
      <c r="H1137" s="4"/>
    </row>
    <row r="1138" spans="8:8" x14ac:dyDescent="0.2">
      <c r="H1138" s="4"/>
    </row>
    <row r="1139" spans="8:8" x14ac:dyDescent="0.2">
      <c r="H1139" s="4"/>
    </row>
    <row r="1140" spans="8:8" x14ac:dyDescent="0.2">
      <c r="H1140" s="4"/>
    </row>
    <row r="1141" spans="8:8" x14ac:dyDescent="0.2">
      <c r="H1141" s="4"/>
    </row>
    <row r="1142" spans="8:8" x14ac:dyDescent="0.2">
      <c r="H1142" s="4"/>
    </row>
    <row r="1143" spans="8:8" x14ac:dyDescent="0.2">
      <c r="H1143" s="4"/>
    </row>
    <row r="1144" spans="8:8" x14ac:dyDescent="0.2">
      <c r="H1144" s="4"/>
    </row>
    <row r="1145" spans="8:8" x14ac:dyDescent="0.2">
      <c r="H1145" s="4"/>
    </row>
    <row r="1146" spans="8:8" x14ac:dyDescent="0.2">
      <c r="H1146" s="4"/>
    </row>
    <row r="1147" spans="8:8" x14ac:dyDescent="0.2">
      <c r="H1147" s="4"/>
    </row>
    <row r="1148" spans="8:8" x14ac:dyDescent="0.2">
      <c r="H1148" s="4"/>
    </row>
    <row r="1149" spans="8:8" x14ac:dyDescent="0.2">
      <c r="H1149" s="4"/>
    </row>
    <row r="1150" spans="8:8" x14ac:dyDescent="0.2">
      <c r="H1150" s="4"/>
    </row>
    <row r="1151" spans="8:8" x14ac:dyDescent="0.2">
      <c r="H1151" s="4"/>
    </row>
    <row r="1152" spans="8:8" x14ac:dyDescent="0.2">
      <c r="H1152" s="4"/>
    </row>
    <row r="1153" spans="8:8" x14ac:dyDescent="0.2">
      <c r="H1153" s="4"/>
    </row>
    <row r="1154" spans="8:8" x14ac:dyDescent="0.2">
      <c r="H1154" s="4"/>
    </row>
    <row r="1155" spans="8:8" x14ac:dyDescent="0.2">
      <c r="H1155" s="4"/>
    </row>
    <row r="1156" spans="8:8" x14ac:dyDescent="0.2">
      <c r="H1156" s="4"/>
    </row>
    <row r="1157" spans="8:8" x14ac:dyDescent="0.2">
      <c r="H1157" s="4"/>
    </row>
    <row r="1158" spans="8:8" x14ac:dyDescent="0.2">
      <c r="H1158" s="4"/>
    </row>
    <row r="1159" spans="8:8" x14ac:dyDescent="0.2">
      <c r="H1159" s="4"/>
    </row>
    <row r="1160" spans="8:8" x14ac:dyDescent="0.2">
      <c r="H1160" s="4"/>
    </row>
    <row r="1161" spans="8:8" x14ac:dyDescent="0.2">
      <c r="H1161" s="4"/>
    </row>
    <row r="1162" spans="8:8" x14ac:dyDescent="0.2">
      <c r="H1162" s="4"/>
    </row>
    <row r="1163" spans="8:8" x14ac:dyDescent="0.2">
      <c r="H1163" s="4"/>
    </row>
    <row r="1164" spans="8:8" x14ac:dyDescent="0.2">
      <c r="H1164" s="4"/>
    </row>
    <row r="1165" spans="8:8" x14ac:dyDescent="0.2">
      <c r="H1165" s="4"/>
    </row>
    <row r="1166" spans="8:8" x14ac:dyDescent="0.2">
      <c r="H1166" s="4"/>
    </row>
    <row r="1167" spans="8:8" x14ac:dyDescent="0.2">
      <c r="H1167" s="4"/>
    </row>
    <row r="1168" spans="8:8" x14ac:dyDescent="0.2">
      <c r="H1168" s="4"/>
    </row>
    <row r="1169" spans="8:8" x14ac:dyDescent="0.2">
      <c r="H1169" s="4"/>
    </row>
    <row r="1170" spans="8:8" x14ac:dyDescent="0.2">
      <c r="H1170" s="4"/>
    </row>
    <row r="1171" spans="8:8" x14ac:dyDescent="0.2">
      <c r="H1171" s="4"/>
    </row>
    <row r="1172" spans="8:8" x14ac:dyDescent="0.2">
      <c r="H1172" s="4"/>
    </row>
    <row r="1173" spans="8:8" x14ac:dyDescent="0.2">
      <c r="H1173" s="4"/>
    </row>
    <row r="1174" spans="8:8" x14ac:dyDescent="0.2">
      <c r="H1174" s="4"/>
    </row>
    <row r="1175" spans="8:8" x14ac:dyDescent="0.2">
      <c r="H1175" s="4"/>
    </row>
    <row r="1176" spans="8:8" x14ac:dyDescent="0.2">
      <c r="H1176" s="4"/>
    </row>
    <row r="1177" spans="8:8" x14ac:dyDescent="0.2">
      <c r="H1177" s="4"/>
    </row>
    <row r="1178" spans="8:8" x14ac:dyDescent="0.2">
      <c r="H1178" s="4"/>
    </row>
    <row r="1179" spans="8:8" x14ac:dyDescent="0.2">
      <c r="H1179" s="4"/>
    </row>
    <row r="1180" spans="8:8" x14ac:dyDescent="0.2">
      <c r="H1180" s="4"/>
    </row>
    <row r="1181" spans="8:8" x14ac:dyDescent="0.2">
      <c r="H1181" s="4"/>
    </row>
    <row r="1182" spans="8:8" x14ac:dyDescent="0.2">
      <c r="H1182" s="4"/>
    </row>
    <row r="1183" spans="8:8" x14ac:dyDescent="0.2">
      <c r="H1183" s="4"/>
    </row>
    <row r="1184" spans="8:8" x14ac:dyDescent="0.2">
      <c r="H1184" s="4"/>
    </row>
    <row r="1185" spans="8:8" x14ac:dyDescent="0.2">
      <c r="H1185" s="4"/>
    </row>
    <row r="1186" spans="8:8" x14ac:dyDescent="0.2">
      <c r="H1186" s="4"/>
    </row>
    <row r="1187" spans="8:8" x14ac:dyDescent="0.2">
      <c r="H1187" s="4"/>
    </row>
    <row r="1188" spans="8:8" x14ac:dyDescent="0.2">
      <c r="H1188" s="4"/>
    </row>
    <row r="1189" spans="8:8" x14ac:dyDescent="0.2">
      <c r="H1189" s="4"/>
    </row>
    <row r="1190" spans="8:8" x14ac:dyDescent="0.2">
      <c r="H1190" s="4"/>
    </row>
    <row r="1191" spans="8:8" x14ac:dyDescent="0.2">
      <c r="H1191" s="4"/>
    </row>
    <row r="1192" spans="8:8" x14ac:dyDescent="0.2">
      <c r="H1192" s="4"/>
    </row>
    <row r="1193" spans="8:8" x14ac:dyDescent="0.2">
      <c r="H1193" s="4"/>
    </row>
    <row r="1194" spans="8:8" x14ac:dyDescent="0.2">
      <c r="H1194" s="4"/>
    </row>
    <row r="1195" spans="8:8" x14ac:dyDescent="0.2">
      <c r="H1195" s="4"/>
    </row>
    <row r="1196" spans="8:8" x14ac:dyDescent="0.2">
      <c r="H1196" s="4"/>
    </row>
    <row r="1197" spans="8:8" x14ac:dyDescent="0.2">
      <c r="H1197" s="4"/>
    </row>
    <row r="1198" spans="8:8" x14ac:dyDescent="0.2">
      <c r="H1198" s="4"/>
    </row>
    <row r="1199" spans="8:8" x14ac:dyDescent="0.2">
      <c r="H1199" s="4"/>
    </row>
    <row r="1200" spans="8:8" x14ac:dyDescent="0.2">
      <c r="H1200" s="4"/>
    </row>
    <row r="1201" spans="8:8" x14ac:dyDescent="0.2">
      <c r="H1201" s="4"/>
    </row>
    <row r="1202" spans="8:8" x14ac:dyDescent="0.2">
      <c r="H1202" s="4"/>
    </row>
    <row r="1203" spans="8:8" x14ac:dyDescent="0.2">
      <c r="H1203" s="4"/>
    </row>
    <row r="1204" spans="8:8" x14ac:dyDescent="0.2">
      <c r="H1204" s="4"/>
    </row>
    <row r="1205" spans="8:8" x14ac:dyDescent="0.2">
      <c r="H1205" s="4"/>
    </row>
    <row r="1206" spans="8:8" x14ac:dyDescent="0.2">
      <c r="H1206" s="4"/>
    </row>
    <row r="1207" spans="8:8" x14ac:dyDescent="0.2">
      <c r="H1207" s="4"/>
    </row>
    <row r="1208" spans="8:8" x14ac:dyDescent="0.2">
      <c r="H1208" s="4"/>
    </row>
    <row r="1209" spans="8:8" x14ac:dyDescent="0.2">
      <c r="H1209" s="4"/>
    </row>
    <row r="1210" spans="8:8" x14ac:dyDescent="0.2">
      <c r="H1210" s="4"/>
    </row>
    <row r="1211" spans="8:8" x14ac:dyDescent="0.2">
      <c r="H1211" s="4"/>
    </row>
    <row r="1212" spans="8:8" x14ac:dyDescent="0.2">
      <c r="H1212" s="4"/>
    </row>
    <row r="1213" spans="8:8" x14ac:dyDescent="0.2">
      <c r="H1213" s="4"/>
    </row>
    <row r="1214" spans="8:8" x14ac:dyDescent="0.2">
      <c r="H1214" s="4"/>
    </row>
    <row r="1215" spans="8:8" x14ac:dyDescent="0.2">
      <c r="H1215" s="4"/>
    </row>
    <row r="1216" spans="8:8" x14ac:dyDescent="0.2">
      <c r="H1216" s="4"/>
    </row>
    <row r="1217" spans="8:8" x14ac:dyDescent="0.2">
      <c r="H1217" s="4"/>
    </row>
    <row r="1218" spans="8:8" x14ac:dyDescent="0.2">
      <c r="H1218" s="4"/>
    </row>
    <row r="1219" spans="8:8" x14ac:dyDescent="0.2">
      <c r="H1219" s="4"/>
    </row>
    <row r="1220" spans="8:8" x14ac:dyDescent="0.2">
      <c r="H1220" s="4"/>
    </row>
    <row r="1221" spans="8:8" x14ac:dyDescent="0.2">
      <c r="H1221" s="4"/>
    </row>
    <row r="1222" spans="8:8" x14ac:dyDescent="0.2">
      <c r="H1222" s="4"/>
    </row>
    <row r="1223" spans="8:8" x14ac:dyDescent="0.2">
      <c r="H1223" s="4"/>
    </row>
    <row r="1224" spans="8:8" x14ac:dyDescent="0.2">
      <c r="H1224" s="4"/>
    </row>
    <row r="1225" spans="8:8" x14ac:dyDescent="0.2">
      <c r="H1225" s="4"/>
    </row>
    <row r="1226" spans="8:8" x14ac:dyDescent="0.2">
      <c r="H1226" s="4"/>
    </row>
    <row r="1227" spans="8:8" x14ac:dyDescent="0.2">
      <c r="H1227" s="4"/>
    </row>
    <row r="1228" spans="8:8" x14ac:dyDescent="0.2">
      <c r="H1228" s="4"/>
    </row>
    <row r="1229" spans="8:8" x14ac:dyDescent="0.2">
      <c r="H1229" s="4"/>
    </row>
    <row r="1230" spans="8:8" x14ac:dyDescent="0.2">
      <c r="H1230" s="4"/>
    </row>
    <row r="1231" spans="8:8" x14ac:dyDescent="0.2">
      <c r="H1231" s="4"/>
    </row>
    <row r="1232" spans="8:8" x14ac:dyDescent="0.2">
      <c r="H1232" s="4"/>
    </row>
    <row r="1233" spans="8:8" x14ac:dyDescent="0.2">
      <c r="H1233" s="4"/>
    </row>
    <row r="1234" spans="8:8" x14ac:dyDescent="0.2">
      <c r="H1234" s="4"/>
    </row>
    <row r="1235" spans="8:8" x14ac:dyDescent="0.2">
      <c r="H1235" s="4"/>
    </row>
    <row r="1236" spans="8:8" x14ac:dyDescent="0.2">
      <c r="H1236" s="4"/>
    </row>
    <row r="1237" spans="8:8" x14ac:dyDescent="0.2">
      <c r="H1237" s="4"/>
    </row>
    <row r="1238" spans="8:8" x14ac:dyDescent="0.2">
      <c r="H1238" s="4"/>
    </row>
    <row r="1239" spans="8:8" x14ac:dyDescent="0.2">
      <c r="H1239" s="4"/>
    </row>
    <row r="1240" spans="8:8" x14ac:dyDescent="0.2">
      <c r="H1240" s="4"/>
    </row>
    <row r="1241" spans="8:8" x14ac:dyDescent="0.2">
      <c r="H1241" s="4"/>
    </row>
    <row r="1242" spans="8:8" x14ac:dyDescent="0.2">
      <c r="H1242" s="4"/>
    </row>
    <row r="1243" spans="8:8" x14ac:dyDescent="0.2">
      <c r="H1243" s="4"/>
    </row>
    <row r="1244" spans="8:8" x14ac:dyDescent="0.2">
      <c r="H1244" s="4"/>
    </row>
    <row r="1245" spans="8:8" x14ac:dyDescent="0.2">
      <c r="H1245" s="4"/>
    </row>
    <row r="1246" spans="8:8" x14ac:dyDescent="0.2">
      <c r="H1246" s="4"/>
    </row>
    <row r="1247" spans="8:8" x14ac:dyDescent="0.2">
      <c r="H1247" s="4"/>
    </row>
    <row r="1248" spans="8:8" x14ac:dyDescent="0.2">
      <c r="H1248" s="4"/>
    </row>
    <row r="1249" spans="8:8" x14ac:dyDescent="0.2">
      <c r="H1249" s="4"/>
    </row>
    <row r="1250" spans="8:8" x14ac:dyDescent="0.2">
      <c r="H1250" s="4"/>
    </row>
    <row r="1251" spans="8:8" x14ac:dyDescent="0.2">
      <c r="H1251" s="4"/>
    </row>
    <row r="1252" spans="8:8" x14ac:dyDescent="0.2">
      <c r="H1252" s="4"/>
    </row>
    <row r="1253" spans="8:8" x14ac:dyDescent="0.2">
      <c r="H1253" s="4"/>
    </row>
    <row r="1254" spans="8:8" x14ac:dyDescent="0.2">
      <c r="H1254" s="4"/>
    </row>
    <row r="1255" spans="8:8" x14ac:dyDescent="0.2">
      <c r="H1255" s="4"/>
    </row>
    <row r="1256" spans="8:8" x14ac:dyDescent="0.2">
      <c r="H1256" s="4"/>
    </row>
    <row r="1257" spans="8:8" x14ac:dyDescent="0.2">
      <c r="H1257" s="4"/>
    </row>
    <row r="1258" spans="8:8" x14ac:dyDescent="0.2">
      <c r="H1258" s="4"/>
    </row>
    <row r="1259" spans="8:8" x14ac:dyDescent="0.2">
      <c r="H1259" s="4"/>
    </row>
    <row r="1260" spans="8:8" x14ac:dyDescent="0.2">
      <c r="H1260" s="4"/>
    </row>
    <row r="1261" spans="8:8" x14ac:dyDescent="0.2">
      <c r="H1261" s="4"/>
    </row>
    <row r="1262" spans="8:8" x14ac:dyDescent="0.2">
      <c r="H1262" s="4"/>
    </row>
    <row r="1263" spans="8:8" x14ac:dyDescent="0.2">
      <c r="H1263" s="4"/>
    </row>
    <row r="1264" spans="8:8" x14ac:dyDescent="0.2">
      <c r="H1264" s="4"/>
    </row>
    <row r="1265" spans="8:8" x14ac:dyDescent="0.2">
      <c r="H1265" s="4"/>
    </row>
    <row r="1266" spans="8:8" x14ac:dyDescent="0.2">
      <c r="H1266" s="4"/>
    </row>
    <row r="1267" spans="8:8" x14ac:dyDescent="0.2">
      <c r="H1267" s="4"/>
    </row>
    <row r="1268" spans="8:8" x14ac:dyDescent="0.2">
      <c r="H1268" s="4"/>
    </row>
    <row r="1269" spans="8:8" x14ac:dyDescent="0.2">
      <c r="H1269" s="4"/>
    </row>
    <row r="1270" spans="8:8" x14ac:dyDescent="0.2">
      <c r="H1270" s="4"/>
    </row>
    <row r="1271" spans="8:8" x14ac:dyDescent="0.2">
      <c r="H1271" s="4"/>
    </row>
    <row r="1272" spans="8:8" x14ac:dyDescent="0.2">
      <c r="H1272" s="4"/>
    </row>
    <row r="1273" spans="8:8" x14ac:dyDescent="0.2">
      <c r="H1273" s="4"/>
    </row>
    <row r="1274" spans="8:8" x14ac:dyDescent="0.2">
      <c r="H1274" s="4"/>
    </row>
    <row r="1275" spans="8:8" x14ac:dyDescent="0.2">
      <c r="H1275" s="4"/>
    </row>
    <row r="1276" spans="8:8" x14ac:dyDescent="0.2">
      <c r="H1276" s="4"/>
    </row>
    <row r="1277" spans="8:8" x14ac:dyDescent="0.2">
      <c r="H1277" s="4"/>
    </row>
    <row r="1278" spans="8:8" x14ac:dyDescent="0.2">
      <c r="H1278" s="4"/>
    </row>
    <row r="1279" spans="8:8" x14ac:dyDescent="0.2">
      <c r="H1279" s="4"/>
    </row>
    <row r="1280" spans="8:8" x14ac:dyDescent="0.2">
      <c r="H1280" s="4"/>
    </row>
    <row r="1281" spans="8:8" x14ac:dyDescent="0.2">
      <c r="H1281" s="4"/>
    </row>
    <row r="1282" spans="8:8" x14ac:dyDescent="0.2">
      <c r="H1282" s="4"/>
    </row>
    <row r="1283" spans="8:8" x14ac:dyDescent="0.2">
      <c r="H1283" s="4"/>
    </row>
    <row r="1284" spans="8:8" x14ac:dyDescent="0.2">
      <c r="H1284" s="4"/>
    </row>
    <row r="1285" spans="8:8" x14ac:dyDescent="0.2">
      <c r="H1285" s="4"/>
    </row>
    <row r="1286" spans="8:8" x14ac:dyDescent="0.2">
      <c r="H1286" s="4"/>
    </row>
    <row r="1287" spans="8:8" x14ac:dyDescent="0.2">
      <c r="H1287" s="4"/>
    </row>
    <row r="1288" spans="8:8" x14ac:dyDescent="0.2">
      <c r="H1288" s="4"/>
    </row>
    <row r="1289" spans="8:8" x14ac:dyDescent="0.2">
      <c r="H1289" s="4"/>
    </row>
    <row r="1290" spans="8:8" x14ac:dyDescent="0.2">
      <c r="H1290" s="4"/>
    </row>
    <row r="1291" spans="8:8" x14ac:dyDescent="0.2">
      <c r="H1291" s="4"/>
    </row>
    <row r="1292" spans="8:8" x14ac:dyDescent="0.2">
      <c r="H1292" s="4"/>
    </row>
    <row r="1293" spans="8:8" x14ac:dyDescent="0.2">
      <c r="H1293" s="4"/>
    </row>
    <row r="1294" spans="8:8" x14ac:dyDescent="0.2">
      <c r="H1294" s="4"/>
    </row>
    <row r="1295" spans="8:8" x14ac:dyDescent="0.2">
      <c r="H1295" s="4"/>
    </row>
    <row r="1296" spans="8:8" x14ac:dyDescent="0.2">
      <c r="H1296" s="4"/>
    </row>
    <row r="1297" spans="8:8" x14ac:dyDescent="0.2">
      <c r="H1297" s="4"/>
    </row>
    <row r="1298" spans="8:8" x14ac:dyDescent="0.2">
      <c r="H1298" s="4"/>
    </row>
    <row r="1299" spans="8:8" x14ac:dyDescent="0.2">
      <c r="H1299" s="4"/>
    </row>
    <row r="1300" spans="8:8" x14ac:dyDescent="0.2">
      <c r="H1300" s="4"/>
    </row>
    <row r="1301" spans="8:8" x14ac:dyDescent="0.2">
      <c r="H1301" s="4"/>
    </row>
    <row r="1302" spans="8:8" x14ac:dyDescent="0.2">
      <c r="H1302" s="4"/>
    </row>
    <row r="1303" spans="8:8" x14ac:dyDescent="0.2">
      <c r="H1303" s="4"/>
    </row>
    <row r="1304" spans="8:8" x14ac:dyDescent="0.2">
      <c r="H1304" s="4"/>
    </row>
    <row r="1305" spans="8:8" x14ac:dyDescent="0.2">
      <c r="H1305" s="4"/>
    </row>
    <row r="1306" spans="8:8" x14ac:dyDescent="0.2">
      <c r="H1306" s="4"/>
    </row>
    <row r="1307" spans="8:8" x14ac:dyDescent="0.2">
      <c r="H1307" s="4"/>
    </row>
    <row r="1308" spans="8:8" x14ac:dyDescent="0.2">
      <c r="H1308" s="4"/>
    </row>
    <row r="1309" spans="8:8" x14ac:dyDescent="0.2">
      <c r="H1309" s="4"/>
    </row>
    <row r="1310" spans="8:8" x14ac:dyDescent="0.2">
      <c r="H1310" s="4"/>
    </row>
    <row r="1311" spans="8:8" x14ac:dyDescent="0.2">
      <c r="H1311" s="4"/>
    </row>
    <row r="1312" spans="8:8" x14ac:dyDescent="0.2">
      <c r="H1312" s="4"/>
    </row>
    <row r="1313" spans="8:8" x14ac:dyDescent="0.2">
      <c r="H1313" s="4"/>
    </row>
    <row r="1314" spans="8:8" x14ac:dyDescent="0.2">
      <c r="H1314" s="4"/>
    </row>
    <row r="1315" spans="8:8" x14ac:dyDescent="0.2">
      <c r="H1315" s="4"/>
    </row>
    <row r="1316" spans="8:8" x14ac:dyDescent="0.2">
      <c r="H1316" s="4"/>
    </row>
    <row r="1317" spans="8:8" x14ac:dyDescent="0.2">
      <c r="H1317" s="4"/>
    </row>
    <row r="1318" spans="8:8" x14ac:dyDescent="0.2">
      <c r="H1318" s="4"/>
    </row>
    <row r="1319" spans="8:8" x14ac:dyDescent="0.2">
      <c r="H1319" s="4"/>
    </row>
    <row r="1320" spans="8:8" x14ac:dyDescent="0.2">
      <c r="H1320" s="4"/>
    </row>
    <row r="1321" spans="8:8" x14ac:dyDescent="0.2">
      <c r="H1321" s="4"/>
    </row>
    <row r="1322" spans="8:8" x14ac:dyDescent="0.2">
      <c r="H1322" s="4"/>
    </row>
    <row r="1323" spans="8:8" x14ac:dyDescent="0.2">
      <c r="H1323" s="4"/>
    </row>
    <row r="1324" spans="8:8" x14ac:dyDescent="0.2">
      <c r="H1324" s="4"/>
    </row>
    <row r="1325" spans="8:8" x14ac:dyDescent="0.2">
      <c r="H1325" s="4"/>
    </row>
    <row r="1326" spans="8:8" x14ac:dyDescent="0.2">
      <c r="H1326" s="4"/>
    </row>
    <row r="1327" spans="8:8" x14ac:dyDescent="0.2">
      <c r="H1327" s="4"/>
    </row>
    <row r="1328" spans="8:8" x14ac:dyDescent="0.2">
      <c r="H1328" s="4"/>
    </row>
    <row r="1329" spans="8:8" x14ac:dyDescent="0.2">
      <c r="H1329" s="4"/>
    </row>
    <row r="1330" spans="8:8" x14ac:dyDescent="0.2">
      <c r="H1330" s="4"/>
    </row>
    <row r="1331" spans="8:8" x14ac:dyDescent="0.2">
      <c r="H1331" s="4"/>
    </row>
    <row r="1332" spans="8:8" x14ac:dyDescent="0.2">
      <c r="H1332" s="4"/>
    </row>
    <row r="1333" spans="8:8" x14ac:dyDescent="0.2">
      <c r="H1333" s="4"/>
    </row>
    <row r="1334" spans="8:8" x14ac:dyDescent="0.2">
      <c r="H1334" s="4"/>
    </row>
    <row r="1335" spans="8:8" x14ac:dyDescent="0.2">
      <c r="H1335" s="4"/>
    </row>
    <row r="1336" spans="8:8" x14ac:dyDescent="0.2">
      <c r="H1336" s="4"/>
    </row>
    <row r="1337" spans="8:8" x14ac:dyDescent="0.2">
      <c r="H1337" s="4"/>
    </row>
    <row r="1338" spans="8:8" x14ac:dyDescent="0.2">
      <c r="H1338" s="4"/>
    </row>
    <row r="1339" spans="8:8" x14ac:dyDescent="0.2">
      <c r="H1339" s="4"/>
    </row>
    <row r="1340" spans="8:8" x14ac:dyDescent="0.2">
      <c r="H1340" s="4"/>
    </row>
    <row r="1341" spans="8:8" x14ac:dyDescent="0.2">
      <c r="H1341" s="4"/>
    </row>
    <row r="1342" spans="8:8" x14ac:dyDescent="0.2">
      <c r="H1342" s="4"/>
    </row>
    <row r="1343" spans="8:8" x14ac:dyDescent="0.2">
      <c r="H1343" s="4"/>
    </row>
    <row r="1344" spans="8:8" x14ac:dyDescent="0.2">
      <c r="H1344" s="4"/>
    </row>
    <row r="1345" spans="8:8" x14ac:dyDescent="0.2">
      <c r="H1345" s="4"/>
    </row>
    <row r="1346" spans="8:8" x14ac:dyDescent="0.2">
      <c r="H1346" s="4"/>
    </row>
    <row r="1347" spans="8:8" x14ac:dyDescent="0.2">
      <c r="H1347" s="4"/>
    </row>
    <row r="1348" spans="8:8" x14ac:dyDescent="0.2">
      <c r="H1348" s="4"/>
    </row>
    <row r="1349" spans="8:8" x14ac:dyDescent="0.2">
      <c r="H1349" s="4"/>
    </row>
    <row r="1350" spans="8:8" x14ac:dyDescent="0.2">
      <c r="H1350" s="4"/>
    </row>
    <row r="1351" spans="8:8" x14ac:dyDescent="0.2">
      <c r="H1351" s="4"/>
    </row>
    <row r="1352" spans="8:8" x14ac:dyDescent="0.2">
      <c r="H1352" s="4"/>
    </row>
    <row r="1353" spans="8:8" x14ac:dyDescent="0.2">
      <c r="H1353" s="4"/>
    </row>
    <row r="1354" spans="8:8" x14ac:dyDescent="0.2">
      <c r="H1354" s="4"/>
    </row>
    <row r="1355" spans="8:8" x14ac:dyDescent="0.2">
      <c r="H1355" s="4"/>
    </row>
    <row r="1356" spans="8:8" x14ac:dyDescent="0.2">
      <c r="H1356" s="4"/>
    </row>
    <row r="1357" spans="8:8" x14ac:dyDescent="0.2">
      <c r="H1357" s="4"/>
    </row>
    <row r="1358" spans="8:8" x14ac:dyDescent="0.2">
      <c r="H1358" s="4"/>
    </row>
    <row r="1359" spans="8:8" x14ac:dyDescent="0.2">
      <c r="H1359" s="4"/>
    </row>
    <row r="1360" spans="8:8" x14ac:dyDescent="0.2">
      <c r="H1360" s="4"/>
    </row>
    <row r="1361" spans="8:8" x14ac:dyDescent="0.2">
      <c r="H1361" s="4"/>
    </row>
    <row r="1362" spans="8:8" x14ac:dyDescent="0.2">
      <c r="H1362" s="4"/>
    </row>
    <row r="1363" spans="8:8" x14ac:dyDescent="0.2">
      <c r="H1363" s="4"/>
    </row>
    <row r="1364" spans="8:8" x14ac:dyDescent="0.2">
      <c r="H1364" s="4"/>
    </row>
    <row r="1365" spans="8:8" x14ac:dyDescent="0.2">
      <c r="H1365" s="4"/>
    </row>
    <row r="1366" spans="8:8" x14ac:dyDescent="0.2">
      <c r="H1366" s="4"/>
    </row>
    <row r="1367" spans="8:8" x14ac:dyDescent="0.2">
      <c r="H1367" s="4"/>
    </row>
    <row r="1368" spans="8:8" x14ac:dyDescent="0.2">
      <c r="H1368" s="4"/>
    </row>
    <row r="1369" spans="8:8" x14ac:dyDescent="0.2">
      <c r="H1369" s="4"/>
    </row>
    <row r="1370" spans="8:8" x14ac:dyDescent="0.2">
      <c r="H1370" s="4"/>
    </row>
    <row r="1371" spans="8:8" x14ac:dyDescent="0.2">
      <c r="H1371" s="4"/>
    </row>
    <row r="1372" spans="8:8" x14ac:dyDescent="0.2">
      <c r="H1372" s="4"/>
    </row>
    <row r="1373" spans="8:8" x14ac:dyDescent="0.2">
      <c r="H1373" s="4"/>
    </row>
    <row r="1374" spans="8:8" x14ac:dyDescent="0.2">
      <c r="H1374" s="4"/>
    </row>
    <row r="1375" spans="8:8" x14ac:dyDescent="0.2">
      <c r="H1375" s="4"/>
    </row>
    <row r="1376" spans="8:8" x14ac:dyDescent="0.2">
      <c r="H1376" s="4"/>
    </row>
    <row r="1377" spans="8:8" x14ac:dyDescent="0.2">
      <c r="H1377" s="4"/>
    </row>
    <row r="1378" spans="8:8" x14ac:dyDescent="0.2">
      <c r="H1378" s="4"/>
    </row>
    <row r="1379" spans="8:8" x14ac:dyDescent="0.2">
      <c r="H1379" s="4"/>
    </row>
    <row r="1380" spans="8:8" x14ac:dyDescent="0.2">
      <c r="H1380" s="4"/>
    </row>
    <row r="1381" spans="8:8" x14ac:dyDescent="0.2">
      <c r="H1381" s="4"/>
    </row>
    <row r="1382" spans="8:8" x14ac:dyDescent="0.2">
      <c r="H1382" s="4"/>
    </row>
    <row r="1383" spans="8:8" x14ac:dyDescent="0.2">
      <c r="H1383" s="4"/>
    </row>
    <row r="1384" spans="8:8" x14ac:dyDescent="0.2">
      <c r="H1384" s="4"/>
    </row>
    <row r="1385" spans="8:8" x14ac:dyDescent="0.2">
      <c r="H1385" s="4"/>
    </row>
    <row r="1386" spans="8:8" x14ac:dyDescent="0.2">
      <c r="H1386" s="4"/>
    </row>
    <row r="1387" spans="8:8" x14ac:dyDescent="0.2">
      <c r="H1387" s="4"/>
    </row>
    <row r="1388" spans="8:8" x14ac:dyDescent="0.2">
      <c r="H1388" s="4"/>
    </row>
    <row r="1389" spans="8:8" x14ac:dyDescent="0.2">
      <c r="H1389" s="4"/>
    </row>
    <row r="1390" spans="8:8" x14ac:dyDescent="0.2">
      <c r="H1390" s="4"/>
    </row>
    <row r="1391" spans="8:8" x14ac:dyDescent="0.2">
      <c r="H1391" s="4"/>
    </row>
    <row r="1392" spans="8:8" x14ac:dyDescent="0.2">
      <c r="H1392" s="4"/>
    </row>
    <row r="1393" spans="8:8" x14ac:dyDescent="0.2">
      <c r="H1393" s="4"/>
    </row>
    <row r="1394" spans="8:8" x14ac:dyDescent="0.2">
      <c r="H1394" s="4"/>
    </row>
    <row r="1395" spans="8:8" x14ac:dyDescent="0.2">
      <c r="H1395" s="4"/>
    </row>
    <row r="1396" spans="8:8" x14ac:dyDescent="0.2">
      <c r="H1396" s="4"/>
    </row>
    <row r="1397" spans="8:8" x14ac:dyDescent="0.2">
      <c r="H1397" s="4"/>
    </row>
    <row r="1398" spans="8:8" x14ac:dyDescent="0.2">
      <c r="H1398" s="4"/>
    </row>
    <row r="1399" spans="8:8" x14ac:dyDescent="0.2">
      <c r="H1399" s="4"/>
    </row>
    <row r="1400" spans="8:8" x14ac:dyDescent="0.2">
      <c r="H1400" s="4"/>
    </row>
    <row r="1401" spans="8:8" x14ac:dyDescent="0.2">
      <c r="H1401" s="4"/>
    </row>
    <row r="1402" spans="8:8" x14ac:dyDescent="0.2">
      <c r="H1402" s="4"/>
    </row>
    <row r="1403" spans="8:8" x14ac:dyDescent="0.2">
      <c r="H1403" s="4"/>
    </row>
    <row r="1404" spans="8:8" x14ac:dyDescent="0.2">
      <c r="H1404" s="4"/>
    </row>
    <row r="1405" spans="8:8" x14ac:dyDescent="0.2">
      <c r="H1405" s="4"/>
    </row>
    <row r="1406" spans="8:8" x14ac:dyDescent="0.2">
      <c r="H1406" s="4"/>
    </row>
    <row r="1407" spans="8:8" x14ac:dyDescent="0.2">
      <c r="H1407" s="4"/>
    </row>
    <row r="1408" spans="8:8" x14ac:dyDescent="0.2">
      <c r="H1408" s="4"/>
    </row>
    <row r="1409" spans="8:8" x14ac:dyDescent="0.2">
      <c r="H1409" s="4"/>
    </row>
    <row r="1410" spans="8:8" x14ac:dyDescent="0.2">
      <c r="H1410" s="4"/>
    </row>
    <row r="1411" spans="8:8" x14ac:dyDescent="0.2">
      <c r="H1411" s="4"/>
    </row>
    <row r="1412" spans="8:8" x14ac:dyDescent="0.2">
      <c r="H1412" s="4"/>
    </row>
    <row r="1413" spans="8:8" x14ac:dyDescent="0.2">
      <c r="H1413" s="4"/>
    </row>
    <row r="1414" spans="8:8" x14ac:dyDescent="0.2">
      <c r="H1414" s="4"/>
    </row>
    <row r="1415" spans="8:8" x14ac:dyDescent="0.2">
      <c r="H1415" s="4"/>
    </row>
    <row r="1416" spans="8:8" x14ac:dyDescent="0.2">
      <c r="H1416" s="4"/>
    </row>
    <row r="1417" spans="8:8" x14ac:dyDescent="0.2">
      <c r="H1417" s="4"/>
    </row>
    <row r="1418" spans="8:8" x14ac:dyDescent="0.2">
      <c r="H1418" s="4"/>
    </row>
    <row r="1419" spans="8:8" x14ac:dyDescent="0.2">
      <c r="H1419" s="4"/>
    </row>
    <row r="1420" spans="8:8" x14ac:dyDescent="0.2">
      <c r="H1420" s="4"/>
    </row>
    <row r="1421" spans="8:8" x14ac:dyDescent="0.2">
      <c r="H1421" s="4"/>
    </row>
    <row r="1422" spans="8:8" x14ac:dyDescent="0.2">
      <c r="H1422" s="4"/>
    </row>
    <row r="1423" spans="8:8" x14ac:dyDescent="0.2">
      <c r="H1423" s="4"/>
    </row>
    <row r="1424" spans="8:8" x14ac:dyDescent="0.2">
      <c r="H1424" s="4"/>
    </row>
    <row r="1425" spans="8:8" x14ac:dyDescent="0.2">
      <c r="H1425" s="4"/>
    </row>
    <row r="1426" spans="8:8" x14ac:dyDescent="0.2">
      <c r="H1426" s="4"/>
    </row>
    <row r="1427" spans="8:8" x14ac:dyDescent="0.2">
      <c r="H1427" s="4"/>
    </row>
    <row r="1428" spans="8:8" x14ac:dyDescent="0.2">
      <c r="H1428" s="4"/>
    </row>
    <row r="1429" spans="8:8" x14ac:dyDescent="0.2">
      <c r="H1429" s="4"/>
    </row>
    <row r="1430" spans="8:8" x14ac:dyDescent="0.2">
      <c r="H1430" s="4"/>
    </row>
    <row r="1431" spans="8:8" x14ac:dyDescent="0.2">
      <c r="H1431" s="4"/>
    </row>
    <row r="1432" spans="8:8" x14ac:dyDescent="0.2">
      <c r="H1432" s="4"/>
    </row>
    <row r="1433" spans="8:8" x14ac:dyDescent="0.2">
      <c r="H1433" s="4"/>
    </row>
    <row r="1434" spans="8:8" x14ac:dyDescent="0.2">
      <c r="H1434" s="4"/>
    </row>
    <row r="1435" spans="8:8" x14ac:dyDescent="0.2">
      <c r="H1435" s="4"/>
    </row>
    <row r="1436" spans="8:8" x14ac:dyDescent="0.2">
      <c r="H1436" s="4"/>
    </row>
    <row r="1437" spans="8:8" x14ac:dyDescent="0.2">
      <c r="H1437" s="4"/>
    </row>
    <row r="1438" spans="8:8" x14ac:dyDescent="0.2">
      <c r="H1438" s="4"/>
    </row>
    <row r="1439" spans="8:8" x14ac:dyDescent="0.2">
      <c r="H1439" s="4"/>
    </row>
    <row r="1440" spans="8:8" x14ac:dyDescent="0.2">
      <c r="H1440" s="4"/>
    </row>
    <row r="1441" spans="8:8" x14ac:dyDescent="0.2">
      <c r="H1441" s="4"/>
    </row>
    <row r="1442" spans="8:8" x14ac:dyDescent="0.2">
      <c r="H1442" s="4"/>
    </row>
    <row r="1443" spans="8:8" x14ac:dyDescent="0.2">
      <c r="H1443" s="4"/>
    </row>
    <row r="1444" spans="8:8" x14ac:dyDescent="0.2">
      <c r="H1444" s="4"/>
    </row>
    <row r="1445" spans="8:8" x14ac:dyDescent="0.2">
      <c r="H1445" s="4"/>
    </row>
    <row r="1446" spans="8:8" x14ac:dyDescent="0.2">
      <c r="H1446" s="4"/>
    </row>
    <row r="1447" spans="8:8" x14ac:dyDescent="0.2">
      <c r="H1447" s="4"/>
    </row>
    <row r="1448" spans="8:8" x14ac:dyDescent="0.2">
      <c r="H1448" s="4"/>
    </row>
    <row r="1449" spans="8:8" x14ac:dyDescent="0.2">
      <c r="H1449" s="4"/>
    </row>
    <row r="1450" spans="8:8" x14ac:dyDescent="0.2">
      <c r="H1450" s="4"/>
    </row>
    <row r="1451" spans="8:8" x14ac:dyDescent="0.2">
      <c r="H1451" s="4"/>
    </row>
    <row r="1452" spans="8:8" x14ac:dyDescent="0.2">
      <c r="H1452" s="4"/>
    </row>
    <row r="1453" spans="8:8" x14ac:dyDescent="0.2">
      <c r="H1453" s="4"/>
    </row>
    <row r="1454" spans="8:8" x14ac:dyDescent="0.2">
      <c r="H1454" s="4"/>
    </row>
    <row r="1455" spans="8:8" x14ac:dyDescent="0.2">
      <c r="H1455" s="4"/>
    </row>
    <row r="1456" spans="8:8" x14ac:dyDescent="0.2">
      <c r="H1456" s="4"/>
    </row>
    <row r="1457" spans="8:8" x14ac:dyDescent="0.2">
      <c r="H1457" s="4"/>
    </row>
    <row r="1458" spans="8:8" x14ac:dyDescent="0.2">
      <c r="H1458" s="4"/>
    </row>
    <row r="1459" spans="8:8" x14ac:dyDescent="0.2">
      <c r="H1459" s="4"/>
    </row>
    <row r="1460" spans="8:8" x14ac:dyDescent="0.2">
      <c r="H1460" s="4"/>
    </row>
    <row r="1461" spans="8:8" x14ac:dyDescent="0.2">
      <c r="H1461" s="4"/>
    </row>
    <row r="1462" spans="8:8" x14ac:dyDescent="0.2">
      <c r="H1462" s="4"/>
    </row>
    <row r="1463" spans="8:8" x14ac:dyDescent="0.2">
      <c r="H1463" s="4"/>
    </row>
    <row r="1464" spans="8:8" x14ac:dyDescent="0.2">
      <c r="H1464" s="4"/>
    </row>
    <row r="1465" spans="8:8" x14ac:dyDescent="0.2">
      <c r="H1465" s="4"/>
    </row>
    <row r="1466" spans="8:8" x14ac:dyDescent="0.2">
      <c r="H1466" s="4"/>
    </row>
    <row r="1467" spans="8:8" x14ac:dyDescent="0.2">
      <c r="H1467" s="4"/>
    </row>
    <row r="1468" spans="8:8" x14ac:dyDescent="0.2">
      <c r="H1468" s="4"/>
    </row>
    <row r="1469" spans="8:8" x14ac:dyDescent="0.2">
      <c r="H1469" s="4"/>
    </row>
    <row r="1470" spans="8:8" x14ac:dyDescent="0.2">
      <c r="H1470" s="4"/>
    </row>
    <row r="1471" spans="8:8" x14ac:dyDescent="0.2">
      <c r="H1471" s="4"/>
    </row>
    <row r="1472" spans="8:8" x14ac:dyDescent="0.2">
      <c r="H1472" s="4"/>
    </row>
    <row r="1473" spans="8:8" x14ac:dyDescent="0.2">
      <c r="H1473" s="4"/>
    </row>
    <row r="1474" spans="8:8" x14ac:dyDescent="0.2">
      <c r="H1474" s="4"/>
    </row>
    <row r="1475" spans="8:8" x14ac:dyDescent="0.2">
      <c r="H1475" s="4"/>
    </row>
    <row r="1476" spans="8:8" x14ac:dyDescent="0.2">
      <c r="H1476" s="4"/>
    </row>
    <row r="1477" spans="8:8" x14ac:dyDescent="0.2">
      <c r="H1477" s="4"/>
    </row>
    <row r="1478" spans="8:8" x14ac:dyDescent="0.2">
      <c r="H1478" s="4"/>
    </row>
    <row r="1479" spans="8:8" x14ac:dyDescent="0.2">
      <c r="H1479" s="4"/>
    </row>
    <row r="1480" spans="8:8" x14ac:dyDescent="0.2">
      <c r="H1480" s="4"/>
    </row>
    <row r="1481" spans="8:8" x14ac:dyDescent="0.2">
      <c r="H1481" s="4"/>
    </row>
    <row r="1482" spans="8:8" x14ac:dyDescent="0.2">
      <c r="H1482" s="4"/>
    </row>
    <row r="1483" spans="8:8" x14ac:dyDescent="0.2">
      <c r="H1483" s="4"/>
    </row>
    <row r="1484" spans="8:8" x14ac:dyDescent="0.2">
      <c r="H1484" s="4"/>
    </row>
    <row r="1485" spans="8:8" x14ac:dyDescent="0.2">
      <c r="H1485" s="4"/>
    </row>
    <row r="1486" spans="8:8" x14ac:dyDescent="0.2">
      <c r="H1486" s="4"/>
    </row>
    <row r="1487" spans="8:8" x14ac:dyDescent="0.2">
      <c r="H1487" s="4"/>
    </row>
    <row r="1488" spans="8:8" x14ac:dyDescent="0.2">
      <c r="H1488" s="4"/>
    </row>
    <row r="1489" spans="8:8" x14ac:dyDescent="0.2">
      <c r="H1489" s="4"/>
    </row>
    <row r="1490" spans="8:8" x14ac:dyDescent="0.2">
      <c r="H1490" s="4"/>
    </row>
    <row r="1491" spans="8:8" x14ac:dyDescent="0.2">
      <c r="H1491" s="4"/>
    </row>
    <row r="1492" spans="8:8" x14ac:dyDescent="0.2">
      <c r="H1492" s="4"/>
    </row>
    <row r="1493" spans="8:8" x14ac:dyDescent="0.2">
      <c r="H1493" s="4"/>
    </row>
    <row r="1494" spans="8:8" x14ac:dyDescent="0.2">
      <c r="H1494" s="4"/>
    </row>
    <row r="1495" spans="8:8" x14ac:dyDescent="0.2">
      <c r="H1495" s="4"/>
    </row>
    <row r="1496" spans="8:8" x14ac:dyDescent="0.2">
      <c r="H1496" s="4"/>
    </row>
    <row r="1497" spans="8:8" x14ac:dyDescent="0.2">
      <c r="H1497" s="4"/>
    </row>
    <row r="1498" spans="8:8" x14ac:dyDescent="0.2">
      <c r="H1498" s="4"/>
    </row>
    <row r="1499" spans="8:8" x14ac:dyDescent="0.2">
      <c r="H1499" s="4"/>
    </row>
    <row r="1500" spans="8:8" x14ac:dyDescent="0.2">
      <c r="H1500" s="4"/>
    </row>
    <row r="1501" spans="8:8" x14ac:dyDescent="0.2">
      <c r="H1501" s="4"/>
    </row>
    <row r="1502" spans="8:8" x14ac:dyDescent="0.2">
      <c r="H1502" s="4"/>
    </row>
    <row r="1503" spans="8:8" x14ac:dyDescent="0.2">
      <c r="H1503" s="4"/>
    </row>
    <row r="1504" spans="8:8" x14ac:dyDescent="0.2">
      <c r="H1504" s="4"/>
    </row>
    <row r="1505" spans="8:8" x14ac:dyDescent="0.2">
      <c r="H1505" s="4"/>
    </row>
    <row r="1506" spans="8:8" x14ac:dyDescent="0.2">
      <c r="H1506" s="4"/>
    </row>
    <row r="1507" spans="8:8" x14ac:dyDescent="0.2">
      <c r="H1507" s="4"/>
    </row>
    <row r="1508" spans="8:8" x14ac:dyDescent="0.2">
      <c r="H1508" s="4"/>
    </row>
    <row r="1509" spans="8:8" x14ac:dyDescent="0.2">
      <c r="H1509" s="4"/>
    </row>
    <row r="1510" spans="8:8" x14ac:dyDescent="0.2">
      <c r="H1510" s="4"/>
    </row>
    <row r="1511" spans="8:8" x14ac:dyDescent="0.2">
      <c r="H1511" s="4"/>
    </row>
    <row r="1512" spans="8:8" x14ac:dyDescent="0.2">
      <c r="H1512" s="4"/>
    </row>
    <row r="1513" spans="8:8" x14ac:dyDescent="0.2">
      <c r="H1513" s="4"/>
    </row>
    <row r="1514" spans="8:8" x14ac:dyDescent="0.2">
      <c r="H1514" s="4"/>
    </row>
    <row r="1515" spans="8:8" x14ac:dyDescent="0.2">
      <c r="H1515" s="4"/>
    </row>
    <row r="1516" spans="8:8" x14ac:dyDescent="0.2">
      <c r="H1516" s="4"/>
    </row>
    <row r="1517" spans="8:8" x14ac:dyDescent="0.2">
      <c r="H1517" s="4"/>
    </row>
    <row r="1518" spans="8:8" x14ac:dyDescent="0.2">
      <c r="H1518" s="4"/>
    </row>
    <row r="1519" spans="8:8" x14ac:dyDescent="0.2">
      <c r="H1519" s="4"/>
    </row>
    <row r="1520" spans="8:8" x14ac:dyDescent="0.2">
      <c r="H1520" s="4"/>
    </row>
    <row r="1521" spans="8:8" x14ac:dyDescent="0.2">
      <c r="H1521" s="4"/>
    </row>
    <row r="1522" spans="8:8" x14ac:dyDescent="0.2">
      <c r="H1522" s="4"/>
    </row>
    <row r="1523" spans="8:8" x14ac:dyDescent="0.2">
      <c r="H1523" s="4"/>
    </row>
    <row r="1524" spans="8:8" x14ac:dyDescent="0.2">
      <c r="H1524" s="4"/>
    </row>
    <row r="1525" spans="8:8" x14ac:dyDescent="0.2">
      <c r="H1525" s="4"/>
    </row>
    <row r="1526" spans="8:8" x14ac:dyDescent="0.2">
      <c r="H1526" s="4"/>
    </row>
    <row r="1527" spans="8:8" x14ac:dyDescent="0.2">
      <c r="H1527" s="4"/>
    </row>
    <row r="1528" spans="8:8" x14ac:dyDescent="0.2">
      <c r="H1528" s="4"/>
    </row>
    <row r="1529" spans="8:8" x14ac:dyDescent="0.2">
      <c r="H1529" s="4"/>
    </row>
    <row r="1530" spans="8:8" x14ac:dyDescent="0.2">
      <c r="H1530" s="4"/>
    </row>
    <row r="1531" spans="8:8" x14ac:dyDescent="0.2">
      <c r="H1531" s="4"/>
    </row>
    <row r="1532" spans="8:8" x14ac:dyDescent="0.2">
      <c r="H1532" s="4"/>
    </row>
    <row r="1533" spans="8:8" x14ac:dyDescent="0.2">
      <c r="H1533" s="4"/>
    </row>
    <row r="1534" spans="8:8" x14ac:dyDescent="0.2">
      <c r="H1534" s="4"/>
    </row>
    <row r="1535" spans="8:8" x14ac:dyDescent="0.2">
      <c r="H1535" s="4"/>
    </row>
    <row r="1536" spans="8:8" x14ac:dyDescent="0.2">
      <c r="H1536" s="4"/>
    </row>
    <row r="1537" spans="8:8" x14ac:dyDescent="0.2">
      <c r="H1537" s="4"/>
    </row>
    <row r="1538" spans="8:8" x14ac:dyDescent="0.2">
      <c r="H1538" s="4"/>
    </row>
    <row r="1539" spans="8:8" x14ac:dyDescent="0.2">
      <c r="H1539" s="4"/>
    </row>
    <row r="1540" spans="8:8" x14ac:dyDescent="0.2">
      <c r="H1540" s="4"/>
    </row>
    <row r="1541" spans="8:8" x14ac:dyDescent="0.2">
      <c r="H1541" s="4"/>
    </row>
    <row r="1542" spans="8:8" x14ac:dyDescent="0.2">
      <c r="H1542" s="4"/>
    </row>
    <row r="1543" spans="8:8" x14ac:dyDescent="0.2">
      <c r="H1543" s="4"/>
    </row>
    <row r="1544" spans="8:8" x14ac:dyDescent="0.2">
      <c r="H1544" s="4"/>
    </row>
    <row r="1545" spans="8:8" x14ac:dyDescent="0.2">
      <c r="H1545" s="4"/>
    </row>
    <row r="1546" spans="8:8" x14ac:dyDescent="0.2">
      <c r="H1546" s="4"/>
    </row>
    <row r="1547" spans="8:8" x14ac:dyDescent="0.2">
      <c r="H1547" s="4"/>
    </row>
    <row r="1548" spans="8:8" x14ac:dyDescent="0.2">
      <c r="H1548" s="4"/>
    </row>
    <row r="1549" spans="8:8" x14ac:dyDescent="0.2">
      <c r="H1549" s="4"/>
    </row>
    <row r="1550" spans="8:8" x14ac:dyDescent="0.2">
      <c r="H1550" s="4"/>
    </row>
    <row r="1551" spans="8:8" x14ac:dyDescent="0.2">
      <c r="H1551" s="4"/>
    </row>
    <row r="1552" spans="8:8" x14ac:dyDescent="0.2">
      <c r="H1552" s="4"/>
    </row>
    <row r="1553" spans="8:8" x14ac:dyDescent="0.2">
      <c r="H1553" s="4"/>
    </row>
    <row r="1554" spans="8:8" x14ac:dyDescent="0.2">
      <c r="H1554" s="4"/>
    </row>
    <row r="1555" spans="8:8" x14ac:dyDescent="0.2">
      <c r="H1555" s="4"/>
    </row>
    <row r="1556" spans="8:8" x14ac:dyDescent="0.2">
      <c r="H1556" s="4"/>
    </row>
    <row r="1557" spans="8:8" x14ac:dyDescent="0.2">
      <c r="H1557" s="4"/>
    </row>
    <row r="1558" spans="8:8" x14ac:dyDescent="0.2">
      <c r="H1558" s="4"/>
    </row>
    <row r="1559" spans="8:8" x14ac:dyDescent="0.2">
      <c r="H1559" s="4"/>
    </row>
    <row r="1560" spans="8:8" x14ac:dyDescent="0.2">
      <c r="H1560" s="4"/>
    </row>
    <row r="1561" spans="8:8" x14ac:dyDescent="0.2">
      <c r="H1561" s="4"/>
    </row>
    <row r="1562" spans="8:8" x14ac:dyDescent="0.2">
      <c r="H1562" s="4"/>
    </row>
    <row r="1563" spans="8:8" x14ac:dyDescent="0.2">
      <c r="H1563" s="4"/>
    </row>
    <row r="1564" spans="8:8" x14ac:dyDescent="0.2">
      <c r="H1564" s="4"/>
    </row>
    <row r="1565" spans="8:8" x14ac:dyDescent="0.2">
      <c r="H1565" s="4"/>
    </row>
    <row r="1566" spans="8:8" x14ac:dyDescent="0.2">
      <c r="H1566" s="4"/>
    </row>
    <row r="1567" spans="8:8" x14ac:dyDescent="0.2">
      <c r="H1567" s="4"/>
    </row>
    <row r="1568" spans="8:8" x14ac:dyDescent="0.2">
      <c r="H1568" s="4"/>
    </row>
    <row r="1569" spans="8:8" x14ac:dyDescent="0.2">
      <c r="H1569" s="4"/>
    </row>
    <row r="1570" spans="8:8" x14ac:dyDescent="0.2">
      <c r="H1570" s="4"/>
    </row>
    <row r="1571" spans="8:8" x14ac:dyDescent="0.2">
      <c r="H1571" s="4"/>
    </row>
    <row r="1572" spans="8:8" x14ac:dyDescent="0.2">
      <c r="H1572" s="4"/>
    </row>
    <row r="1573" spans="8:8" x14ac:dyDescent="0.2">
      <c r="H1573" s="4"/>
    </row>
    <row r="1574" spans="8:8" x14ac:dyDescent="0.2">
      <c r="H1574" s="4"/>
    </row>
    <row r="1575" spans="8:8" x14ac:dyDescent="0.2">
      <c r="H1575" s="4"/>
    </row>
    <row r="1576" spans="8:8" x14ac:dyDescent="0.2">
      <c r="H1576" s="4"/>
    </row>
    <row r="1577" spans="8:8" x14ac:dyDescent="0.2">
      <c r="H1577" s="4"/>
    </row>
    <row r="1578" spans="8:8" x14ac:dyDescent="0.2">
      <c r="H1578" s="4"/>
    </row>
    <row r="1579" spans="8:8" x14ac:dyDescent="0.2">
      <c r="H1579" s="4"/>
    </row>
    <row r="1580" spans="8:8" x14ac:dyDescent="0.2">
      <c r="H1580" s="4"/>
    </row>
    <row r="1581" spans="8:8" x14ac:dyDescent="0.2">
      <c r="H1581" s="4"/>
    </row>
    <row r="1582" spans="8:8" x14ac:dyDescent="0.2">
      <c r="H1582" s="4"/>
    </row>
    <row r="1583" spans="8:8" x14ac:dyDescent="0.2">
      <c r="H1583" s="4"/>
    </row>
    <row r="1584" spans="8:8" x14ac:dyDescent="0.2">
      <c r="H1584" s="4"/>
    </row>
    <row r="1585" spans="8:8" x14ac:dyDescent="0.2">
      <c r="H1585" s="4"/>
    </row>
    <row r="1586" spans="8:8" x14ac:dyDescent="0.2">
      <c r="H1586" s="4"/>
    </row>
    <row r="1587" spans="8:8" x14ac:dyDescent="0.2">
      <c r="H1587" s="4"/>
    </row>
    <row r="1588" spans="8:8" x14ac:dyDescent="0.2">
      <c r="H1588" s="4"/>
    </row>
    <row r="1589" spans="8:8" x14ac:dyDescent="0.2">
      <c r="H1589" s="4"/>
    </row>
    <row r="1590" spans="8:8" x14ac:dyDescent="0.2">
      <c r="H1590" s="4"/>
    </row>
    <row r="1591" spans="8:8" x14ac:dyDescent="0.2">
      <c r="H1591" s="4"/>
    </row>
    <row r="1592" spans="8:8" x14ac:dyDescent="0.2">
      <c r="H1592" s="4"/>
    </row>
    <row r="1593" spans="8:8" x14ac:dyDescent="0.2">
      <c r="H1593" s="4"/>
    </row>
    <row r="1594" spans="8:8" x14ac:dyDescent="0.2">
      <c r="H1594" s="4"/>
    </row>
    <row r="1595" spans="8:8" x14ac:dyDescent="0.2">
      <c r="H1595" s="4"/>
    </row>
    <row r="1596" spans="8:8" x14ac:dyDescent="0.2">
      <c r="H1596" s="4"/>
    </row>
    <row r="1597" spans="8:8" x14ac:dyDescent="0.2">
      <c r="H1597" s="4"/>
    </row>
    <row r="1598" spans="8:8" x14ac:dyDescent="0.2">
      <c r="H1598" s="4"/>
    </row>
    <row r="1599" spans="8:8" x14ac:dyDescent="0.2">
      <c r="H1599" s="4"/>
    </row>
    <row r="1600" spans="8:8" x14ac:dyDescent="0.2">
      <c r="H1600" s="4"/>
    </row>
    <row r="1601" spans="8:8" x14ac:dyDescent="0.2">
      <c r="H1601" s="4"/>
    </row>
    <row r="1602" spans="8:8" x14ac:dyDescent="0.2">
      <c r="H1602" s="4"/>
    </row>
    <row r="1603" spans="8:8" x14ac:dyDescent="0.2">
      <c r="H1603" s="4"/>
    </row>
    <row r="1604" spans="8:8" x14ac:dyDescent="0.2">
      <c r="H1604" s="4"/>
    </row>
    <row r="1605" spans="8:8" x14ac:dyDescent="0.2">
      <c r="H1605" s="4"/>
    </row>
    <row r="1606" spans="8:8" x14ac:dyDescent="0.2">
      <c r="H1606" s="4"/>
    </row>
    <row r="1607" spans="8:8" x14ac:dyDescent="0.2">
      <c r="H1607" s="4"/>
    </row>
    <row r="1608" spans="8:8" x14ac:dyDescent="0.2">
      <c r="H1608" s="4"/>
    </row>
    <row r="1609" spans="8:8" x14ac:dyDescent="0.2">
      <c r="H1609" s="4"/>
    </row>
    <row r="1610" spans="8:8" x14ac:dyDescent="0.2">
      <c r="H1610" s="4"/>
    </row>
    <row r="1611" spans="8:8" x14ac:dyDescent="0.2">
      <c r="H1611" s="4"/>
    </row>
    <row r="1612" spans="8:8" x14ac:dyDescent="0.2">
      <c r="H1612" s="4"/>
    </row>
    <row r="1613" spans="8:8" x14ac:dyDescent="0.2">
      <c r="H1613" s="4"/>
    </row>
    <row r="1614" spans="8:8" x14ac:dyDescent="0.2">
      <c r="H1614" s="4"/>
    </row>
    <row r="1615" spans="8:8" x14ac:dyDescent="0.2">
      <c r="H1615" s="4"/>
    </row>
    <row r="1616" spans="8:8" x14ac:dyDescent="0.2">
      <c r="H1616" s="4"/>
    </row>
    <row r="1617" spans="8:8" x14ac:dyDescent="0.2">
      <c r="H1617" s="4"/>
    </row>
    <row r="1618" spans="8:8" x14ac:dyDescent="0.2">
      <c r="H1618" s="4"/>
    </row>
    <row r="1619" spans="8:8" x14ac:dyDescent="0.2">
      <c r="H1619" s="4"/>
    </row>
    <row r="1620" spans="8:8" x14ac:dyDescent="0.2">
      <c r="H1620" s="4"/>
    </row>
    <row r="1621" spans="8:8" x14ac:dyDescent="0.2">
      <c r="H1621" s="4"/>
    </row>
    <row r="1622" spans="8:8" x14ac:dyDescent="0.2">
      <c r="H1622" s="4"/>
    </row>
    <row r="1623" spans="8:8" x14ac:dyDescent="0.2">
      <c r="H1623" s="4"/>
    </row>
    <row r="1624" spans="8:8" x14ac:dyDescent="0.2">
      <c r="H1624" s="4"/>
    </row>
    <row r="1625" spans="8:8" x14ac:dyDescent="0.2">
      <c r="H1625" s="4"/>
    </row>
    <row r="1626" spans="8:8" x14ac:dyDescent="0.2">
      <c r="H1626" s="4"/>
    </row>
    <row r="1627" spans="8:8" x14ac:dyDescent="0.2">
      <c r="H1627" s="4"/>
    </row>
    <row r="1628" spans="8:8" x14ac:dyDescent="0.2">
      <c r="H1628" s="4"/>
    </row>
    <row r="1629" spans="8:8" x14ac:dyDescent="0.2">
      <c r="H1629" s="4"/>
    </row>
    <row r="1630" spans="8:8" x14ac:dyDescent="0.2">
      <c r="H1630" s="4"/>
    </row>
    <row r="1631" spans="8:8" x14ac:dyDescent="0.2">
      <c r="H1631" s="4"/>
    </row>
    <row r="1632" spans="8:8" x14ac:dyDescent="0.2">
      <c r="H1632" s="4"/>
    </row>
    <row r="1633" spans="8:8" x14ac:dyDescent="0.2">
      <c r="H1633" s="4"/>
    </row>
    <row r="1634" spans="8:8" x14ac:dyDescent="0.2">
      <c r="H1634" s="4"/>
    </row>
    <row r="1635" spans="8:8" x14ac:dyDescent="0.2">
      <c r="H1635" s="4"/>
    </row>
    <row r="1636" spans="8:8" x14ac:dyDescent="0.2">
      <c r="H1636" s="4"/>
    </row>
    <row r="1637" spans="8:8" x14ac:dyDescent="0.2">
      <c r="H1637" s="4"/>
    </row>
    <row r="1638" spans="8:8" x14ac:dyDescent="0.2">
      <c r="H1638" s="4"/>
    </row>
  </sheetData>
  <mergeCells count="1">
    <mergeCell ref="E6:F6"/>
  </mergeCells>
  <phoneticPr fontId="14" type="noConversion"/>
  <conditionalFormatting sqref="H2:J16">
    <cfRule type="expression" dxfId="49" priority="148" stopIfTrue="1">
      <formula>$H2=$H$27</formula>
    </cfRule>
    <cfRule type="expression" dxfId="48" priority="149" stopIfTrue="1">
      <formula>$H2=$H$28</formula>
    </cfRule>
  </conditionalFormatting>
  <pageMargins left="0.7" right="0.7" top="0.75" bottom="0.75" header="0.3" footer="0.3"/>
  <pageSetup paperSize="9" orientation="portrait" r:id="rId1"/>
  <drawing r:id="rId2"/>
  <legacyDrawing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1E6E4-8A3E-491E-9F18-5ED330BB150F}">
  <sheetPr codeName="Sheet7"/>
  <dimension ref="A2:M321"/>
  <sheetViews>
    <sheetView workbookViewId="0">
      <selection activeCell="C16" sqref="C16"/>
    </sheetView>
  </sheetViews>
  <sheetFormatPr defaultRowHeight="12.75" x14ac:dyDescent="0.2"/>
  <cols>
    <col min="1" max="1" width="27.140625" bestFit="1" customWidth="1"/>
    <col min="2" max="2" width="17.85546875" style="8" customWidth="1"/>
    <col min="3" max="3" width="8.28515625" style="8" customWidth="1"/>
    <col min="4" max="4" width="9.28515625" style="9" customWidth="1"/>
    <col min="5" max="7" width="9" style="9" customWidth="1"/>
    <col min="8" max="8" width="17.42578125" bestFit="1" customWidth="1"/>
    <col min="9" max="9" width="1.42578125" customWidth="1"/>
    <col min="10" max="12" width="17.42578125" bestFit="1" customWidth="1"/>
    <col min="13" max="13" width="13.42578125" bestFit="1" customWidth="1"/>
  </cols>
  <sheetData>
    <row r="2" spans="1:13" ht="15.75" x14ac:dyDescent="0.25">
      <c r="D2" s="88" t="s">
        <v>134</v>
      </c>
      <c r="E2"/>
      <c r="F2"/>
      <c r="G2"/>
    </row>
    <row r="3" spans="1:13" x14ac:dyDescent="0.2">
      <c r="B3" s="10" t="s">
        <v>135</v>
      </c>
      <c r="C3" s="10" t="s">
        <v>4</v>
      </c>
      <c r="D3" s="9" t="s">
        <v>101</v>
      </c>
      <c r="E3" s="9" t="s">
        <v>4</v>
      </c>
      <c r="F3" s="9" t="s">
        <v>4</v>
      </c>
      <c r="G3" s="9" t="s">
        <v>136</v>
      </c>
      <c r="J3" s="11"/>
    </row>
    <row r="4" spans="1:13" x14ac:dyDescent="0.2">
      <c r="B4" s="10">
        <f>IF('Contributions calculator'!$D$4&lt;H5,'Contributions calculator'!$D$4,"")</f>
        <v>0</v>
      </c>
      <c r="C4" s="10"/>
      <c r="D4" s="12">
        <v>65</v>
      </c>
      <c r="E4" s="6"/>
      <c r="F4" s="6"/>
      <c r="G4" s="6"/>
      <c r="H4" s="13"/>
    </row>
    <row r="5" spans="1:13" x14ac:dyDescent="0.2">
      <c r="A5" t="s">
        <v>137</v>
      </c>
      <c r="B5" s="10" t="str">
        <f>IF(AND('Contributions calculator'!$D$4&gt;=H5,'Contributions calculator'!$D$4&lt;=J5),'Contributions calculator'!$D$4,"")</f>
        <v/>
      </c>
      <c r="C5" s="14" t="str">
        <f t="shared" ref="C5:C14" si="0">IF(B5="","",IF(DAY(K5)&gt;=DAY(B5),0,-1)+(YEAR(K5)-YEAR(B5))*12+MONTH(K5)-MONTH(B5))</f>
        <v/>
      </c>
      <c r="D5" s="9" t="str">
        <f>IF(B5="","",ROUNDDOWN(C5/12,0))</f>
        <v/>
      </c>
      <c r="E5" s="9" t="str">
        <f>IF(OR(G5="",G5=0),F5,F5+1)</f>
        <v/>
      </c>
      <c r="F5" s="9" t="str">
        <f>IF(B5="","",C5-(65*12))</f>
        <v/>
      </c>
      <c r="G5" s="9" t="str">
        <f>IF(B5="","",K5-M5)</f>
        <v/>
      </c>
      <c r="H5" s="13">
        <v>19699</v>
      </c>
      <c r="J5" s="10">
        <v>19729</v>
      </c>
      <c r="K5" s="10">
        <v>43530</v>
      </c>
      <c r="L5" s="13"/>
      <c r="M5" s="11" t="str">
        <f t="shared" ref="M5:M13" si="1">IF(B5="","",DATE(YEAR(B5)+65,MONTH(B5)+F5,DAY(B5)))</f>
        <v/>
      </c>
    </row>
    <row r="6" spans="1:13" x14ac:dyDescent="0.2">
      <c r="B6" s="10" t="str">
        <f>IF(AND('Contributions calculator'!$D$4&gt;=H6,'Contributions calculator'!$D$4&lt;=J6),'Contributions calculator'!$D$4,"")</f>
        <v/>
      </c>
      <c r="C6" s="14" t="str">
        <f t="shared" si="0"/>
        <v/>
      </c>
      <c r="D6" s="9" t="str">
        <f t="shared" ref="D6:D13" si="2">IF(B6="","",ROUNDDOWN(C6/12,0))</f>
        <v/>
      </c>
      <c r="E6" s="9" t="str">
        <f t="shared" ref="E6:E40" si="3">IF(OR(G6="",G6=0),F6,F6+1)</f>
        <v/>
      </c>
      <c r="F6" s="9" t="str">
        <f t="shared" ref="F6:F15" si="4">IF(B6="","",C6-(65*12))</f>
        <v/>
      </c>
      <c r="G6" s="9" t="str">
        <f t="shared" ref="G6:G42" si="5">IF(B6="","",K6-M6)</f>
        <v/>
      </c>
      <c r="H6" s="13">
        <v>19730</v>
      </c>
      <c r="J6" s="10">
        <v>19760</v>
      </c>
      <c r="K6" s="10">
        <v>43591</v>
      </c>
      <c r="L6" s="13"/>
      <c r="M6" s="11" t="str">
        <f t="shared" si="1"/>
        <v/>
      </c>
    </row>
    <row r="7" spans="1:13" x14ac:dyDescent="0.2">
      <c r="B7" s="10" t="str">
        <f>IF(AND('Contributions calculator'!$D$4&gt;=H7,'Contributions calculator'!$D$4&lt;=J7),'Contributions calculator'!$D$4,"")</f>
        <v/>
      </c>
      <c r="C7" s="14" t="str">
        <f t="shared" si="0"/>
        <v/>
      </c>
      <c r="D7" s="9" t="str">
        <f t="shared" si="2"/>
        <v/>
      </c>
      <c r="E7" s="9" t="str">
        <f t="shared" si="3"/>
        <v/>
      </c>
      <c r="F7" s="9" t="str">
        <f t="shared" si="4"/>
        <v/>
      </c>
      <c r="G7" s="9" t="str">
        <f t="shared" si="5"/>
        <v/>
      </c>
      <c r="H7" s="13">
        <v>19761</v>
      </c>
      <c r="J7" s="10">
        <v>19788</v>
      </c>
      <c r="K7" s="10">
        <v>43652</v>
      </c>
      <c r="L7" s="13"/>
      <c r="M7" s="11" t="str">
        <f t="shared" si="1"/>
        <v/>
      </c>
    </row>
    <row r="8" spans="1:13" x14ac:dyDescent="0.2">
      <c r="B8" s="10" t="str">
        <f>IF(AND('Contributions calculator'!$D$4&gt;=H8,'Contributions calculator'!$D$4&lt;=J8),'Contributions calculator'!$D$4,"")</f>
        <v/>
      </c>
      <c r="C8" s="14" t="str">
        <f t="shared" si="0"/>
        <v/>
      </c>
      <c r="D8" s="9" t="str">
        <f t="shared" si="2"/>
        <v/>
      </c>
      <c r="E8" s="9" t="str">
        <f t="shared" si="3"/>
        <v/>
      </c>
      <c r="F8" s="9" t="str">
        <f t="shared" si="4"/>
        <v/>
      </c>
      <c r="G8" s="9" t="str">
        <f t="shared" si="5"/>
        <v/>
      </c>
      <c r="H8" s="13">
        <v>19789</v>
      </c>
      <c r="J8" s="10">
        <v>19819</v>
      </c>
      <c r="K8" s="10">
        <v>43714</v>
      </c>
      <c r="L8" s="13"/>
      <c r="M8" s="11" t="str">
        <f t="shared" si="1"/>
        <v/>
      </c>
    </row>
    <row r="9" spans="1:13" x14ac:dyDescent="0.2">
      <c r="B9" s="10" t="str">
        <f>IF(AND('Contributions calculator'!$D$4&gt;=H9,'Contributions calculator'!$D$4&lt;=J9),'Contributions calculator'!$D$4,"")</f>
        <v/>
      </c>
      <c r="C9" s="14" t="str">
        <f t="shared" si="0"/>
        <v/>
      </c>
      <c r="D9" s="9" t="str">
        <f t="shared" si="2"/>
        <v/>
      </c>
      <c r="E9" s="9" t="str">
        <f t="shared" si="3"/>
        <v/>
      </c>
      <c r="F9" s="9" t="str">
        <f t="shared" si="4"/>
        <v/>
      </c>
      <c r="G9" s="9" t="str">
        <f t="shared" si="5"/>
        <v/>
      </c>
      <c r="H9" s="13">
        <v>19820</v>
      </c>
      <c r="J9" s="10">
        <v>19849</v>
      </c>
      <c r="K9" s="10">
        <v>43775</v>
      </c>
      <c r="L9" s="13"/>
      <c r="M9" s="11" t="str">
        <f t="shared" si="1"/>
        <v/>
      </c>
    </row>
    <row r="10" spans="1:13" x14ac:dyDescent="0.2">
      <c r="B10" s="10" t="str">
        <f>IF(AND('Contributions calculator'!$D$4&gt;=H10,'Contributions calculator'!$D$4&lt;=J10),'Contributions calculator'!$D$4,"")</f>
        <v/>
      </c>
      <c r="C10" s="14" t="str">
        <f t="shared" si="0"/>
        <v/>
      </c>
      <c r="D10" s="9" t="str">
        <f t="shared" si="2"/>
        <v/>
      </c>
      <c r="E10" s="9" t="str">
        <f t="shared" si="3"/>
        <v/>
      </c>
      <c r="F10" s="9" t="str">
        <f t="shared" si="4"/>
        <v/>
      </c>
      <c r="G10" s="9" t="str">
        <f t="shared" si="5"/>
        <v/>
      </c>
      <c r="H10" s="13">
        <v>19850</v>
      </c>
      <c r="J10" s="10">
        <v>19880</v>
      </c>
      <c r="K10" s="10">
        <v>43836</v>
      </c>
      <c r="L10" s="13"/>
      <c r="M10" s="11" t="str">
        <f t="shared" si="1"/>
        <v/>
      </c>
    </row>
    <row r="11" spans="1:13" x14ac:dyDescent="0.2">
      <c r="B11" s="10" t="str">
        <f>IF(AND('Contributions calculator'!$D$4&gt;=H11,'Contributions calculator'!$D$4&lt;=J11),'Contributions calculator'!$D$4,"")</f>
        <v/>
      </c>
      <c r="C11" s="14" t="str">
        <f t="shared" si="0"/>
        <v/>
      </c>
      <c r="D11" s="9" t="str">
        <f t="shared" si="2"/>
        <v/>
      </c>
      <c r="E11" s="9" t="str">
        <f t="shared" si="3"/>
        <v/>
      </c>
      <c r="F11" s="9" t="str">
        <f t="shared" si="4"/>
        <v/>
      </c>
      <c r="G11" s="9" t="str">
        <f t="shared" si="5"/>
        <v/>
      </c>
      <c r="H11" s="13">
        <v>19881</v>
      </c>
      <c r="J11" s="10">
        <v>19910</v>
      </c>
      <c r="K11" s="10">
        <v>43896</v>
      </c>
      <c r="L11" s="13"/>
      <c r="M11" s="11" t="str">
        <f t="shared" si="1"/>
        <v/>
      </c>
    </row>
    <row r="12" spans="1:13" x14ac:dyDescent="0.2">
      <c r="B12" s="10" t="str">
        <f>IF(AND('Contributions calculator'!$D$4&gt;=H12,'Contributions calculator'!$D$4&lt;=J12),'Contributions calculator'!$D$4,"")</f>
        <v/>
      </c>
      <c r="C12" s="14" t="str">
        <f t="shared" si="0"/>
        <v/>
      </c>
      <c r="D12" s="9" t="str">
        <f t="shared" si="2"/>
        <v/>
      </c>
      <c r="E12" s="9" t="str">
        <f t="shared" si="3"/>
        <v/>
      </c>
      <c r="F12" s="9" t="str">
        <f t="shared" si="4"/>
        <v/>
      </c>
      <c r="G12" s="9" t="str">
        <f t="shared" si="5"/>
        <v/>
      </c>
      <c r="H12" s="13">
        <v>19911</v>
      </c>
      <c r="J12" s="10">
        <v>19941</v>
      </c>
      <c r="K12" s="10">
        <v>43957</v>
      </c>
      <c r="L12" s="13"/>
      <c r="M12" s="11" t="str">
        <f t="shared" si="1"/>
        <v/>
      </c>
    </row>
    <row r="13" spans="1:13" x14ac:dyDescent="0.2">
      <c r="B13" s="10" t="str">
        <f>IF(AND('Contributions calculator'!$D$4&gt;=H13,'Contributions calculator'!$D$4&lt;=J13),'Contributions calculator'!$D$4,"")</f>
        <v/>
      </c>
      <c r="C13" s="14" t="str">
        <f t="shared" si="0"/>
        <v/>
      </c>
      <c r="D13" s="9" t="str">
        <f t="shared" si="2"/>
        <v/>
      </c>
      <c r="E13" s="9" t="str">
        <f t="shared" si="3"/>
        <v/>
      </c>
      <c r="F13" s="9" t="str">
        <f t="shared" si="4"/>
        <v/>
      </c>
      <c r="G13" s="9" t="str">
        <f t="shared" si="5"/>
        <v/>
      </c>
      <c r="H13" s="13">
        <v>19942</v>
      </c>
      <c r="J13" s="10">
        <v>19972</v>
      </c>
      <c r="K13" s="10">
        <v>44018</v>
      </c>
      <c r="L13" s="13"/>
      <c r="M13" s="11" t="str">
        <f t="shared" si="1"/>
        <v/>
      </c>
    </row>
    <row r="14" spans="1:13" x14ac:dyDescent="0.2">
      <c r="B14" s="10" t="str">
        <f>IF(AND('Contributions calculator'!$D$4&gt;=H14,'Contributions calculator'!$D$4&lt;=J14),'Contributions calculator'!$D$4,"")</f>
        <v/>
      </c>
      <c r="C14" s="14" t="str">
        <f t="shared" si="0"/>
        <v/>
      </c>
      <c r="D14" s="9" t="str">
        <f>IF(B14="","",66)</f>
        <v/>
      </c>
      <c r="F14" s="9" t="str">
        <f t="shared" si="4"/>
        <v/>
      </c>
      <c r="G14" s="9" t="str">
        <f>IF(B14="","",K14-M14)</f>
        <v/>
      </c>
      <c r="H14" s="13">
        <v>19973</v>
      </c>
      <c r="J14" s="10">
        <v>20002</v>
      </c>
      <c r="K14" s="10">
        <v>44080</v>
      </c>
      <c r="L14" s="13"/>
      <c r="M14" s="11" t="str">
        <f>IF(B14="","",DATE(YEAR(B14)+65,MONTH(B14)+F14,DAY(B14)))</f>
        <v/>
      </c>
    </row>
    <row r="15" spans="1:13" x14ac:dyDescent="0.2">
      <c r="B15" s="10" t="str">
        <f>IF(AND('Contributions calculator'!$D$4&gt;=H15,'Contributions calculator'!$D$4&lt;=J15),'Contributions calculator'!$D$4,"")</f>
        <v/>
      </c>
      <c r="C15" s="14" t="str">
        <f>IF(B15="","",IF(DAY(K15)&gt;=DAY(B15),0,-1)+(YEAR(K15)-YEAR(B15))*12+MONTH(K15)-MONTH(B15))</f>
        <v/>
      </c>
      <c r="D15" s="9" t="str">
        <f>IF(B15="","",66)</f>
        <v/>
      </c>
      <c r="F15" s="9" t="str">
        <f t="shared" si="4"/>
        <v/>
      </c>
      <c r="G15" s="9" t="str">
        <f t="shared" si="5"/>
        <v/>
      </c>
      <c r="H15" s="13">
        <v>20003</v>
      </c>
      <c r="J15" s="10">
        <v>22011</v>
      </c>
      <c r="K15" s="10" t="str">
        <f>IF(AND('Contributions calculator'!D4&gt;=H15,'Contributions calculator'!D4&lt;=J15),('Contributions calculator'!D4+66*365.25),"")</f>
        <v/>
      </c>
      <c r="M15" s="94"/>
    </row>
    <row r="16" spans="1:13" x14ac:dyDescent="0.2">
      <c r="B16" s="10"/>
      <c r="C16" s="13"/>
      <c r="D16" s="13"/>
      <c r="F16" s="13"/>
      <c r="H16" s="13"/>
      <c r="M16" s="11" t="str">
        <f>IF(B16="","",DATE(YEAR(B16)+D16,MONTH(B16)+F16,DAY(B16)))</f>
        <v/>
      </c>
    </row>
    <row r="17" spans="1:13" x14ac:dyDescent="0.2">
      <c r="A17" t="s">
        <v>138</v>
      </c>
      <c r="B17" s="10" t="str">
        <f>IF(AND('Contributions calculator'!$D$4&gt;=H17,'Contributions calculator'!$D$4&lt;=J17),'Contributions calculator'!$D$4,"")</f>
        <v/>
      </c>
      <c r="C17" s="10"/>
      <c r="D17" s="9" t="str">
        <f t="shared" ref="D17:D27" si="6">IF(B17="","",66)</f>
        <v/>
      </c>
      <c r="E17" s="9" t="str">
        <f t="shared" si="3"/>
        <v/>
      </c>
      <c r="F17" s="9" t="str">
        <f>IF(B17="","",1)</f>
        <v/>
      </c>
      <c r="H17" s="13">
        <v>22012</v>
      </c>
      <c r="J17" s="10">
        <v>22041</v>
      </c>
      <c r="K17" s="10"/>
      <c r="L17" s="15"/>
      <c r="M17" s="11"/>
    </row>
    <row r="18" spans="1:13" x14ac:dyDescent="0.2">
      <c r="B18" s="10" t="str">
        <f>IF(AND('Contributions calculator'!$D$4&gt;=H18,'Contributions calculator'!$D$4&lt;=J18),'Contributions calculator'!$D$4,"")</f>
        <v/>
      </c>
      <c r="C18" s="10"/>
      <c r="D18" s="9" t="str">
        <f t="shared" si="6"/>
        <v/>
      </c>
      <c r="E18" s="9" t="str">
        <f t="shared" si="3"/>
        <v/>
      </c>
      <c r="F18" s="9" t="str">
        <f>IF(B18="","",2)</f>
        <v/>
      </c>
      <c r="H18" s="13">
        <v>22042</v>
      </c>
      <c r="J18" s="10">
        <v>22072</v>
      </c>
      <c r="K18" s="10"/>
      <c r="M18" s="11"/>
    </row>
    <row r="19" spans="1:13" x14ac:dyDescent="0.2">
      <c r="B19" s="10" t="str">
        <f>IF(AND('Contributions calculator'!$D$4&gt;=H19,'Contributions calculator'!$D$4&lt;=J19),'Contributions calculator'!$D$4,"")</f>
        <v/>
      </c>
      <c r="C19" s="10"/>
      <c r="D19" s="9" t="str">
        <f t="shared" si="6"/>
        <v/>
      </c>
      <c r="E19" s="9" t="str">
        <f t="shared" si="3"/>
        <v/>
      </c>
      <c r="F19" s="9" t="str">
        <f>IF(B19="","",3)</f>
        <v/>
      </c>
      <c r="H19" s="13">
        <v>22073</v>
      </c>
      <c r="J19" s="10">
        <v>22102</v>
      </c>
      <c r="K19" s="10"/>
      <c r="M19" s="11"/>
    </row>
    <row r="20" spans="1:13" x14ac:dyDescent="0.2">
      <c r="B20" s="10" t="str">
        <f>IF(AND('Contributions calculator'!$D$4&gt;=H20,'Contributions calculator'!$D$4&lt;=J20),'Contributions calculator'!$D$4,"")</f>
        <v/>
      </c>
      <c r="C20" s="10"/>
      <c r="D20" s="9" t="str">
        <f t="shared" si="6"/>
        <v/>
      </c>
      <c r="E20" s="9" t="str">
        <f t="shared" si="3"/>
        <v/>
      </c>
      <c r="F20" s="9" t="str">
        <f>IF(B20="","",4)</f>
        <v/>
      </c>
      <c r="H20" s="13">
        <v>22103</v>
      </c>
      <c r="J20" s="10">
        <v>22133</v>
      </c>
      <c r="K20" s="10"/>
      <c r="M20" s="11"/>
    </row>
    <row r="21" spans="1:13" x14ac:dyDescent="0.2">
      <c r="B21" s="10" t="str">
        <f>IF(AND('Contributions calculator'!$D$4&gt;=H21,'Contributions calculator'!$D$4&lt;=J21),'Contributions calculator'!$D$4,"")</f>
        <v/>
      </c>
      <c r="C21" s="10"/>
      <c r="D21" s="9" t="str">
        <f t="shared" si="6"/>
        <v/>
      </c>
      <c r="E21" s="9" t="str">
        <f t="shared" si="3"/>
        <v/>
      </c>
      <c r="F21" s="9" t="str">
        <f>IF(B21="","",5)</f>
        <v/>
      </c>
      <c r="H21" s="13">
        <v>22134</v>
      </c>
      <c r="J21" s="10">
        <v>22164</v>
      </c>
      <c r="K21" s="10"/>
      <c r="M21" s="11"/>
    </row>
    <row r="22" spans="1:13" x14ac:dyDescent="0.2">
      <c r="B22" s="10" t="str">
        <f>IF(AND('Contributions calculator'!$D$4&gt;=H22,'Contributions calculator'!$D$4&lt;=J22),'Contributions calculator'!$D$4,"")</f>
        <v/>
      </c>
      <c r="C22" s="10"/>
      <c r="D22" s="9" t="str">
        <f t="shared" si="6"/>
        <v/>
      </c>
      <c r="E22" s="9" t="str">
        <f t="shared" si="3"/>
        <v/>
      </c>
      <c r="F22" s="9" t="str">
        <f>IF(B22="","",6)</f>
        <v/>
      </c>
      <c r="H22" s="13">
        <v>22165</v>
      </c>
      <c r="J22" s="10">
        <v>22194</v>
      </c>
      <c r="K22" s="10"/>
      <c r="M22" s="11"/>
    </row>
    <row r="23" spans="1:13" x14ac:dyDescent="0.2">
      <c r="B23" s="10" t="str">
        <f>IF(AND('Contributions calculator'!$D$4&gt;=H23,'Contributions calculator'!$D$4&lt;=J23),'Contributions calculator'!$D$4,"")</f>
        <v/>
      </c>
      <c r="C23" s="10"/>
      <c r="D23" s="9" t="str">
        <f t="shared" si="6"/>
        <v/>
      </c>
      <c r="E23" s="9" t="str">
        <f t="shared" si="3"/>
        <v/>
      </c>
      <c r="F23" s="9" t="str">
        <f>IF(B23="","",7)</f>
        <v/>
      </c>
      <c r="H23" s="13">
        <v>22195</v>
      </c>
      <c r="J23" s="10">
        <v>22225</v>
      </c>
      <c r="K23" s="10"/>
      <c r="M23" s="11"/>
    </row>
    <row r="24" spans="1:13" x14ac:dyDescent="0.2">
      <c r="B24" s="10" t="str">
        <f>IF(AND('Contributions calculator'!$D$4&gt;=H24,'Contributions calculator'!$D$4&lt;=J24),'Contributions calculator'!$D$4,"")</f>
        <v/>
      </c>
      <c r="C24" s="10"/>
      <c r="D24" s="9" t="str">
        <f t="shared" si="6"/>
        <v/>
      </c>
      <c r="E24" s="9" t="str">
        <f>IF(OR(G24="",G24=0),F24,F24+1)</f>
        <v/>
      </c>
      <c r="F24" s="9" t="str">
        <f>IF(B24="","",8)</f>
        <v/>
      </c>
      <c r="H24" s="13">
        <v>22226</v>
      </c>
      <c r="J24" s="10">
        <v>22255</v>
      </c>
      <c r="K24" s="10"/>
      <c r="M24" s="11"/>
    </row>
    <row r="25" spans="1:13" x14ac:dyDescent="0.2">
      <c r="B25" s="10" t="str">
        <f>IF(AND('Contributions calculator'!$D$4&gt;=H25,'Contributions calculator'!$D$4&lt;=J25),'Contributions calculator'!$D$4,"")</f>
        <v/>
      </c>
      <c r="C25" s="10"/>
      <c r="D25" s="9" t="str">
        <f t="shared" si="6"/>
        <v/>
      </c>
      <c r="E25" s="9" t="str">
        <f t="shared" si="3"/>
        <v/>
      </c>
      <c r="F25" s="9" t="str">
        <f>IF(B25="","",9)</f>
        <v/>
      </c>
      <c r="H25" s="13">
        <v>22256</v>
      </c>
      <c r="J25" s="10">
        <v>22286</v>
      </c>
      <c r="K25" s="10"/>
      <c r="M25" s="11"/>
    </row>
    <row r="26" spans="1:13" x14ac:dyDescent="0.2">
      <c r="B26" s="10" t="str">
        <f>IF(AND('Contributions calculator'!$D$4&gt;=H26,'Contributions calculator'!$D$4&lt;=J26),'Contributions calculator'!$D$4,"")</f>
        <v/>
      </c>
      <c r="C26" s="10"/>
      <c r="D26" s="9" t="str">
        <f t="shared" si="6"/>
        <v/>
      </c>
      <c r="E26" s="9" t="str">
        <f t="shared" si="3"/>
        <v/>
      </c>
      <c r="F26" s="9" t="str">
        <f>IF(B26="","",10)</f>
        <v/>
      </c>
      <c r="H26" s="13">
        <v>22287</v>
      </c>
      <c r="J26" s="10">
        <v>22317</v>
      </c>
      <c r="K26" s="10"/>
      <c r="M26" s="11"/>
    </row>
    <row r="27" spans="1:13" x14ac:dyDescent="0.2">
      <c r="B27" s="10" t="str">
        <f>IF(AND('Contributions calculator'!$D$4&gt;=H27,'Contributions calculator'!$D$4&lt;=J27),'Contributions calculator'!$D$4,"")</f>
        <v/>
      </c>
      <c r="C27" s="10"/>
      <c r="D27" s="9" t="str">
        <f t="shared" si="6"/>
        <v/>
      </c>
      <c r="E27" s="9" t="str">
        <f t="shared" si="3"/>
        <v/>
      </c>
      <c r="F27" s="9" t="str">
        <f>IF(B27="","",11)</f>
        <v/>
      </c>
      <c r="H27" s="13">
        <v>22318</v>
      </c>
      <c r="J27" s="10">
        <v>22345</v>
      </c>
      <c r="K27" s="10"/>
      <c r="M27" s="11"/>
    </row>
    <row r="28" spans="1:13" x14ac:dyDescent="0.2">
      <c r="B28" s="10" t="str">
        <f>IF(AND('Contributions calculator'!$D$4&gt;=H28,'Contributions calculator'!$D$4&lt;=J28),'Contributions calculator'!$D$4,"")</f>
        <v/>
      </c>
      <c r="C28" s="10"/>
      <c r="D28" s="9" t="str">
        <f>IF(B28="","",67)</f>
        <v/>
      </c>
      <c r="H28" s="13">
        <v>22346</v>
      </c>
      <c r="J28" s="10">
        <v>28220</v>
      </c>
      <c r="K28" s="10"/>
      <c r="M28" s="11"/>
    </row>
    <row r="29" spans="1:13" x14ac:dyDescent="0.2">
      <c r="B29" s="10"/>
      <c r="H29" s="13"/>
      <c r="M29" s="11" t="str">
        <f>IF(B29="","",DATE(YEAR(B29)+D29,MONTH(B29)+F29,DAY(B29)))</f>
        <v/>
      </c>
    </row>
    <row r="30" spans="1:13" x14ac:dyDescent="0.2">
      <c r="A30" t="s">
        <v>139</v>
      </c>
      <c r="B30" s="10" t="str">
        <f>IF(AND('Contributions calculator'!$D$4&gt;=H30,'Contributions calculator'!$D$4&lt;=J30),'Contributions calculator'!$D$4,"")</f>
        <v/>
      </c>
      <c r="C30" s="14" t="str">
        <f t="shared" ref="C30:C41" si="7">IF(B30="","",IF(DAY(K30)&gt;=DAY(B30),0,-1)+(YEAR(K30)-YEAR(B30))*12+MONTH(K30)-MONTH(B30))</f>
        <v/>
      </c>
      <c r="D30" s="9" t="str">
        <f>IF(B30="","",ROUNDDOWN(C30/12,0))</f>
        <v/>
      </c>
      <c r="E30" s="9" t="str">
        <f t="shared" si="3"/>
        <v/>
      </c>
      <c r="F30" s="9" t="str">
        <f>IF(B30="","",C30-(D30*12))</f>
        <v/>
      </c>
      <c r="G30" s="9" t="str">
        <f t="shared" si="5"/>
        <v/>
      </c>
      <c r="H30" s="13">
        <v>28221</v>
      </c>
      <c r="J30" s="10">
        <v>28250</v>
      </c>
      <c r="K30" s="10">
        <v>52723</v>
      </c>
      <c r="M30" s="11" t="str">
        <f>IF(B30="","",DATE(YEAR(B30)+67,MONTH(B30)+F30,DAY(B30)))</f>
        <v/>
      </c>
    </row>
    <row r="31" spans="1:13" x14ac:dyDescent="0.2">
      <c r="B31" s="10" t="str">
        <f>IF(AND('Contributions calculator'!$D$4&gt;=H31,'Contributions calculator'!$D$4&lt;=J31),'Contributions calculator'!$D$4,"")</f>
        <v/>
      </c>
      <c r="C31" s="14" t="str">
        <f t="shared" si="7"/>
        <v/>
      </c>
      <c r="D31" s="9" t="str">
        <f t="shared" ref="D31:D40" si="8">IF(B31="","",ROUNDDOWN(C31/12,0))</f>
        <v/>
      </c>
      <c r="E31" s="9" t="str">
        <f t="shared" si="3"/>
        <v/>
      </c>
      <c r="F31" s="9" t="str">
        <f t="shared" ref="F31:F40" si="9">IF(B31="","",C31-(D31*12))</f>
        <v/>
      </c>
      <c r="G31" s="9" t="str">
        <f t="shared" si="5"/>
        <v/>
      </c>
      <c r="H31" s="13">
        <v>28251</v>
      </c>
      <c r="J31" s="10">
        <v>28281</v>
      </c>
      <c r="K31" s="10">
        <v>52784</v>
      </c>
      <c r="M31" s="11" t="str">
        <f t="shared" ref="M31:M42" si="10">IF(B31="","",DATE(YEAR(B31)+67,MONTH(B31)+F31,DAY(B31)))</f>
        <v/>
      </c>
    </row>
    <row r="32" spans="1:13" x14ac:dyDescent="0.2">
      <c r="B32" s="10" t="str">
        <f>IF(AND('Contributions calculator'!$D$4&gt;=H32,'Contributions calculator'!$D$4&lt;=J32),'Contributions calculator'!$D$4,"")</f>
        <v/>
      </c>
      <c r="C32" s="14" t="str">
        <f t="shared" si="7"/>
        <v/>
      </c>
      <c r="D32" s="9" t="str">
        <f t="shared" si="8"/>
        <v/>
      </c>
      <c r="E32" s="9" t="str">
        <f t="shared" si="3"/>
        <v/>
      </c>
      <c r="F32" s="9" t="str">
        <f t="shared" si="9"/>
        <v/>
      </c>
      <c r="G32" s="9" t="str">
        <f t="shared" si="5"/>
        <v/>
      </c>
      <c r="H32" s="13">
        <v>28282</v>
      </c>
      <c r="J32" s="10">
        <v>28311</v>
      </c>
      <c r="K32" s="10">
        <v>52846</v>
      </c>
      <c r="M32" s="11" t="str">
        <f t="shared" si="10"/>
        <v/>
      </c>
    </row>
    <row r="33" spans="2:13" x14ac:dyDescent="0.2">
      <c r="B33" s="10" t="str">
        <f>IF(AND('Contributions calculator'!$D$4&gt;=H33,'Contributions calculator'!$D$4&lt;=J33),'Contributions calculator'!$D$4,"")</f>
        <v/>
      </c>
      <c r="C33" s="14" t="str">
        <f t="shared" si="7"/>
        <v/>
      </c>
      <c r="D33" s="9" t="str">
        <f t="shared" si="8"/>
        <v/>
      </c>
      <c r="E33" s="9" t="str">
        <f t="shared" si="3"/>
        <v/>
      </c>
      <c r="F33" s="9" t="str">
        <f t="shared" si="9"/>
        <v/>
      </c>
      <c r="G33" s="9" t="str">
        <f t="shared" si="5"/>
        <v/>
      </c>
      <c r="H33" s="13">
        <v>28312</v>
      </c>
      <c r="J33" s="10">
        <v>28342</v>
      </c>
      <c r="K33" s="10">
        <v>52907</v>
      </c>
      <c r="M33" s="11" t="str">
        <f t="shared" si="10"/>
        <v/>
      </c>
    </row>
    <row r="34" spans="2:13" x14ac:dyDescent="0.2">
      <c r="B34" s="10" t="str">
        <f>IF(AND('Contributions calculator'!$D$4&gt;=H34,'Contributions calculator'!$D$4&lt;=J34),'Contributions calculator'!$D$4,"")</f>
        <v/>
      </c>
      <c r="C34" s="14" t="str">
        <f t="shared" si="7"/>
        <v/>
      </c>
      <c r="D34" s="9" t="str">
        <f t="shared" si="8"/>
        <v/>
      </c>
      <c r="E34" s="9" t="str">
        <f t="shared" si="3"/>
        <v/>
      </c>
      <c r="F34" s="9" t="str">
        <f t="shared" si="9"/>
        <v/>
      </c>
      <c r="G34" s="9" t="str">
        <f t="shared" si="5"/>
        <v/>
      </c>
      <c r="H34" s="13">
        <v>28343</v>
      </c>
      <c r="J34" s="10">
        <v>28373</v>
      </c>
      <c r="K34" s="10">
        <v>52968</v>
      </c>
      <c r="M34" s="11" t="str">
        <f t="shared" si="10"/>
        <v/>
      </c>
    </row>
    <row r="35" spans="2:13" x14ac:dyDescent="0.2">
      <c r="B35" s="10" t="str">
        <f>IF(AND('Contributions calculator'!$D$4&gt;=H35,'Contributions calculator'!$D$4&lt;=J35),'Contributions calculator'!$D$4,"")</f>
        <v/>
      </c>
      <c r="C35" s="14" t="str">
        <f t="shared" si="7"/>
        <v/>
      </c>
      <c r="D35" s="9" t="str">
        <f t="shared" si="8"/>
        <v/>
      </c>
      <c r="E35" s="9" t="str">
        <f t="shared" si="3"/>
        <v/>
      </c>
      <c r="F35" s="9" t="str">
        <f t="shared" si="9"/>
        <v/>
      </c>
      <c r="G35" s="9" t="str">
        <f t="shared" si="5"/>
        <v/>
      </c>
      <c r="H35" s="13">
        <v>28374</v>
      </c>
      <c r="J35" s="10">
        <v>28403</v>
      </c>
      <c r="K35" s="10">
        <v>53027</v>
      </c>
      <c r="M35" s="11" t="str">
        <f t="shared" si="10"/>
        <v/>
      </c>
    </row>
    <row r="36" spans="2:13" x14ac:dyDescent="0.2">
      <c r="B36" s="10" t="str">
        <f>IF(AND('Contributions calculator'!$D$4&gt;=H36,'Contributions calculator'!$D$4&lt;=J36),'Contributions calculator'!$D$4,"")</f>
        <v/>
      </c>
      <c r="C36" s="14" t="str">
        <f t="shared" si="7"/>
        <v/>
      </c>
      <c r="D36" s="9" t="str">
        <f t="shared" si="8"/>
        <v/>
      </c>
      <c r="E36" s="9" t="str">
        <f t="shared" si="3"/>
        <v/>
      </c>
      <c r="F36" s="9" t="str">
        <f t="shared" si="9"/>
        <v/>
      </c>
      <c r="G36" s="9" t="str">
        <f t="shared" si="5"/>
        <v/>
      </c>
      <c r="H36" s="13">
        <v>28404</v>
      </c>
      <c r="J36" s="10">
        <v>28434</v>
      </c>
      <c r="K36" s="10">
        <v>53088</v>
      </c>
      <c r="M36" s="11" t="str">
        <f t="shared" si="10"/>
        <v/>
      </c>
    </row>
    <row r="37" spans="2:13" x14ac:dyDescent="0.2">
      <c r="B37" s="10" t="str">
        <f>IF(AND('Contributions calculator'!$D$4&gt;=H37,'Contributions calculator'!$D$4&lt;=J37),'Contributions calculator'!$D$4,"")</f>
        <v/>
      </c>
      <c r="C37" s="14" t="str">
        <f t="shared" si="7"/>
        <v/>
      </c>
      <c r="D37" s="9" t="str">
        <f t="shared" si="8"/>
        <v/>
      </c>
      <c r="E37" s="9" t="str">
        <f t="shared" si="3"/>
        <v/>
      </c>
      <c r="F37" s="9" t="str">
        <f t="shared" si="9"/>
        <v/>
      </c>
      <c r="G37" s="9" t="str">
        <f t="shared" si="5"/>
        <v/>
      </c>
      <c r="H37" s="13">
        <v>28435</v>
      </c>
      <c r="J37" s="10">
        <v>28464</v>
      </c>
      <c r="K37" s="10">
        <v>53149</v>
      </c>
      <c r="M37" s="11" t="str">
        <f t="shared" si="10"/>
        <v/>
      </c>
    </row>
    <row r="38" spans="2:13" x14ac:dyDescent="0.2">
      <c r="B38" s="10" t="str">
        <f>IF(AND('Contributions calculator'!$D$4&gt;=H38,'Contributions calculator'!$D$4&lt;=J38),'Contributions calculator'!$D$4,"")</f>
        <v/>
      </c>
      <c r="C38" s="14" t="str">
        <f t="shared" si="7"/>
        <v/>
      </c>
      <c r="D38" s="9" t="str">
        <f t="shared" si="8"/>
        <v/>
      </c>
      <c r="E38" s="9" t="str">
        <f t="shared" si="3"/>
        <v/>
      </c>
      <c r="F38" s="9" t="str">
        <f t="shared" si="9"/>
        <v/>
      </c>
      <c r="G38" s="9" t="str">
        <f t="shared" si="5"/>
        <v/>
      </c>
      <c r="H38" s="13">
        <v>28465</v>
      </c>
      <c r="J38" s="10">
        <v>28495</v>
      </c>
      <c r="K38" s="10">
        <v>53211</v>
      </c>
      <c r="M38" s="11" t="str">
        <f t="shared" si="10"/>
        <v/>
      </c>
    </row>
    <row r="39" spans="2:13" x14ac:dyDescent="0.2">
      <c r="B39" s="10" t="str">
        <f>IF(AND('Contributions calculator'!$D$4&gt;=H39,'Contributions calculator'!$D$4&lt;=J39),'Contributions calculator'!$D$4,"")</f>
        <v/>
      </c>
      <c r="C39" s="14" t="str">
        <f t="shared" si="7"/>
        <v/>
      </c>
      <c r="D39" s="9" t="str">
        <f t="shared" si="8"/>
        <v/>
      </c>
      <c r="E39" s="9" t="str">
        <f t="shared" si="3"/>
        <v/>
      </c>
      <c r="F39" s="9" t="str">
        <f t="shared" si="9"/>
        <v/>
      </c>
      <c r="G39" s="9" t="str">
        <f t="shared" si="5"/>
        <v/>
      </c>
      <c r="H39" s="13">
        <v>28496</v>
      </c>
      <c r="J39" s="10">
        <v>28526</v>
      </c>
      <c r="K39" s="10">
        <v>53272</v>
      </c>
      <c r="M39" s="11" t="str">
        <f t="shared" si="10"/>
        <v/>
      </c>
    </row>
    <row r="40" spans="2:13" x14ac:dyDescent="0.2">
      <c r="B40" s="10" t="str">
        <f>IF(AND('Contributions calculator'!$D$4&gt;=H40,'Contributions calculator'!$D$4&lt;=J40),'Contributions calculator'!$D$4,"")</f>
        <v/>
      </c>
      <c r="C40" s="14" t="str">
        <f t="shared" si="7"/>
        <v/>
      </c>
      <c r="D40" s="9" t="str">
        <f t="shared" si="8"/>
        <v/>
      </c>
      <c r="E40" s="9" t="str">
        <f t="shared" si="3"/>
        <v/>
      </c>
      <c r="F40" s="9" t="str">
        <f t="shared" si="9"/>
        <v/>
      </c>
      <c r="G40" s="9" t="str">
        <f t="shared" si="5"/>
        <v/>
      </c>
      <c r="H40" s="13">
        <v>28527</v>
      </c>
      <c r="J40" s="10">
        <v>28554</v>
      </c>
      <c r="K40" s="10">
        <v>53333</v>
      </c>
      <c r="M40" s="11" t="str">
        <f t="shared" si="10"/>
        <v/>
      </c>
    </row>
    <row r="41" spans="2:13" x14ac:dyDescent="0.2">
      <c r="B41" s="10" t="str">
        <f>IF(AND('Contributions calculator'!$D$4&gt;=H41,'Contributions calculator'!$D$4&lt;=J41),'Contributions calculator'!$D$4,"")</f>
        <v/>
      </c>
      <c r="C41" s="14" t="str">
        <f t="shared" si="7"/>
        <v/>
      </c>
      <c r="D41" s="9" t="str">
        <f>IF(B41="","",68)</f>
        <v/>
      </c>
      <c r="F41" s="9" t="str">
        <f>IF(B41="","",C41-(67*12))</f>
        <v/>
      </c>
      <c r="G41" s="9" t="str">
        <f>IF(B41="","",K41-M41)</f>
        <v/>
      </c>
      <c r="H41" s="13">
        <v>28555</v>
      </c>
      <c r="J41" s="10">
        <v>28585</v>
      </c>
      <c r="K41" s="10">
        <v>53392</v>
      </c>
      <c r="M41" s="11" t="str">
        <f t="shared" si="10"/>
        <v/>
      </c>
    </row>
    <row r="42" spans="2:13" x14ac:dyDescent="0.2">
      <c r="B42" s="10" t="str">
        <f ca="1">IF(AND('Contributions calculator'!$D$4&gt;=H42,'Contributions calculator'!$D$4&lt;=J42),'Contributions calculator'!$D$4,"")</f>
        <v/>
      </c>
      <c r="C42" s="14"/>
      <c r="D42" s="9" t="str">
        <f ca="1">IF(B42="","",68)</f>
        <v/>
      </c>
      <c r="G42" s="9" t="str">
        <f t="shared" ca="1" si="5"/>
        <v/>
      </c>
      <c r="H42" s="13">
        <v>28586</v>
      </c>
      <c r="J42" s="10">
        <f ca="1">TODAY()</f>
        <v>46294</v>
      </c>
      <c r="M42" s="11" t="str">
        <f t="shared" ca="1" si="10"/>
        <v/>
      </c>
    </row>
    <row r="43" spans="2:13" x14ac:dyDescent="0.2">
      <c r="H43" s="13"/>
    </row>
    <row r="44" spans="2:13" x14ac:dyDescent="0.2">
      <c r="H44" s="13"/>
    </row>
    <row r="45" spans="2:13" x14ac:dyDescent="0.2">
      <c r="H45" s="13"/>
    </row>
    <row r="46" spans="2:13" x14ac:dyDescent="0.2">
      <c r="H46" s="13"/>
    </row>
    <row r="47" spans="2:13" x14ac:dyDescent="0.2">
      <c r="H47" s="13"/>
    </row>
    <row r="48" spans="2:13" x14ac:dyDescent="0.2">
      <c r="H48" s="13"/>
    </row>
    <row r="49" spans="8:8" customFormat="1" x14ac:dyDescent="0.2">
      <c r="H49" s="13"/>
    </row>
    <row r="50" spans="8:8" customFormat="1" x14ac:dyDescent="0.2">
      <c r="H50" s="13"/>
    </row>
    <row r="51" spans="8:8" customFormat="1" x14ac:dyDescent="0.2">
      <c r="H51" s="13"/>
    </row>
    <row r="52" spans="8:8" customFormat="1" x14ac:dyDescent="0.2">
      <c r="H52" s="13"/>
    </row>
    <row r="53" spans="8:8" customFormat="1" x14ac:dyDescent="0.2">
      <c r="H53" s="13"/>
    </row>
    <row r="54" spans="8:8" customFormat="1" x14ac:dyDescent="0.2">
      <c r="H54" s="13"/>
    </row>
    <row r="55" spans="8:8" customFormat="1" x14ac:dyDescent="0.2">
      <c r="H55" s="13"/>
    </row>
    <row r="56" spans="8:8" customFormat="1" x14ac:dyDescent="0.2">
      <c r="H56" s="13"/>
    </row>
    <row r="57" spans="8:8" customFormat="1" x14ac:dyDescent="0.2">
      <c r="H57" s="13"/>
    </row>
    <row r="58" spans="8:8" customFormat="1" x14ac:dyDescent="0.2">
      <c r="H58" s="13"/>
    </row>
    <row r="59" spans="8:8" customFormat="1" x14ac:dyDescent="0.2">
      <c r="H59" s="13"/>
    </row>
    <row r="60" spans="8:8" customFormat="1" x14ac:dyDescent="0.2">
      <c r="H60" s="13"/>
    </row>
    <row r="61" spans="8:8" customFormat="1" x14ac:dyDescent="0.2">
      <c r="H61" s="13"/>
    </row>
    <row r="62" spans="8:8" customFormat="1" x14ac:dyDescent="0.2">
      <c r="H62" s="13"/>
    </row>
    <row r="63" spans="8:8" customFormat="1" x14ac:dyDescent="0.2">
      <c r="H63" s="13"/>
    </row>
    <row r="64" spans="8:8" customFormat="1" x14ac:dyDescent="0.2">
      <c r="H64" s="13"/>
    </row>
    <row r="65" spans="8:8" customFormat="1" x14ac:dyDescent="0.2">
      <c r="H65" s="13"/>
    </row>
    <row r="66" spans="8:8" customFormat="1" x14ac:dyDescent="0.2">
      <c r="H66" s="13"/>
    </row>
    <row r="67" spans="8:8" customFormat="1" x14ac:dyDescent="0.2">
      <c r="H67" s="13"/>
    </row>
    <row r="68" spans="8:8" customFormat="1" x14ac:dyDescent="0.2">
      <c r="H68" s="13"/>
    </row>
    <row r="69" spans="8:8" customFormat="1" x14ac:dyDescent="0.2">
      <c r="H69" s="13"/>
    </row>
    <row r="70" spans="8:8" customFormat="1" x14ac:dyDescent="0.2">
      <c r="H70" s="13"/>
    </row>
    <row r="71" spans="8:8" customFormat="1" x14ac:dyDescent="0.2">
      <c r="H71" s="13"/>
    </row>
    <row r="72" spans="8:8" customFormat="1" x14ac:dyDescent="0.2">
      <c r="H72" s="13"/>
    </row>
    <row r="73" spans="8:8" customFormat="1" x14ac:dyDescent="0.2">
      <c r="H73" s="13"/>
    </row>
    <row r="74" spans="8:8" customFormat="1" x14ac:dyDescent="0.2">
      <c r="H74" s="13"/>
    </row>
    <row r="75" spans="8:8" customFormat="1" x14ac:dyDescent="0.2">
      <c r="H75" s="13"/>
    </row>
    <row r="76" spans="8:8" customFormat="1" x14ac:dyDescent="0.2">
      <c r="H76" s="13"/>
    </row>
    <row r="77" spans="8:8" customFormat="1" x14ac:dyDescent="0.2">
      <c r="H77" s="13"/>
    </row>
    <row r="78" spans="8:8" customFormat="1" x14ac:dyDescent="0.2">
      <c r="H78" s="13"/>
    </row>
    <row r="79" spans="8:8" customFormat="1" x14ac:dyDescent="0.2">
      <c r="H79" s="13"/>
    </row>
    <row r="80" spans="8:8" customFormat="1" x14ac:dyDescent="0.2">
      <c r="H80" s="13"/>
    </row>
    <row r="81" spans="8:8" customFormat="1" x14ac:dyDescent="0.2">
      <c r="H81" s="13"/>
    </row>
    <row r="82" spans="8:8" customFormat="1" x14ac:dyDescent="0.2">
      <c r="H82" s="13"/>
    </row>
    <row r="83" spans="8:8" customFormat="1" x14ac:dyDescent="0.2">
      <c r="H83" s="13"/>
    </row>
    <row r="84" spans="8:8" customFormat="1" x14ac:dyDescent="0.2">
      <c r="H84" s="13"/>
    </row>
    <row r="85" spans="8:8" customFormat="1" x14ac:dyDescent="0.2">
      <c r="H85" s="13"/>
    </row>
    <row r="86" spans="8:8" customFormat="1" x14ac:dyDescent="0.2">
      <c r="H86" s="13"/>
    </row>
    <row r="87" spans="8:8" customFormat="1" x14ac:dyDescent="0.2">
      <c r="H87" s="13"/>
    </row>
    <row r="88" spans="8:8" customFormat="1" x14ac:dyDescent="0.2">
      <c r="H88" s="13"/>
    </row>
    <row r="89" spans="8:8" customFormat="1" x14ac:dyDescent="0.2">
      <c r="H89" s="13"/>
    </row>
    <row r="90" spans="8:8" customFormat="1" x14ac:dyDescent="0.2">
      <c r="H90" s="13"/>
    </row>
    <row r="91" spans="8:8" customFormat="1" x14ac:dyDescent="0.2">
      <c r="H91" s="13"/>
    </row>
    <row r="92" spans="8:8" customFormat="1" x14ac:dyDescent="0.2">
      <c r="H92" s="13"/>
    </row>
    <row r="93" spans="8:8" customFormat="1" x14ac:dyDescent="0.2">
      <c r="H93" s="13"/>
    </row>
    <row r="94" spans="8:8" customFormat="1" x14ac:dyDescent="0.2">
      <c r="H94" s="13"/>
    </row>
    <row r="95" spans="8:8" customFormat="1" x14ac:dyDescent="0.2">
      <c r="H95" s="13"/>
    </row>
    <row r="96" spans="8:8" customFormat="1" x14ac:dyDescent="0.2">
      <c r="H96" s="13"/>
    </row>
    <row r="97" spans="8:8" customFormat="1" x14ac:dyDescent="0.2">
      <c r="H97" s="13"/>
    </row>
    <row r="98" spans="8:8" customFormat="1" x14ac:dyDescent="0.2">
      <c r="H98" s="13"/>
    </row>
    <row r="99" spans="8:8" customFormat="1" x14ac:dyDescent="0.2">
      <c r="H99" s="13"/>
    </row>
    <row r="100" spans="8:8" customFormat="1" x14ac:dyDescent="0.2">
      <c r="H100" s="13"/>
    </row>
    <row r="101" spans="8:8" customFormat="1" x14ac:dyDescent="0.2">
      <c r="H101" s="13"/>
    </row>
    <row r="102" spans="8:8" customFormat="1" x14ac:dyDescent="0.2">
      <c r="H102" s="13"/>
    </row>
    <row r="103" spans="8:8" customFormat="1" x14ac:dyDescent="0.2">
      <c r="H103" s="13"/>
    </row>
    <row r="104" spans="8:8" customFormat="1" x14ac:dyDescent="0.2">
      <c r="H104" s="13"/>
    </row>
    <row r="105" spans="8:8" customFormat="1" x14ac:dyDescent="0.2">
      <c r="H105" s="13"/>
    </row>
    <row r="106" spans="8:8" customFormat="1" x14ac:dyDescent="0.2">
      <c r="H106" s="13"/>
    </row>
    <row r="107" spans="8:8" customFormat="1" x14ac:dyDescent="0.2">
      <c r="H107" s="13"/>
    </row>
    <row r="108" spans="8:8" customFormat="1" x14ac:dyDescent="0.2">
      <c r="H108" s="13"/>
    </row>
    <row r="109" spans="8:8" customFormat="1" x14ac:dyDescent="0.2">
      <c r="H109" s="13"/>
    </row>
    <row r="110" spans="8:8" customFormat="1" x14ac:dyDescent="0.2">
      <c r="H110" s="13"/>
    </row>
    <row r="111" spans="8:8" customFormat="1" x14ac:dyDescent="0.2">
      <c r="H111" s="13"/>
    </row>
    <row r="112" spans="8:8" customFormat="1" x14ac:dyDescent="0.2">
      <c r="H112" s="13"/>
    </row>
    <row r="113" spans="8:8" customFormat="1" x14ac:dyDescent="0.2">
      <c r="H113" s="13"/>
    </row>
    <row r="114" spans="8:8" customFormat="1" x14ac:dyDescent="0.2">
      <c r="H114" s="13"/>
    </row>
    <row r="115" spans="8:8" customFormat="1" x14ac:dyDescent="0.2">
      <c r="H115" s="13"/>
    </row>
    <row r="116" spans="8:8" customFormat="1" x14ac:dyDescent="0.2">
      <c r="H116" s="13"/>
    </row>
    <row r="117" spans="8:8" customFormat="1" x14ac:dyDescent="0.2">
      <c r="H117" s="13"/>
    </row>
    <row r="118" spans="8:8" customFormat="1" x14ac:dyDescent="0.2">
      <c r="H118" s="13"/>
    </row>
    <row r="119" spans="8:8" customFormat="1" x14ac:dyDescent="0.2">
      <c r="H119" s="13"/>
    </row>
    <row r="120" spans="8:8" customFormat="1" x14ac:dyDescent="0.2">
      <c r="H120" s="13"/>
    </row>
    <row r="121" spans="8:8" customFormat="1" x14ac:dyDescent="0.2">
      <c r="H121" s="13"/>
    </row>
    <row r="122" spans="8:8" customFormat="1" x14ac:dyDescent="0.2">
      <c r="H122" s="13"/>
    </row>
    <row r="123" spans="8:8" customFormat="1" x14ac:dyDescent="0.2">
      <c r="H123" s="13"/>
    </row>
    <row r="124" spans="8:8" customFormat="1" x14ac:dyDescent="0.2">
      <c r="H124" s="13"/>
    </row>
    <row r="125" spans="8:8" customFormat="1" x14ac:dyDescent="0.2">
      <c r="H125" s="13"/>
    </row>
    <row r="126" spans="8:8" customFormat="1" x14ac:dyDescent="0.2">
      <c r="H126" s="13"/>
    </row>
    <row r="127" spans="8:8" customFormat="1" x14ac:dyDescent="0.2">
      <c r="H127" s="13"/>
    </row>
    <row r="128" spans="8:8" customFormat="1" x14ac:dyDescent="0.2">
      <c r="H128" s="13"/>
    </row>
    <row r="129" spans="8:8" customFormat="1" x14ac:dyDescent="0.2">
      <c r="H129" s="13"/>
    </row>
    <row r="130" spans="8:8" customFormat="1" x14ac:dyDescent="0.2">
      <c r="H130" s="13"/>
    </row>
    <row r="131" spans="8:8" customFormat="1" x14ac:dyDescent="0.2">
      <c r="H131" s="13"/>
    </row>
    <row r="132" spans="8:8" customFormat="1" x14ac:dyDescent="0.2">
      <c r="H132" s="13"/>
    </row>
    <row r="133" spans="8:8" customFormat="1" x14ac:dyDescent="0.2">
      <c r="H133" s="13"/>
    </row>
    <row r="134" spans="8:8" customFormat="1" x14ac:dyDescent="0.2">
      <c r="H134" s="13"/>
    </row>
    <row r="135" spans="8:8" customFormat="1" x14ac:dyDescent="0.2">
      <c r="H135" s="13"/>
    </row>
    <row r="136" spans="8:8" customFormat="1" x14ac:dyDescent="0.2">
      <c r="H136" s="13"/>
    </row>
    <row r="137" spans="8:8" customFormat="1" x14ac:dyDescent="0.2">
      <c r="H137" s="13"/>
    </row>
    <row r="138" spans="8:8" customFormat="1" x14ac:dyDescent="0.2">
      <c r="H138" s="13"/>
    </row>
    <row r="139" spans="8:8" customFormat="1" x14ac:dyDescent="0.2">
      <c r="H139" s="13"/>
    </row>
    <row r="140" spans="8:8" customFormat="1" x14ac:dyDescent="0.2">
      <c r="H140" s="13"/>
    </row>
    <row r="141" spans="8:8" customFormat="1" x14ac:dyDescent="0.2">
      <c r="H141" s="13"/>
    </row>
    <row r="142" spans="8:8" customFormat="1" x14ac:dyDescent="0.2">
      <c r="H142" s="13"/>
    </row>
    <row r="143" spans="8:8" customFormat="1" x14ac:dyDescent="0.2">
      <c r="H143" s="13"/>
    </row>
    <row r="144" spans="8:8" customFormat="1" x14ac:dyDescent="0.2">
      <c r="H144" s="13"/>
    </row>
    <row r="145" spans="8:8" customFormat="1" x14ac:dyDescent="0.2">
      <c r="H145" s="13"/>
    </row>
    <row r="146" spans="8:8" customFormat="1" x14ac:dyDescent="0.2">
      <c r="H146" s="13"/>
    </row>
    <row r="147" spans="8:8" customFormat="1" x14ac:dyDescent="0.2">
      <c r="H147" s="13"/>
    </row>
    <row r="148" spans="8:8" customFormat="1" x14ac:dyDescent="0.2">
      <c r="H148" s="13"/>
    </row>
    <row r="149" spans="8:8" customFormat="1" x14ac:dyDescent="0.2">
      <c r="H149" s="13"/>
    </row>
    <row r="150" spans="8:8" customFormat="1" x14ac:dyDescent="0.2">
      <c r="H150" s="13"/>
    </row>
    <row r="151" spans="8:8" customFormat="1" x14ac:dyDescent="0.2">
      <c r="H151" s="13"/>
    </row>
    <row r="152" spans="8:8" customFormat="1" x14ac:dyDescent="0.2">
      <c r="H152" s="13"/>
    </row>
    <row r="153" spans="8:8" customFormat="1" x14ac:dyDescent="0.2">
      <c r="H153" s="13"/>
    </row>
    <row r="154" spans="8:8" customFormat="1" x14ac:dyDescent="0.2">
      <c r="H154" s="13"/>
    </row>
    <row r="155" spans="8:8" customFormat="1" x14ac:dyDescent="0.2">
      <c r="H155" s="13"/>
    </row>
    <row r="156" spans="8:8" customFormat="1" x14ac:dyDescent="0.2">
      <c r="H156" s="13"/>
    </row>
    <row r="157" spans="8:8" customFormat="1" x14ac:dyDescent="0.2">
      <c r="H157" s="13"/>
    </row>
    <row r="158" spans="8:8" customFormat="1" x14ac:dyDescent="0.2">
      <c r="H158" s="13"/>
    </row>
    <row r="159" spans="8:8" customFormat="1" x14ac:dyDescent="0.2">
      <c r="H159" s="13"/>
    </row>
    <row r="160" spans="8:8" customFormat="1" x14ac:dyDescent="0.2">
      <c r="H160" s="13"/>
    </row>
    <row r="161" spans="8:8" customFormat="1" x14ac:dyDescent="0.2">
      <c r="H161" s="13"/>
    </row>
    <row r="162" spans="8:8" customFormat="1" x14ac:dyDescent="0.2">
      <c r="H162" s="13"/>
    </row>
    <row r="163" spans="8:8" customFormat="1" x14ac:dyDescent="0.2">
      <c r="H163" s="13"/>
    </row>
    <row r="164" spans="8:8" customFormat="1" x14ac:dyDescent="0.2">
      <c r="H164" s="13"/>
    </row>
    <row r="165" spans="8:8" customFormat="1" x14ac:dyDescent="0.2">
      <c r="H165" s="13"/>
    </row>
    <row r="166" spans="8:8" customFormat="1" x14ac:dyDescent="0.2">
      <c r="H166" s="13"/>
    </row>
    <row r="167" spans="8:8" customFormat="1" x14ac:dyDescent="0.2">
      <c r="H167" s="13"/>
    </row>
    <row r="168" spans="8:8" customFormat="1" x14ac:dyDescent="0.2">
      <c r="H168" s="13"/>
    </row>
    <row r="169" spans="8:8" customFormat="1" x14ac:dyDescent="0.2">
      <c r="H169" s="13"/>
    </row>
    <row r="170" spans="8:8" customFormat="1" x14ac:dyDescent="0.2">
      <c r="H170" s="13"/>
    </row>
    <row r="171" spans="8:8" customFormat="1" x14ac:dyDescent="0.2">
      <c r="H171" s="13"/>
    </row>
    <row r="172" spans="8:8" customFormat="1" x14ac:dyDescent="0.2">
      <c r="H172" s="13"/>
    </row>
    <row r="173" spans="8:8" customFormat="1" x14ac:dyDescent="0.2">
      <c r="H173" s="13"/>
    </row>
    <row r="174" spans="8:8" customFormat="1" x14ac:dyDescent="0.2">
      <c r="H174" s="13"/>
    </row>
    <row r="175" spans="8:8" customFormat="1" x14ac:dyDescent="0.2">
      <c r="H175" s="13"/>
    </row>
    <row r="176" spans="8:8" customFormat="1" x14ac:dyDescent="0.2">
      <c r="H176" s="13"/>
    </row>
    <row r="177" spans="8:8" customFormat="1" x14ac:dyDescent="0.2">
      <c r="H177" s="13"/>
    </row>
    <row r="178" spans="8:8" customFormat="1" x14ac:dyDescent="0.2">
      <c r="H178" s="13"/>
    </row>
    <row r="179" spans="8:8" customFormat="1" x14ac:dyDescent="0.2">
      <c r="H179" s="13"/>
    </row>
    <row r="180" spans="8:8" customFormat="1" x14ac:dyDescent="0.2">
      <c r="H180" s="13"/>
    </row>
    <row r="181" spans="8:8" customFormat="1" x14ac:dyDescent="0.2">
      <c r="H181" s="13"/>
    </row>
    <row r="182" spans="8:8" customFormat="1" x14ac:dyDescent="0.2">
      <c r="H182" s="13"/>
    </row>
    <row r="183" spans="8:8" customFormat="1" x14ac:dyDescent="0.2">
      <c r="H183" s="13"/>
    </row>
    <row r="184" spans="8:8" customFormat="1" x14ac:dyDescent="0.2">
      <c r="H184" s="13"/>
    </row>
    <row r="185" spans="8:8" customFormat="1" x14ac:dyDescent="0.2">
      <c r="H185" s="13"/>
    </row>
    <row r="186" spans="8:8" customFormat="1" x14ac:dyDescent="0.2">
      <c r="H186" s="13"/>
    </row>
    <row r="187" spans="8:8" customFormat="1" x14ac:dyDescent="0.2">
      <c r="H187" s="13"/>
    </row>
    <row r="188" spans="8:8" customFormat="1" x14ac:dyDescent="0.2">
      <c r="H188" s="13"/>
    </row>
    <row r="189" spans="8:8" customFormat="1" x14ac:dyDescent="0.2">
      <c r="H189" s="13"/>
    </row>
    <row r="190" spans="8:8" customFormat="1" x14ac:dyDescent="0.2">
      <c r="H190" s="13"/>
    </row>
    <row r="191" spans="8:8" customFormat="1" x14ac:dyDescent="0.2">
      <c r="H191" s="13"/>
    </row>
    <row r="192" spans="8:8" customFormat="1" x14ac:dyDescent="0.2">
      <c r="H192" s="13"/>
    </row>
    <row r="193" spans="8:8" customFormat="1" x14ac:dyDescent="0.2">
      <c r="H193" s="13"/>
    </row>
    <row r="194" spans="8:8" customFormat="1" x14ac:dyDescent="0.2">
      <c r="H194" s="13"/>
    </row>
    <row r="195" spans="8:8" customFormat="1" x14ac:dyDescent="0.2">
      <c r="H195" s="13"/>
    </row>
    <row r="196" spans="8:8" customFormat="1" x14ac:dyDescent="0.2">
      <c r="H196" s="13"/>
    </row>
    <row r="197" spans="8:8" customFormat="1" x14ac:dyDescent="0.2">
      <c r="H197" s="13"/>
    </row>
    <row r="198" spans="8:8" customFormat="1" x14ac:dyDescent="0.2">
      <c r="H198" s="13"/>
    </row>
    <row r="199" spans="8:8" customFormat="1" x14ac:dyDescent="0.2">
      <c r="H199" s="13"/>
    </row>
    <row r="200" spans="8:8" customFormat="1" x14ac:dyDescent="0.2">
      <c r="H200" s="13"/>
    </row>
    <row r="201" spans="8:8" customFormat="1" x14ac:dyDescent="0.2">
      <c r="H201" s="13"/>
    </row>
    <row r="202" spans="8:8" customFormat="1" x14ac:dyDescent="0.2">
      <c r="H202" s="13"/>
    </row>
    <row r="203" spans="8:8" customFormat="1" x14ac:dyDescent="0.2">
      <c r="H203" s="13"/>
    </row>
    <row r="204" spans="8:8" customFormat="1" x14ac:dyDescent="0.2">
      <c r="H204" s="13"/>
    </row>
    <row r="205" spans="8:8" customFormat="1" x14ac:dyDescent="0.2">
      <c r="H205" s="13"/>
    </row>
    <row r="206" spans="8:8" customFormat="1" x14ac:dyDescent="0.2">
      <c r="H206" s="13"/>
    </row>
    <row r="207" spans="8:8" customFormat="1" x14ac:dyDescent="0.2">
      <c r="H207" s="13"/>
    </row>
    <row r="208" spans="8:8" customFormat="1" x14ac:dyDescent="0.2">
      <c r="H208" s="13"/>
    </row>
    <row r="209" spans="8:8" customFormat="1" x14ac:dyDescent="0.2">
      <c r="H209" s="13"/>
    </row>
    <row r="210" spans="8:8" customFormat="1" x14ac:dyDescent="0.2">
      <c r="H210" s="13"/>
    </row>
    <row r="211" spans="8:8" customFormat="1" x14ac:dyDescent="0.2">
      <c r="H211" s="13"/>
    </row>
    <row r="212" spans="8:8" customFormat="1" x14ac:dyDescent="0.2">
      <c r="H212" s="13"/>
    </row>
    <row r="213" spans="8:8" customFormat="1" x14ac:dyDescent="0.2">
      <c r="H213" s="13"/>
    </row>
    <row r="214" spans="8:8" customFormat="1" x14ac:dyDescent="0.2">
      <c r="H214" s="13"/>
    </row>
    <row r="215" spans="8:8" customFormat="1" x14ac:dyDescent="0.2">
      <c r="H215" s="13"/>
    </row>
    <row r="216" spans="8:8" customFormat="1" x14ac:dyDescent="0.2">
      <c r="H216" s="13"/>
    </row>
    <row r="217" spans="8:8" customFormat="1" x14ac:dyDescent="0.2">
      <c r="H217" s="13"/>
    </row>
    <row r="218" spans="8:8" customFormat="1" x14ac:dyDescent="0.2">
      <c r="H218" s="13"/>
    </row>
    <row r="219" spans="8:8" customFormat="1" x14ac:dyDescent="0.2">
      <c r="H219" s="13"/>
    </row>
    <row r="220" spans="8:8" customFormat="1" x14ac:dyDescent="0.2">
      <c r="H220" s="13"/>
    </row>
    <row r="221" spans="8:8" customFormat="1" x14ac:dyDescent="0.2">
      <c r="H221" s="13"/>
    </row>
    <row r="222" spans="8:8" customFormat="1" x14ac:dyDescent="0.2">
      <c r="H222" s="13"/>
    </row>
    <row r="223" spans="8:8" customFormat="1" x14ac:dyDescent="0.2">
      <c r="H223" s="13"/>
    </row>
    <row r="224" spans="8:8" customFormat="1" x14ac:dyDescent="0.2">
      <c r="H224" s="13"/>
    </row>
    <row r="225" spans="8:8" customFormat="1" x14ac:dyDescent="0.2">
      <c r="H225" s="13"/>
    </row>
    <row r="226" spans="8:8" customFormat="1" x14ac:dyDescent="0.2">
      <c r="H226" s="13"/>
    </row>
    <row r="227" spans="8:8" customFormat="1" x14ac:dyDescent="0.2">
      <c r="H227" s="13"/>
    </row>
    <row r="228" spans="8:8" customFormat="1" x14ac:dyDescent="0.2">
      <c r="H228" s="13"/>
    </row>
    <row r="229" spans="8:8" customFormat="1" x14ac:dyDescent="0.2">
      <c r="H229" s="13"/>
    </row>
    <row r="230" spans="8:8" customFormat="1" x14ac:dyDescent="0.2">
      <c r="H230" s="13"/>
    </row>
    <row r="231" spans="8:8" customFormat="1" x14ac:dyDescent="0.2">
      <c r="H231" s="13"/>
    </row>
    <row r="232" spans="8:8" customFormat="1" x14ac:dyDescent="0.2">
      <c r="H232" s="13"/>
    </row>
    <row r="233" spans="8:8" customFormat="1" x14ac:dyDescent="0.2">
      <c r="H233" s="13"/>
    </row>
    <row r="234" spans="8:8" customFormat="1" x14ac:dyDescent="0.2">
      <c r="H234" s="13"/>
    </row>
    <row r="235" spans="8:8" customFormat="1" x14ac:dyDescent="0.2">
      <c r="H235" s="13"/>
    </row>
    <row r="236" spans="8:8" customFormat="1" x14ac:dyDescent="0.2">
      <c r="H236" s="13"/>
    </row>
    <row r="237" spans="8:8" customFormat="1" x14ac:dyDescent="0.2">
      <c r="H237" s="13"/>
    </row>
    <row r="238" spans="8:8" customFormat="1" x14ac:dyDescent="0.2">
      <c r="H238" s="13"/>
    </row>
    <row r="239" spans="8:8" customFormat="1" x14ac:dyDescent="0.2">
      <c r="H239" s="13"/>
    </row>
    <row r="240" spans="8:8" customFormat="1" x14ac:dyDescent="0.2">
      <c r="H240" s="13"/>
    </row>
    <row r="241" spans="8:8" customFormat="1" x14ac:dyDescent="0.2">
      <c r="H241" s="13"/>
    </row>
    <row r="242" spans="8:8" customFormat="1" x14ac:dyDescent="0.2">
      <c r="H242" s="13"/>
    </row>
    <row r="243" spans="8:8" customFormat="1" x14ac:dyDescent="0.2">
      <c r="H243" s="13"/>
    </row>
    <row r="244" spans="8:8" customFormat="1" x14ac:dyDescent="0.2">
      <c r="H244" s="13"/>
    </row>
    <row r="245" spans="8:8" customFormat="1" x14ac:dyDescent="0.2">
      <c r="H245" s="13"/>
    </row>
    <row r="246" spans="8:8" customFormat="1" x14ac:dyDescent="0.2">
      <c r="H246" s="13"/>
    </row>
    <row r="247" spans="8:8" customFormat="1" x14ac:dyDescent="0.2">
      <c r="H247" s="13"/>
    </row>
    <row r="248" spans="8:8" customFormat="1" x14ac:dyDescent="0.2">
      <c r="H248" s="13"/>
    </row>
    <row r="249" spans="8:8" customFormat="1" x14ac:dyDescent="0.2">
      <c r="H249" s="13"/>
    </row>
    <row r="250" spans="8:8" customFormat="1" x14ac:dyDescent="0.2">
      <c r="H250" s="13"/>
    </row>
    <row r="251" spans="8:8" customFormat="1" x14ac:dyDescent="0.2">
      <c r="H251" s="13"/>
    </row>
    <row r="252" spans="8:8" customFormat="1" x14ac:dyDescent="0.2">
      <c r="H252" s="13"/>
    </row>
    <row r="253" spans="8:8" customFormat="1" x14ac:dyDescent="0.2">
      <c r="H253" s="13"/>
    </row>
    <row r="254" spans="8:8" customFormat="1" x14ac:dyDescent="0.2">
      <c r="H254" s="13"/>
    </row>
    <row r="255" spans="8:8" customFormat="1" x14ac:dyDescent="0.2">
      <c r="H255" s="13"/>
    </row>
    <row r="256" spans="8:8" customFormat="1" x14ac:dyDescent="0.2">
      <c r="H256" s="13"/>
    </row>
    <row r="257" spans="8:8" customFormat="1" x14ac:dyDescent="0.2">
      <c r="H257" s="13"/>
    </row>
    <row r="258" spans="8:8" customFormat="1" x14ac:dyDescent="0.2">
      <c r="H258" s="13"/>
    </row>
    <row r="259" spans="8:8" customFormat="1" x14ac:dyDescent="0.2">
      <c r="H259" s="13"/>
    </row>
    <row r="260" spans="8:8" customFormat="1" x14ac:dyDescent="0.2">
      <c r="H260" s="13"/>
    </row>
    <row r="261" spans="8:8" customFormat="1" x14ac:dyDescent="0.2">
      <c r="H261" s="13"/>
    </row>
    <row r="262" spans="8:8" customFormat="1" x14ac:dyDescent="0.2">
      <c r="H262" s="13"/>
    </row>
    <row r="263" spans="8:8" customFormat="1" x14ac:dyDescent="0.2">
      <c r="H263" s="13"/>
    </row>
    <row r="264" spans="8:8" customFormat="1" x14ac:dyDescent="0.2">
      <c r="H264" s="13"/>
    </row>
    <row r="265" spans="8:8" customFormat="1" x14ac:dyDescent="0.2">
      <c r="H265" s="13"/>
    </row>
    <row r="266" spans="8:8" customFormat="1" x14ac:dyDescent="0.2">
      <c r="H266" s="13"/>
    </row>
    <row r="267" spans="8:8" customFormat="1" x14ac:dyDescent="0.2">
      <c r="H267" s="13"/>
    </row>
    <row r="268" spans="8:8" customFormat="1" x14ac:dyDescent="0.2">
      <c r="H268" s="13"/>
    </row>
    <row r="269" spans="8:8" customFormat="1" x14ac:dyDescent="0.2">
      <c r="H269" s="13"/>
    </row>
    <row r="270" spans="8:8" customFormat="1" x14ac:dyDescent="0.2">
      <c r="H270" s="13"/>
    </row>
    <row r="271" spans="8:8" customFormat="1" x14ac:dyDescent="0.2">
      <c r="H271" s="13"/>
    </row>
    <row r="272" spans="8:8" customFormat="1" x14ac:dyDescent="0.2">
      <c r="H272" s="13"/>
    </row>
    <row r="273" spans="8:8" customFormat="1" x14ac:dyDescent="0.2">
      <c r="H273" s="13"/>
    </row>
    <row r="274" spans="8:8" customFormat="1" x14ac:dyDescent="0.2">
      <c r="H274" s="13"/>
    </row>
    <row r="275" spans="8:8" customFormat="1" x14ac:dyDescent="0.2">
      <c r="H275" s="13"/>
    </row>
    <row r="276" spans="8:8" customFormat="1" x14ac:dyDescent="0.2">
      <c r="H276" s="13"/>
    </row>
    <row r="277" spans="8:8" customFormat="1" x14ac:dyDescent="0.2">
      <c r="H277" s="13"/>
    </row>
    <row r="278" spans="8:8" customFormat="1" x14ac:dyDescent="0.2">
      <c r="H278" s="13"/>
    </row>
    <row r="279" spans="8:8" customFormat="1" x14ac:dyDescent="0.2">
      <c r="H279" s="13"/>
    </row>
    <row r="280" spans="8:8" customFormat="1" x14ac:dyDescent="0.2">
      <c r="H280" s="13"/>
    </row>
    <row r="281" spans="8:8" customFormat="1" x14ac:dyDescent="0.2">
      <c r="H281" s="13"/>
    </row>
    <row r="282" spans="8:8" customFormat="1" x14ac:dyDescent="0.2">
      <c r="H282" s="13"/>
    </row>
    <row r="283" spans="8:8" customFormat="1" x14ac:dyDescent="0.2">
      <c r="H283" s="13"/>
    </row>
    <row r="284" spans="8:8" customFormat="1" x14ac:dyDescent="0.2">
      <c r="H284" s="13"/>
    </row>
    <row r="285" spans="8:8" customFormat="1" x14ac:dyDescent="0.2">
      <c r="H285" s="13"/>
    </row>
    <row r="286" spans="8:8" customFormat="1" x14ac:dyDescent="0.2">
      <c r="H286" s="13"/>
    </row>
    <row r="287" spans="8:8" customFormat="1" x14ac:dyDescent="0.2">
      <c r="H287" s="13"/>
    </row>
    <row r="288" spans="8:8" customFormat="1" x14ac:dyDescent="0.2">
      <c r="H288" s="13"/>
    </row>
    <row r="289" spans="8:8" customFormat="1" x14ac:dyDescent="0.2">
      <c r="H289" s="13"/>
    </row>
    <row r="290" spans="8:8" customFormat="1" x14ac:dyDescent="0.2">
      <c r="H290" s="13"/>
    </row>
    <row r="291" spans="8:8" customFormat="1" x14ac:dyDescent="0.2">
      <c r="H291" s="13"/>
    </row>
    <row r="292" spans="8:8" customFormat="1" x14ac:dyDescent="0.2">
      <c r="H292" s="13"/>
    </row>
    <row r="293" spans="8:8" customFormat="1" x14ac:dyDescent="0.2">
      <c r="H293" s="13"/>
    </row>
    <row r="294" spans="8:8" customFormat="1" x14ac:dyDescent="0.2">
      <c r="H294" s="13"/>
    </row>
    <row r="295" spans="8:8" customFormat="1" x14ac:dyDescent="0.2">
      <c r="H295" s="13"/>
    </row>
    <row r="296" spans="8:8" customFormat="1" x14ac:dyDescent="0.2">
      <c r="H296" s="13"/>
    </row>
    <row r="297" spans="8:8" customFormat="1" x14ac:dyDescent="0.2">
      <c r="H297" s="13"/>
    </row>
    <row r="298" spans="8:8" customFormat="1" x14ac:dyDescent="0.2">
      <c r="H298" s="13"/>
    </row>
    <row r="299" spans="8:8" customFormat="1" x14ac:dyDescent="0.2">
      <c r="H299" s="13"/>
    </row>
    <row r="300" spans="8:8" customFormat="1" x14ac:dyDescent="0.2">
      <c r="H300" s="13"/>
    </row>
    <row r="301" spans="8:8" customFormat="1" x14ac:dyDescent="0.2">
      <c r="H301" s="13"/>
    </row>
    <row r="302" spans="8:8" customFormat="1" x14ac:dyDescent="0.2">
      <c r="H302" s="13"/>
    </row>
    <row r="303" spans="8:8" customFormat="1" x14ac:dyDescent="0.2">
      <c r="H303" s="13"/>
    </row>
    <row r="304" spans="8:8" customFormat="1" x14ac:dyDescent="0.2">
      <c r="H304" s="13"/>
    </row>
    <row r="305" spans="8:8" customFormat="1" x14ac:dyDescent="0.2">
      <c r="H305" s="13"/>
    </row>
    <row r="306" spans="8:8" customFormat="1" x14ac:dyDescent="0.2">
      <c r="H306" s="13"/>
    </row>
    <row r="307" spans="8:8" customFormat="1" x14ac:dyDescent="0.2">
      <c r="H307" s="13"/>
    </row>
    <row r="308" spans="8:8" customFormat="1" x14ac:dyDescent="0.2">
      <c r="H308" s="13"/>
    </row>
    <row r="309" spans="8:8" customFormat="1" x14ac:dyDescent="0.2">
      <c r="H309" s="13"/>
    </row>
    <row r="310" spans="8:8" customFormat="1" x14ac:dyDescent="0.2">
      <c r="H310" s="13"/>
    </row>
    <row r="311" spans="8:8" customFormat="1" x14ac:dyDescent="0.2">
      <c r="H311" s="13"/>
    </row>
    <row r="312" spans="8:8" customFormat="1" x14ac:dyDescent="0.2">
      <c r="H312" s="13"/>
    </row>
    <row r="313" spans="8:8" customFormat="1" x14ac:dyDescent="0.2">
      <c r="H313" s="13"/>
    </row>
    <row r="314" spans="8:8" customFormat="1" x14ac:dyDescent="0.2">
      <c r="H314" s="13"/>
    </row>
    <row r="315" spans="8:8" customFormat="1" x14ac:dyDescent="0.2">
      <c r="H315" s="13"/>
    </row>
    <row r="316" spans="8:8" customFormat="1" x14ac:dyDescent="0.2">
      <c r="H316" s="13"/>
    </row>
    <row r="317" spans="8:8" customFormat="1" x14ac:dyDescent="0.2">
      <c r="H317" s="13"/>
    </row>
    <row r="318" spans="8:8" customFormat="1" x14ac:dyDescent="0.2">
      <c r="H318" s="13"/>
    </row>
    <row r="319" spans="8:8" customFormat="1" x14ac:dyDescent="0.2">
      <c r="H319" s="13"/>
    </row>
    <row r="320" spans="8:8" customFormat="1" x14ac:dyDescent="0.2">
      <c r="H320" s="13"/>
    </row>
    <row r="321" spans="8:8" customFormat="1" x14ac:dyDescent="0.2">
      <c r="H321" s="13"/>
    </row>
  </sheetData>
  <conditionalFormatting sqref="B4:D4 B4:B42 D5:G5 D6:D15 F6:F15 E6:E42 G6:G42 C17:D29 B43:G50">
    <cfRule type="expression" dxfId="47" priority="3" stopIfTrue="1">
      <formula>$B4&lt;&gt;""</formula>
    </cfRule>
  </conditionalFormatting>
  <conditionalFormatting sqref="F17:F42 D30:D42">
    <cfRule type="expression" dxfId="46" priority="1" stopIfTrue="1">
      <formula>$B17&lt;&gt;""</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1CBEA-7C48-4A71-95D6-1A76E6C7F92C}">
  <sheetPr codeName="Sheet5"/>
  <dimension ref="B1:L58"/>
  <sheetViews>
    <sheetView topLeftCell="C7" zoomScale="98" zoomScaleNormal="98" workbookViewId="0">
      <selection activeCell="C16" sqref="C16"/>
    </sheetView>
  </sheetViews>
  <sheetFormatPr defaultColWidth="9.140625" defaultRowHeight="15" x14ac:dyDescent="0.25"/>
  <cols>
    <col min="1" max="1" width="9.140625" style="16"/>
    <col min="2" max="2" width="17.140625" customWidth="1"/>
    <col min="3" max="3" width="11.42578125" customWidth="1"/>
    <col min="4" max="4" width="13.7109375" customWidth="1"/>
    <col min="6" max="6" width="17.140625" customWidth="1"/>
    <col min="7" max="7" width="11.42578125" customWidth="1"/>
    <col min="8" max="8" width="13.7109375" customWidth="1"/>
    <col min="9" max="9" width="9.140625" style="16"/>
    <col min="10" max="10" width="17.140625" customWidth="1"/>
    <col min="11" max="11" width="11.42578125" customWidth="1"/>
    <col min="12" max="12" width="13.7109375" customWidth="1"/>
    <col min="13" max="16384" width="9.140625" style="16"/>
  </cols>
  <sheetData>
    <row r="1" spans="2:12" x14ac:dyDescent="0.25">
      <c r="G1" t="s">
        <v>140</v>
      </c>
    </row>
    <row r="3" spans="2:12" x14ac:dyDescent="0.25">
      <c r="B3" s="70"/>
      <c r="F3" s="70"/>
      <c r="J3" s="70"/>
    </row>
    <row r="4" spans="2:12" x14ac:dyDescent="0.25">
      <c r="B4" s="75" t="s">
        <v>141</v>
      </c>
      <c r="F4" s="75" t="s">
        <v>142</v>
      </c>
      <c r="J4" s="75" t="s">
        <v>143</v>
      </c>
      <c r="K4" s="70" t="s">
        <v>144</v>
      </c>
    </row>
    <row r="5" spans="2:12" x14ac:dyDescent="0.25">
      <c r="B5" s="75" t="s">
        <v>145</v>
      </c>
      <c r="F5" s="75" t="s">
        <v>146</v>
      </c>
      <c r="J5" s="75" t="s">
        <v>22</v>
      </c>
    </row>
    <row r="6" spans="2:12" x14ac:dyDescent="0.25">
      <c r="B6" s="75"/>
      <c r="F6" s="75"/>
      <c r="J6" s="75"/>
    </row>
    <row r="7" spans="2:12" ht="51.75" customHeight="1" thickBot="1" x14ac:dyDescent="0.3">
      <c r="B7" s="76" t="s">
        <v>147</v>
      </c>
      <c r="C7" s="76" t="s">
        <v>148</v>
      </c>
      <c r="D7" s="77" t="s">
        <v>149</v>
      </c>
      <c r="F7" s="76" t="s">
        <v>147</v>
      </c>
      <c r="G7" s="76" t="s">
        <v>148</v>
      </c>
      <c r="H7" s="77" t="s">
        <v>149</v>
      </c>
      <c r="J7" s="76" t="s">
        <v>147</v>
      </c>
      <c r="K7" s="76" t="s">
        <v>148</v>
      </c>
      <c r="L7" s="77" t="s">
        <v>149</v>
      </c>
    </row>
    <row r="8" spans="2:12" ht="24.75" customHeight="1" thickBot="1" x14ac:dyDescent="0.3">
      <c r="B8" s="78" t="s">
        <v>150</v>
      </c>
      <c r="C8" s="211" t="s">
        <v>151</v>
      </c>
      <c r="D8" s="211"/>
      <c r="F8" s="78" t="s">
        <v>150</v>
      </c>
      <c r="G8" s="211" t="s">
        <v>151</v>
      </c>
      <c r="H8" s="211"/>
      <c r="J8" s="78" t="s">
        <v>150</v>
      </c>
      <c r="K8" s="211" t="s">
        <v>151</v>
      </c>
      <c r="L8" s="211"/>
    </row>
    <row r="9" spans="2:12" x14ac:dyDescent="0.25">
      <c r="B9" s="76">
        <v>16</v>
      </c>
      <c r="C9" s="101"/>
      <c r="D9" s="101"/>
      <c r="E9" s="102"/>
      <c r="F9" s="76">
        <v>16</v>
      </c>
      <c r="G9" s="101"/>
      <c r="H9" s="101"/>
      <c r="J9" s="76">
        <v>16</v>
      </c>
      <c r="K9" s="103">
        <v>1680</v>
      </c>
      <c r="L9" s="103">
        <v>1810</v>
      </c>
    </row>
    <row r="10" spans="2:12" x14ac:dyDescent="0.25">
      <c r="B10" s="76">
        <v>17</v>
      </c>
      <c r="C10" s="101"/>
      <c r="D10" s="101"/>
      <c r="E10" s="102"/>
      <c r="F10" s="76">
        <v>17</v>
      </c>
      <c r="G10" s="101"/>
      <c r="H10" s="101"/>
      <c r="J10" s="76">
        <v>17</v>
      </c>
      <c r="K10" s="103">
        <v>1710</v>
      </c>
      <c r="L10" s="103">
        <v>1850</v>
      </c>
    </row>
    <row r="11" spans="2:12" x14ac:dyDescent="0.25">
      <c r="B11" s="76">
        <v>18</v>
      </c>
      <c r="C11" s="101"/>
      <c r="D11" s="101"/>
      <c r="E11" s="102"/>
      <c r="F11" s="76">
        <v>18</v>
      </c>
      <c r="G11" s="101"/>
      <c r="H11" s="101"/>
      <c r="J11" s="76">
        <v>18</v>
      </c>
      <c r="K11" s="103">
        <v>1740</v>
      </c>
      <c r="L11" s="103">
        <v>1890</v>
      </c>
    </row>
    <row r="12" spans="2:12" x14ac:dyDescent="0.25">
      <c r="B12" s="76">
        <v>19</v>
      </c>
      <c r="C12" s="101"/>
      <c r="D12" s="101"/>
      <c r="E12" s="102"/>
      <c r="F12" s="76">
        <v>19</v>
      </c>
      <c r="G12" s="101"/>
      <c r="H12" s="101"/>
      <c r="J12" s="76">
        <v>19</v>
      </c>
      <c r="K12" s="103">
        <v>1770</v>
      </c>
      <c r="L12" s="103">
        <v>1920</v>
      </c>
    </row>
    <row r="13" spans="2:12" x14ac:dyDescent="0.25">
      <c r="B13" s="76">
        <v>20</v>
      </c>
      <c r="C13" s="101"/>
      <c r="D13" s="101"/>
      <c r="E13" s="102"/>
      <c r="F13" s="76">
        <v>20</v>
      </c>
      <c r="G13" s="101"/>
      <c r="H13" s="101"/>
      <c r="J13" s="76">
        <v>20</v>
      </c>
      <c r="K13" s="103">
        <v>1810</v>
      </c>
      <c r="L13" s="103">
        <v>1960</v>
      </c>
    </row>
    <row r="14" spans="2:12" x14ac:dyDescent="0.25">
      <c r="B14" s="76">
        <v>21</v>
      </c>
      <c r="C14" s="101"/>
      <c r="D14" s="101"/>
      <c r="E14" s="102"/>
      <c r="F14" s="76">
        <v>21</v>
      </c>
      <c r="G14" s="101"/>
      <c r="H14" s="101"/>
      <c r="J14" s="76">
        <v>21</v>
      </c>
      <c r="K14" s="103">
        <v>1840</v>
      </c>
      <c r="L14" s="103">
        <v>1990</v>
      </c>
    </row>
    <row r="15" spans="2:12" x14ac:dyDescent="0.25">
      <c r="B15" s="76">
        <v>22</v>
      </c>
      <c r="C15" s="101"/>
      <c r="D15" s="101"/>
      <c r="E15" s="102"/>
      <c r="F15" s="76">
        <v>22</v>
      </c>
      <c r="G15" s="101"/>
      <c r="H15" s="101"/>
      <c r="J15" s="76">
        <v>22</v>
      </c>
      <c r="K15" s="103">
        <v>1870</v>
      </c>
      <c r="L15" s="103">
        <v>2030</v>
      </c>
    </row>
    <row r="16" spans="2:12" x14ac:dyDescent="0.25">
      <c r="B16" s="76">
        <v>23</v>
      </c>
      <c r="C16" s="101"/>
      <c r="D16" s="101"/>
      <c r="E16" s="102"/>
      <c r="F16" s="76">
        <v>23</v>
      </c>
      <c r="G16" s="101"/>
      <c r="H16" s="101"/>
      <c r="J16" s="76">
        <v>23</v>
      </c>
      <c r="K16" s="103">
        <v>1900</v>
      </c>
      <c r="L16" s="103">
        <v>2060</v>
      </c>
    </row>
    <row r="17" spans="2:12" x14ac:dyDescent="0.25">
      <c r="B17" s="76">
        <v>24</v>
      </c>
      <c r="C17" s="101"/>
      <c r="D17" s="101"/>
      <c r="E17" s="102"/>
      <c r="F17" s="76">
        <v>24</v>
      </c>
      <c r="G17" s="101"/>
      <c r="H17" s="101"/>
      <c r="J17" s="76">
        <v>24</v>
      </c>
      <c r="K17" s="103">
        <v>1940</v>
      </c>
      <c r="L17" s="103">
        <v>2100</v>
      </c>
    </row>
    <row r="18" spans="2:12" x14ac:dyDescent="0.25">
      <c r="B18" s="76">
        <v>25</v>
      </c>
      <c r="C18" s="101"/>
      <c r="D18" s="101"/>
      <c r="E18" s="102"/>
      <c r="F18" s="76">
        <v>25</v>
      </c>
      <c r="G18" s="101"/>
      <c r="H18" s="101"/>
      <c r="J18" s="76">
        <v>25</v>
      </c>
      <c r="K18" s="103">
        <v>1970</v>
      </c>
      <c r="L18" s="103">
        <v>2130</v>
      </c>
    </row>
    <row r="19" spans="2:12" x14ac:dyDescent="0.25">
      <c r="B19" s="76">
        <v>26</v>
      </c>
      <c r="C19" s="101"/>
      <c r="D19" s="101"/>
      <c r="E19" s="102"/>
      <c r="F19" s="76">
        <v>26</v>
      </c>
      <c r="G19" s="101"/>
      <c r="H19" s="101"/>
      <c r="J19" s="76">
        <v>26</v>
      </c>
      <c r="K19" s="103">
        <v>2010</v>
      </c>
      <c r="L19" s="103">
        <v>2170</v>
      </c>
    </row>
    <row r="20" spans="2:12" x14ac:dyDescent="0.25">
      <c r="B20" s="76">
        <v>27</v>
      </c>
      <c r="C20" s="101"/>
      <c r="D20" s="101"/>
      <c r="E20" s="102"/>
      <c r="F20" s="76">
        <v>27</v>
      </c>
      <c r="G20" s="101"/>
      <c r="H20" s="101"/>
      <c r="J20" s="76">
        <v>27</v>
      </c>
      <c r="K20" s="103">
        <v>2040</v>
      </c>
      <c r="L20" s="103">
        <v>2210</v>
      </c>
    </row>
    <row r="21" spans="2:12" x14ac:dyDescent="0.25">
      <c r="B21" s="76">
        <v>28</v>
      </c>
      <c r="C21" s="101"/>
      <c r="D21" s="101"/>
      <c r="E21" s="102"/>
      <c r="F21" s="76">
        <v>28</v>
      </c>
      <c r="G21" s="101"/>
      <c r="H21" s="101"/>
      <c r="J21" s="76">
        <v>28</v>
      </c>
      <c r="K21" s="103">
        <v>2080</v>
      </c>
      <c r="L21" s="103">
        <v>2250</v>
      </c>
    </row>
    <row r="22" spans="2:12" x14ac:dyDescent="0.25">
      <c r="B22" s="76">
        <v>29</v>
      </c>
      <c r="C22" s="101"/>
      <c r="D22" s="101"/>
      <c r="E22" s="102"/>
      <c r="F22" s="76">
        <v>29</v>
      </c>
      <c r="G22" s="101"/>
      <c r="H22" s="101"/>
      <c r="J22" s="76">
        <v>29</v>
      </c>
      <c r="K22" s="103">
        <v>2110</v>
      </c>
      <c r="L22" s="103">
        <v>2290</v>
      </c>
    </row>
    <row r="23" spans="2:12" x14ac:dyDescent="0.25">
      <c r="B23" s="76">
        <v>30</v>
      </c>
      <c r="C23" s="101"/>
      <c r="D23" s="101"/>
      <c r="E23" s="102"/>
      <c r="F23" s="76">
        <v>30</v>
      </c>
      <c r="G23" s="101"/>
      <c r="H23" s="101"/>
      <c r="J23" s="76">
        <v>30</v>
      </c>
      <c r="K23" s="103">
        <v>2150</v>
      </c>
      <c r="L23" s="103">
        <v>2330</v>
      </c>
    </row>
    <row r="24" spans="2:12" x14ac:dyDescent="0.25">
      <c r="B24" s="76">
        <v>31</v>
      </c>
      <c r="C24" s="101"/>
      <c r="D24" s="101"/>
      <c r="E24" s="102"/>
      <c r="F24" s="76">
        <v>31</v>
      </c>
      <c r="G24" s="101"/>
      <c r="H24" s="101"/>
      <c r="J24" s="76">
        <v>31</v>
      </c>
      <c r="K24" s="103">
        <v>2190</v>
      </c>
      <c r="L24" s="103">
        <v>2370</v>
      </c>
    </row>
    <row r="25" spans="2:12" x14ac:dyDescent="0.25">
      <c r="B25" s="76">
        <v>32</v>
      </c>
      <c r="C25" s="101"/>
      <c r="D25" s="101"/>
      <c r="E25" s="102"/>
      <c r="F25" s="76">
        <v>32</v>
      </c>
      <c r="G25" s="101"/>
      <c r="H25" s="101"/>
      <c r="J25" s="76">
        <v>32</v>
      </c>
      <c r="K25" s="103">
        <v>2230</v>
      </c>
      <c r="L25" s="103">
        <v>2410</v>
      </c>
    </row>
    <row r="26" spans="2:12" x14ac:dyDescent="0.25">
      <c r="B26" s="76">
        <v>33</v>
      </c>
      <c r="C26" s="101"/>
      <c r="D26" s="101"/>
      <c r="E26" s="102"/>
      <c r="F26" s="76">
        <v>33</v>
      </c>
      <c r="G26" s="101"/>
      <c r="H26" s="101"/>
      <c r="J26" s="76">
        <v>33</v>
      </c>
      <c r="K26" s="103">
        <v>2260</v>
      </c>
      <c r="L26" s="103">
        <v>2450</v>
      </c>
    </row>
    <row r="27" spans="2:12" x14ac:dyDescent="0.25">
      <c r="B27" s="76">
        <v>34</v>
      </c>
      <c r="C27" s="101"/>
      <c r="D27" s="101"/>
      <c r="E27" s="102"/>
      <c r="F27" s="76">
        <v>34</v>
      </c>
      <c r="G27" s="101"/>
      <c r="H27" s="101"/>
      <c r="J27" s="76">
        <v>34</v>
      </c>
      <c r="K27" s="103">
        <v>2300</v>
      </c>
      <c r="L27" s="103">
        <v>2490</v>
      </c>
    </row>
    <row r="28" spans="2:12" x14ac:dyDescent="0.25">
      <c r="B28" s="76">
        <v>35</v>
      </c>
      <c r="C28" s="101"/>
      <c r="D28" s="101"/>
      <c r="E28" s="102"/>
      <c r="F28" s="76">
        <v>35</v>
      </c>
      <c r="G28" s="101"/>
      <c r="H28" s="101"/>
      <c r="J28" s="76">
        <v>35</v>
      </c>
      <c r="K28" s="103">
        <v>2340</v>
      </c>
      <c r="L28" s="103">
        <v>2530</v>
      </c>
    </row>
    <row r="29" spans="2:12" x14ac:dyDescent="0.25">
      <c r="B29" s="76">
        <v>36</v>
      </c>
      <c r="C29" s="101"/>
      <c r="D29" s="101"/>
      <c r="E29" s="102"/>
      <c r="F29" s="76">
        <v>36</v>
      </c>
      <c r="G29" s="101"/>
      <c r="H29" s="101"/>
      <c r="J29" s="76">
        <v>36</v>
      </c>
      <c r="K29" s="103">
        <v>2380</v>
      </c>
      <c r="L29" s="103">
        <v>2580</v>
      </c>
    </row>
    <row r="30" spans="2:12" x14ac:dyDescent="0.25">
      <c r="B30" s="76">
        <v>37</v>
      </c>
      <c r="C30" s="101"/>
      <c r="D30" s="101"/>
      <c r="E30" s="102"/>
      <c r="F30" s="76">
        <v>37</v>
      </c>
      <c r="G30" s="101"/>
      <c r="H30" s="101"/>
      <c r="J30" s="76">
        <v>37</v>
      </c>
      <c r="K30" s="103">
        <v>2420</v>
      </c>
      <c r="L30" s="103">
        <v>2620</v>
      </c>
    </row>
    <row r="31" spans="2:12" x14ac:dyDescent="0.25">
      <c r="B31" s="76">
        <v>38</v>
      </c>
      <c r="C31" s="101"/>
      <c r="D31" s="101"/>
      <c r="E31" s="102"/>
      <c r="F31" s="76">
        <v>38</v>
      </c>
      <c r="G31" s="101"/>
      <c r="H31" s="101"/>
      <c r="J31" s="76">
        <v>38</v>
      </c>
      <c r="K31" s="103">
        <v>2470</v>
      </c>
      <c r="L31" s="103">
        <v>2660</v>
      </c>
    </row>
    <row r="32" spans="2:12" x14ac:dyDescent="0.25">
      <c r="B32" s="76">
        <v>39</v>
      </c>
      <c r="C32" s="101"/>
      <c r="D32" s="101"/>
      <c r="E32" s="102"/>
      <c r="F32" s="76">
        <v>39</v>
      </c>
      <c r="G32" s="101"/>
      <c r="H32" s="101"/>
      <c r="J32" s="76">
        <v>39</v>
      </c>
      <c r="K32" s="103">
        <v>2510</v>
      </c>
      <c r="L32" s="103">
        <v>2710</v>
      </c>
    </row>
    <row r="33" spans="2:12" x14ac:dyDescent="0.25">
      <c r="B33" s="76">
        <v>40</v>
      </c>
      <c r="C33" s="101"/>
      <c r="D33" s="101"/>
      <c r="E33" s="102"/>
      <c r="F33" s="76">
        <v>40</v>
      </c>
      <c r="G33" s="101"/>
      <c r="H33" s="101"/>
      <c r="J33" s="76">
        <v>40</v>
      </c>
      <c r="K33" s="103">
        <v>2550</v>
      </c>
      <c r="L33" s="103">
        <v>2750</v>
      </c>
    </row>
    <row r="34" spans="2:12" x14ac:dyDescent="0.25">
      <c r="B34" s="76">
        <v>41</v>
      </c>
      <c r="C34" s="101"/>
      <c r="D34" s="101"/>
      <c r="E34" s="102"/>
      <c r="F34" s="76">
        <v>41</v>
      </c>
      <c r="G34" s="101"/>
      <c r="H34" s="101"/>
      <c r="J34" s="76">
        <v>41</v>
      </c>
      <c r="K34" s="103">
        <v>2600</v>
      </c>
      <c r="L34" s="103">
        <v>2800</v>
      </c>
    </row>
    <row r="35" spans="2:12" x14ac:dyDescent="0.25">
      <c r="B35" s="76">
        <v>42</v>
      </c>
      <c r="C35" s="101"/>
      <c r="D35" s="101"/>
      <c r="E35" s="102"/>
      <c r="F35" s="76">
        <v>42</v>
      </c>
      <c r="G35" s="101"/>
      <c r="H35" s="101"/>
      <c r="J35" s="76">
        <v>42</v>
      </c>
      <c r="K35" s="103">
        <v>2640</v>
      </c>
      <c r="L35" s="103">
        <v>2850</v>
      </c>
    </row>
    <row r="36" spans="2:12" x14ac:dyDescent="0.25">
      <c r="B36" s="76">
        <v>43</v>
      </c>
      <c r="C36" s="101"/>
      <c r="D36" s="101"/>
      <c r="E36" s="102"/>
      <c r="F36" s="76">
        <v>43</v>
      </c>
      <c r="G36" s="101"/>
      <c r="H36" s="101"/>
      <c r="J36" s="76">
        <v>43</v>
      </c>
      <c r="K36" s="103">
        <v>2690</v>
      </c>
      <c r="L36" s="103">
        <v>2900</v>
      </c>
    </row>
    <row r="37" spans="2:12" x14ac:dyDescent="0.25">
      <c r="B37" s="76">
        <v>44</v>
      </c>
      <c r="C37" s="101"/>
      <c r="D37" s="101"/>
      <c r="E37" s="102"/>
      <c r="F37" s="76">
        <v>44</v>
      </c>
      <c r="G37" s="101"/>
      <c r="H37" s="101"/>
      <c r="J37" s="76">
        <v>44</v>
      </c>
      <c r="K37" s="103">
        <v>2730</v>
      </c>
      <c r="L37" s="103">
        <v>2950</v>
      </c>
    </row>
    <row r="38" spans="2:12" x14ac:dyDescent="0.25">
      <c r="B38" s="76">
        <v>45</v>
      </c>
      <c r="C38" s="101"/>
      <c r="D38" s="101"/>
      <c r="E38" s="102"/>
      <c r="F38" s="76">
        <v>45</v>
      </c>
      <c r="G38" s="101"/>
      <c r="H38" s="101"/>
      <c r="J38" s="76">
        <v>45</v>
      </c>
      <c r="K38" s="103">
        <v>2780</v>
      </c>
      <c r="L38" s="103">
        <v>2990</v>
      </c>
    </row>
    <row r="39" spans="2:12" x14ac:dyDescent="0.25">
      <c r="B39" s="76">
        <v>46</v>
      </c>
      <c r="C39" s="101"/>
      <c r="D39" s="101"/>
      <c r="E39" s="102"/>
      <c r="F39" s="76">
        <v>46</v>
      </c>
      <c r="G39" s="101"/>
      <c r="H39" s="101"/>
      <c r="J39" s="76">
        <v>46</v>
      </c>
      <c r="K39" s="103">
        <v>2830</v>
      </c>
      <c r="L39" s="103">
        <v>3040</v>
      </c>
    </row>
    <row r="40" spans="2:12" x14ac:dyDescent="0.25">
      <c r="B40" s="76">
        <v>47</v>
      </c>
      <c r="C40" s="101"/>
      <c r="D40" s="101"/>
      <c r="E40" s="102"/>
      <c r="F40" s="76">
        <v>47</v>
      </c>
      <c r="G40" s="101"/>
      <c r="H40" s="101"/>
      <c r="J40" s="76">
        <v>47</v>
      </c>
      <c r="K40" s="103">
        <v>2880</v>
      </c>
      <c r="L40" s="103">
        <v>3100</v>
      </c>
    </row>
    <row r="41" spans="2:12" x14ac:dyDescent="0.25">
      <c r="B41" s="76">
        <v>48</v>
      </c>
      <c r="C41" s="101"/>
      <c r="D41" s="101"/>
      <c r="E41" s="102"/>
      <c r="F41" s="76">
        <v>48</v>
      </c>
      <c r="G41" s="101"/>
      <c r="H41" s="101"/>
      <c r="J41" s="76">
        <v>48</v>
      </c>
      <c r="K41" s="103">
        <v>2920</v>
      </c>
      <c r="L41" s="103">
        <v>3150</v>
      </c>
    </row>
    <row r="42" spans="2:12" x14ac:dyDescent="0.25">
      <c r="B42" s="76">
        <v>49</v>
      </c>
      <c r="C42" s="101"/>
      <c r="D42" s="101"/>
      <c r="E42" s="102"/>
      <c r="F42" s="76">
        <v>49</v>
      </c>
      <c r="G42" s="101"/>
      <c r="H42" s="101"/>
      <c r="J42" s="76">
        <v>49</v>
      </c>
      <c r="K42" s="103">
        <v>3010</v>
      </c>
      <c r="L42" s="103">
        <v>3240</v>
      </c>
    </row>
    <row r="43" spans="2:12" x14ac:dyDescent="0.25">
      <c r="B43" s="76">
        <v>50</v>
      </c>
      <c r="C43" s="101"/>
      <c r="D43" s="101"/>
      <c r="E43" s="102"/>
      <c r="F43" s="76">
        <v>50</v>
      </c>
      <c r="G43" s="101"/>
      <c r="H43" s="101"/>
      <c r="J43" s="76">
        <v>50</v>
      </c>
      <c r="K43" s="103">
        <v>3100</v>
      </c>
      <c r="L43" s="103">
        <v>3330</v>
      </c>
    </row>
    <row r="44" spans="2:12" x14ac:dyDescent="0.25">
      <c r="B44" s="76">
        <v>51</v>
      </c>
      <c r="C44" s="101"/>
      <c r="D44" s="101"/>
      <c r="E44" s="102"/>
      <c r="F44" s="76">
        <v>51</v>
      </c>
      <c r="G44" s="101"/>
      <c r="H44" s="101"/>
      <c r="J44" s="76">
        <v>51</v>
      </c>
      <c r="K44" s="103">
        <v>3200</v>
      </c>
      <c r="L44" s="103">
        <v>3430</v>
      </c>
    </row>
    <row r="45" spans="2:12" x14ac:dyDescent="0.25">
      <c r="B45" s="76">
        <v>52</v>
      </c>
      <c r="C45" s="101"/>
      <c r="D45" s="101"/>
      <c r="E45" s="102"/>
      <c r="F45" s="76">
        <v>52</v>
      </c>
      <c r="G45" s="101"/>
      <c r="H45" s="101"/>
      <c r="J45" s="76">
        <v>52</v>
      </c>
      <c r="K45" s="103">
        <v>3300</v>
      </c>
      <c r="L45" s="103">
        <v>3530</v>
      </c>
    </row>
    <row r="46" spans="2:12" x14ac:dyDescent="0.25">
      <c r="B46" s="76">
        <v>53</v>
      </c>
      <c r="C46" s="101"/>
      <c r="D46" s="101"/>
      <c r="E46" s="102"/>
      <c r="F46" s="76">
        <v>53</v>
      </c>
      <c r="G46" s="101"/>
      <c r="H46" s="101"/>
      <c r="J46" s="76">
        <v>53</v>
      </c>
      <c r="K46" s="103">
        <v>3350</v>
      </c>
      <c r="L46" s="103">
        <v>3580</v>
      </c>
    </row>
    <row r="47" spans="2:12" x14ac:dyDescent="0.25">
      <c r="B47" s="76">
        <v>54</v>
      </c>
      <c r="C47" s="101"/>
      <c r="D47" s="101"/>
      <c r="E47" s="102"/>
      <c r="F47" s="76">
        <v>54</v>
      </c>
      <c r="G47" s="101"/>
      <c r="H47" s="101"/>
      <c r="J47" s="76">
        <v>54</v>
      </c>
      <c r="K47" s="103">
        <v>3410</v>
      </c>
      <c r="L47" s="103">
        <v>3640</v>
      </c>
    </row>
    <row r="48" spans="2:12" x14ac:dyDescent="0.25">
      <c r="B48" s="76">
        <v>55</v>
      </c>
      <c r="C48" s="101"/>
      <c r="D48" s="101"/>
      <c r="E48" s="102"/>
      <c r="F48" s="76">
        <v>55</v>
      </c>
      <c r="G48" s="101"/>
      <c r="H48" s="101"/>
      <c r="J48" s="76">
        <v>55</v>
      </c>
      <c r="K48" s="103">
        <v>3470</v>
      </c>
      <c r="L48" s="103">
        <v>3710</v>
      </c>
    </row>
    <row r="49" spans="2:12" x14ac:dyDescent="0.25">
      <c r="B49" s="76">
        <v>56</v>
      </c>
      <c r="C49" s="101"/>
      <c r="D49" s="101"/>
      <c r="E49" s="102"/>
      <c r="F49" s="76">
        <v>56</v>
      </c>
      <c r="G49" s="101"/>
      <c r="H49" s="101"/>
      <c r="J49" s="76">
        <v>56</v>
      </c>
      <c r="K49" s="103">
        <v>3530</v>
      </c>
      <c r="L49" s="103">
        <v>3770</v>
      </c>
    </row>
    <row r="50" spans="2:12" x14ac:dyDescent="0.25">
      <c r="B50" s="76">
        <v>57</v>
      </c>
      <c r="C50" s="101"/>
      <c r="D50" s="101"/>
      <c r="E50" s="102"/>
      <c r="F50" s="76">
        <v>57</v>
      </c>
      <c r="G50" s="101"/>
      <c r="H50" s="101"/>
      <c r="J50" s="76">
        <v>57</v>
      </c>
      <c r="K50" s="103">
        <v>3590</v>
      </c>
      <c r="L50" s="103">
        <v>3830</v>
      </c>
    </row>
    <row r="51" spans="2:12" x14ac:dyDescent="0.25">
      <c r="B51" s="76">
        <v>58</v>
      </c>
      <c r="C51" s="101"/>
      <c r="D51" s="101"/>
      <c r="E51" s="102"/>
      <c r="F51" s="76">
        <v>58</v>
      </c>
      <c r="G51" s="101"/>
      <c r="H51" s="101"/>
      <c r="J51" s="76">
        <v>58</v>
      </c>
      <c r="K51" s="103">
        <v>3660</v>
      </c>
      <c r="L51" s="103">
        <v>3900</v>
      </c>
    </row>
    <row r="52" spans="2:12" x14ac:dyDescent="0.25">
      <c r="B52" s="76">
        <v>59</v>
      </c>
      <c r="C52" s="101"/>
      <c r="D52" s="101"/>
      <c r="E52" s="102"/>
      <c r="F52" s="76">
        <v>59</v>
      </c>
      <c r="G52" s="101"/>
      <c r="H52" s="101"/>
      <c r="J52" s="76">
        <v>59</v>
      </c>
      <c r="K52" s="103">
        <v>3720</v>
      </c>
      <c r="L52" s="103">
        <v>3960</v>
      </c>
    </row>
    <row r="53" spans="2:12" x14ac:dyDescent="0.25">
      <c r="B53" s="104">
        <v>60</v>
      </c>
      <c r="C53" s="105"/>
      <c r="D53" s="105"/>
      <c r="E53" s="102"/>
      <c r="F53" s="104">
        <v>60</v>
      </c>
      <c r="G53" s="105"/>
      <c r="H53" s="105"/>
      <c r="J53" s="104">
        <v>60</v>
      </c>
      <c r="K53" s="103">
        <v>3790</v>
      </c>
      <c r="L53" s="103">
        <v>4030</v>
      </c>
    </row>
    <row r="54" spans="2:12" x14ac:dyDescent="0.25">
      <c r="B54" s="104">
        <v>61</v>
      </c>
      <c r="C54" s="105"/>
      <c r="D54" s="105"/>
      <c r="E54" s="102"/>
      <c r="F54" s="104">
        <v>61</v>
      </c>
      <c r="G54" s="105"/>
      <c r="H54" s="105"/>
      <c r="J54" s="104">
        <v>61</v>
      </c>
      <c r="K54" s="103">
        <v>3860</v>
      </c>
      <c r="L54" s="103">
        <v>4100</v>
      </c>
    </row>
    <row r="55" spans="2:12" x14ac:dyDescent="0.25">
      <c r="B55" s="104">
        <v>62</v>
      </c>
      <c r="C55" s="105"/>
      <c r="D55" s="105"/>
      <c r="E55" s="102"/>
      <c r="F55" s="104">
        <v>62</v>
      </c>
      <c r="G55" s="105"/>
      <c r="H55" s="105"/>
      <c r="J55" s="104">
        <v>62</v>
      </c>
      <c r="K55" s="103">
        <v>3940</v>
      </c>
      <c r="L55" s="103">
        <v>4180</v>
      </c>
    </row>
    <row r="56" spans="2:12" x14ac:dyDescent="0.25">
      <c r="B56" s="104">
        <v>63</v>
      </c>
      <c r="C56" s="105"/>
      <c r="D56" s="105"/>
      <c r="E56" s="102"/>
      <c r="F56" s="104">
        <v>63</v>
      </c>
      <c r="G56" s="105"/>
      <c r="H56" s="105"/>
      <c r="J56" s="104">
        <v>63</v>
      </c>
      <c r="K56" s="103">
        <v>4020</v>
      </c>
      <c r="L56" s="103">
        <v>4260</v>
      </c>
    </row>
    <row r="57" spans="2:12" x14ac:dyDescent="0.25">
      <c r="B57" s="104">
        <v>64</v>
      </c>
      <c r="C57" s="105"/>
      <c r="D57" s="105"/>
      <c r="E57" s="102"/>
      <c r="F57" s="104">
        <v>64</v>
      </c>
      <c r="G57" s="105"/>
      <c r="H57" s="105"/>
      <c r="J57" s="104">
        <v>64</v>
      </c>
      <c r="K57" s="103">
        <v>4100</v>
      </c>
      <c r="L57" s="103">
        <v>4340</v>
      </c>
    </row>
    <row r="58" spans="2:12" x14ac:dyDescent="0.25">
      <c r="B58" s="104"/>
      <c r="C58" s="102"/>
      <c r="D58" s="102"/>
      <c r="E58" s="102"/>
      <c r="F58" s="104"/>
      <c r="G58" s="102"/>
      <c r="H58" s="102"/>
      <c r="J58" s="104">
        <v>65</v>
      </c>
      <c r="K58" s="103">
        <v>4190</v>
      </c>
      <c r="L58" s="103">
        <v>4430</v>
      </c>
    </row>
  </sheetData>
  <mergeCells count="3">
    <mergeCell ref="K8:L8"/>
    <mergeCell ref="C8:D8"/>
    <mergeCell ref="G8:H8"/>
  </mergeCells>
  <conditionalFormatting sqref="K9:L58">
    <cfRule type="expression" dxfId="45" priority="1" stopIfTrue="1">
      <formula>MOD(ROW(),2)=0</formula>
    </cfRule>
    <cfRule type="expression" dxfId="44" priority="2" stopIfTrue="1">
      <formula>MOD(ROW(),2)&lt;&gt;0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301BE-A89A-4B13-9F9B-A5B919C5D5C3}">
  <sheetPr codeName="Sheet9"/>
  <dimension ref="A2:AQ55"/>
  <sheetViews>
    <sheetView topLeftCell="R1" workbookViewId="0">
      <selection activeCell="C16" sqref="C16"/>
    </sheetView>
  </sheetViews>
  <sheetFormatPr defaultColWidth="9.140625" defaultRowHeight="15" x14ac:dyDescent="0.25"/>
  <cols>
    <col min="1" max="1" width="14.28515625" style="16" customWidth="1"/>
    <col min="2" max="22" width="9.140625" style="16"/>
    <col min="23" max="23" width="14.28515625" style="16" customWidth="1"/>
    <col min="24" max="16384" width="9.140625" style="16"/>
  </cols>
  <sheetData>
    <row r="2" spans="1:43" x14ac:dyDescent="0.25">
      <c r="A2" s="17" t="s">
        <v>152</v>
      </c>
      <c r="J2" s="16" t="s">
        <v>153</v>
      </c>
      <c r="W2" s="17" t="s">
        <v>152</v>
      </c>
    </row>
    <row r="3" spans="1:43" ht="21" x14ac:dyDescent="0.35">
      <c r="A3" s="17" t="s">
        <v>154</v>
      </c>
      <c r="W3" s="17" t="s">
        <v>155</v>
      </c>
      <c r="AG3" s="16" t="s">
        <v>156</v>
      </c>
    </row>
    <row r="4" spans="1:43" ht="15.75" thickBot="1" x14ac:dyDescent="0.3"/>
    <row r="5" spans="1:43" ht="51" customHeight="1" thickBot="1" x14ac:dyDescent="0.3">
      <c r="A5" s="19" t="s">
        <v>157</v>
      </c>
      <c r="B5" s="212" t="s">
        <v>158</v>
      </c>
      <c r="C5" s="212"/>
      <c r="D5" s="212"/>
      <c r="E5" s="212"/>
      <c r="F5" s="212"/>
      <c r="G5" s="212"/>
      <c r="H5" s="212"/>
      <c r="I5" s="212"/>
      <c r="J5" s="212"/>
      <c r="K5" s="212"/>
      <c r="L5" s="212"/>
      <c r="M5" s="212"/>
      <c r="N5" s="212"/>
      <c r="O5" s="212"/>
      <c r="P5" s="212"/>
      <c r="Q5" s="212"/>
      <c r="R5" s="212"/>
      <c r="S5" s="212"/>
      <c r="T5" s="212"/>
      <c r="U5" s="212"/>
      <c r="W5" s="19" t="s">
        <v>157</v>
      </c>
      <c r="X5" s="212" t="s">
        <v>158</v>
      </c>
      <c r="Y5" s="212"/>
      <c r="Z5" s="212"/>
      <c r="AA5" s="212"/>
      <c r="AB5" s="212"/>
      <c r="AC5" s="212"/>
      <c r="AD5" s="212"/>
      <c r="AE5" s="212"/>
      <c r="AF5" s="212"/>
      <c r="AG5" s="212"/>
      <c r="AH5" s="212"/>
      <c r="AI5" s="212"/>
      <c r="AJ5" s="212"/>
      <c r="AK5" s="212"/>
      <c r="AL5" s="212"/>
      <c r="AM5" s="212"/>
      <c r="AN5" s="212"/>
      <c r="AO5" s="212"/>
      <c r="AP5" s="212"/>
      <c r="AQ5" s="212"/>
    </row>
    <row r="6" spans="1:43" ht="39" customHeight="1" thickBot="1" x14ac:dyDescent="0.3">
      <c r="A6" s="68" t="s">
        <v>159</v>
      </c>
      <c r="B6" s="20">
        <v>1</v>
      </c>
      <c r="C6" s="20">
        <v>2</v>
      </c>
      <c r="D6" s="20">
        <v>3</v>
      </c>
      <c r="E6" s="20">
        <v>4</v>
      </c>
      <c r="F6" s="20">
        <v>5</v>
      </c>
      <c r="G6" s="20">
        <v>6</v>
      </c>
      <c r="H6" s="20">
        <v>7</v>
      </c>
      <c r="I6" s="20">
        <v>8</v>
      </c>
      <c r="J6" s="20">
        <v>9</v>
      </c>
      <c r="K6" s="20">
        <v>10</v>
      </c>
      <c r="L6" s="20">
        <v>11</v>
      </c>
      <c r="M6" s="20">
        <v>12</v>
      </c>
      <c r="N6" s="20">
        <v>13</v>
      </c>
      <c r="O6" s="20">
        <v>14</v>
      </c>
      <c r="P6" s="20">
        <v>15</v>
      </c>
      <c r="Q6" s="20">
        <v>16</v>
      </c>
      <c r="R6" s="20">
        <v>17</v>
      </c>
      <c r="S6" s="20">
        <v>18</v>
      </c>
      <c r="T6" s="20">
        <v>19</v>
      </c>
      <c r="U6" s="20">
        <v>20</v>
      </c>
      <c r="W6" s="68" t="s">
        <v>159</v>
      </c>
      <c r="X6" s="20">
        <v>1</v>
      </c>
      <c r="Y6" s="20">
        <v>2</v>
      </c>
      <c r="Z6" s="20">
        <v>3</v>
      </c>
      <c r="AA6" s="20">
        <v>4</v>
      </c>
      <c r="AB6" s="20">
        <v>5</v>
      </c>
      <c r="AC6" s="20">
        <v>6</v>
      </c>
      <c r="AD6" s="20">
        <v>7</v>
      </c>
      <c r="AE6" s="20">
        <v>8</v>
      </c>
      <c r="AF6" s="20">
        <v>9</v>
      </c>
      <c r="AG6" s="20">
        <v>10</v>
      </c>
      <c r="AH6" s="20">
        <v>11</v>
      </c>
      <c r="AI6" s="20">
        <v>12</v>
      </c>
      <c r="AJ6" s="20">
        <v>13</v>
      </c>
      <c r="AK6" s="20">
        <v>14</v>
      </c>
      <c r="AL6" s="20">
        <v>15</v>
      </c>
      <c r="AM6" s="20">
        <v>16</v>
      </c>
      <c r="AN6" s="20">
        <v>17</v>
      </c>
      <c r="AO6" s="20">
        <v>18</v>
      </c>
      <c r="AP6" s="20">
        <v>19</v>
      </c>
      <c r="AQ6" s="20">
        <v>20</v>
      </c>
    </row>
    <row r="7" spans="1:43" x14ac:dyDescent="0.25">
      <c r="A7" s="18">
        <v>16</v>
      </c>
      <c r="B7" s="93">
        <v>206.6</v>
      </c>
      <c r="C7" s="93">
        <v>105.4</v>
      </c>
      <c r="D7" s="93">
        <v>71.599999999999994</v>
      </c>
      <c r="E7" s="93">
        <v>54.8</v>
      </c>
      <c r="F7" s="93">
        <v>44.7</v>
      </c>
      <c r="G7" s="93">
        <v>38</v>
      </c>
      <c r="H7" s="93">
        <v>33.200000000000003</v>
      </c>
      <c r="I7" s="93">
        <v>29.6</v>
      </c>
      <c r="J7" s="93">
        <v>26.8</v>
      </c>
      <c r="K7" s="93">
        <v>24.6</v>
      </c>
      <c r="L7" s="93">
        <v>22.7</v>
      </c>
      <c r="M7" s="93">
        <v>21.2</v>
      </c>
      <c r="N7" s="93">
        <v>20</v>
      </c>
      <c r="O7" s="93">
        <v>18.899999999999999</v>
      </c>
      <c r="P7" s="93">
        <v>17.899999999999999</v>
      </c>
      <c r="Q7" s="93">
        <v>17.100000000000001</v>
      </c>
      <c r="R7" s="93">
        <v>16.399999999999999</v>
      </c>
      <c r="S7" s="93">
        <v>15.8</v>
      </c>
      <c r="T7" s="93">
        <v>15.2</v>
      </c>
      <c r="U7" s="93">
        <v>14.7</v>
      </c>
      <c r="W7" s="18">
        <v>16</v>
      </c>
      <c r="X7" s="93">
        <v>196.4</v>
      </c>
      <c r="Y7" s="93">
        <v>100.2</v>
      </c>
      <c r="Z7" s="93">
        <v>68.099999999999994</v>
      </c>
      <c r="AA7" s="93">
        <v>52.1</v>
      </c>
      <c r="AB7" s="93">
        <v>42.5</v>
      </c>
      <c r="AC7" s="93">
        <v>36.1</v>
      </c>
      <c r="AD7" s="93">
        <v>31.5</v>
      </c>
      <c r="AE7" s="93">
        <v>28.1</v>
      </c>
      <c r="AF7" s="93">
        <v>25.5</v>
      </c>
      <c r="AG7" s="93">
        <v>23.3</v>
      </c>
      <c r="AH7" s="93">
        <v>21.6</v>
      </c>
      <c r="AI7" s="93">
        <v>20.2</v>
      </c>
      <c r="AJ7" s="93">
        <v>19</v>
      </c>
      <c r="AK7" s="93">
        <v>17.899999999999999</v>
      </c>
      <c r="AL7" s="93">
        <v>17.100000000000001</v>
      </c>
      <c r="AM7" s="93">
        <v>16.3</v>
      </c>
      <c r="AN7" s="93">
        <v>15.6</v>
      </c>
      <c r="AO7" s="93">
        <v>15</v>
      </c>
      <c r="AP7" s="93">
        <v>14.5</v>
      </c>
      <c r="AQ7" s="93">
        <v>14</v>
      </c>
    </row>
    <row r="8" spans="1:43" x14ac:dyDescent="0.25">
      <c r="A8" s="18">
        <v>17</v>
      </c>
      <c r="B8" s="93">
        <v>210.6</v>
      </c>
      <c r="C8" s="93">
        <v>107.4</v>
      </c>
      <c r="D8" s="93">
        <v>73</v>
      </c>
      <c r="E8" s="93">
        <v>55.8</v>
      </c>
      <c r="F8" s="93">
        <v>45.5</v>
      </c>
      <c r="G8" s="93">
        <v>38.700000000000003</v>
      </c>
      <c r="H8" s="93">
        <v>33.799999999999997</v>
      </c>
      <c r="I8" s="93">
        <v>30.1</v>
      </c>
      <c r="J8" s="93">
        <v>27.3</v>
      </c>
      <c r="K8" s="93">
        <v>25</v>
      </c>
      <c r="L8" s="93">
        <v>23.2</v>
      </c>
      <c r="M8" s="93">
        <v>21.7</v>
      </c>
      <c r="N8" s="93">
        <v>20.399999999999999</v>
      </c>
      <c r="O8" s="93">
        <v>19.2</v>
      </c>
      <c r="P8" s="93">
        <v>18.3</v>
      </c>
      <c r="Q8" s="93">
        <v>17.5</v>
      </c>
      <c r="R8" s="93">
        <v>16.7</v>
      </c>
      <c r="S8" s="93">
        <v>16.100000000000001</v>
      </c>
      <c r="T8" s="93">
        <v>15.5</v>
      </c>
      <c r="U8" s="93">
        <v>15</v>
      </c>
      <c r="W8" s="18">
        <v>17</v>
      </c>
      <c r="X8" s="93">
        <v>200</v>
      </c>
      <c r="Y8" s="93">
        <v>102</v>
      </c>
      <c r="Z8" s="93">
        <v>69.3</v>
      </c>
      <c r="AA8" s="93">
        <v>53</v>
      </c>
      <c r="AB8" s="93">
        <v>43.2</v>
      </c>
      <c r="AC8" s="93">
        <v>36.700000000000003</v>
      </c>
      <c r="AD8" s="93">
        <v>32.1</v>
      </c>
      <c r="AE8" s="93">
        <v>28.6</v>
      </c>
      <c r="AF8" s="93">
        <v>25.9</v>
      </c>
      <c r="AG8" s="93">
        <v>23.8</v>
      </c>
      <c r="AH8" s="93">
        <v>22</v>
      </c>
      <c r="AI8" s="93">
        <v>20.6</v>
      </c>
      <c r="AJ8" s="93">
        <v>19.3</v>
      </c>
      <c r="AK8" s="93">
        <v>18.3</v>
      </c>
      <c r="AL8" s="93">
        <v>17.399999999999999</v>
      </c>
      <c r="AM8" s="93">
        <v>16.600000000000001</v>
      </c>
      <c r="AN8" s="93">
        <v>15.9</v>
      </c>
      <c r="AO8" s="93">
        <v>15.3</v>
      </c>
      <c r="AP8" s="93">
        <v>14.7</v>
      </c>
      <c r="AQ8" s="93">
        <v>14.2</v>
      </c>
    </row>
    <row r="9" spans="1:43" x14ac:dyDescent="0.25">
      <c r="A9" s="18">
        <v>18</v>
      </c>
      <c r="B9" s="93">
        <v>214.7</v>
      </c>
      <c r="C9" s="93">
        <v>109.5</v>
      </c>
      <c r="D9" s="93">
        <v>74.5</v>
      </c>
      <c r="E9" s="93">
        <v>56.9</v>
      </c>
      <c r="F9" s="93">
        <v>46.4</v>
      </c>
      <c r="G9" s="93">
        <v>39.5</v>
      </c>
      <c r="H9" s="93">
        <v>34.5</v>
      </c>
      <c r="I9" s="93">
        <v>30.7</v>
      </c>
      <c r="J9" s="93">
        <v>27.8</v>
      </c>
      <c r="K9" s="93">
        <v>25.5</v>
      </c>
      <c r="L9" s="93">
        <v>23.6</v>
      </c>
      <c r="M9" s="93">
        <v>22.1</v>
      </c>
      <c r="N9" s="93">
        <v>20.8</v>
      </c>
      <c r="O9" s="93">
        <v>19.600000000000001</v>
      </c>
      <c r="P9" s="93">
        <v>18.7</v>
      </c>
      <c r="Q9" s="93">
        <v>17.8</v>
      </c>
      <c r="R9" s="93">
        <v>17.100000000000001</v>
      </c>
      <c r="S9" s="93">
        <v>16.399999999999999</v>
      </c>
      <c r="T9" s="93">
        <v>15.8</v>
      </c>
      <c r="U9" s="93">
        <v>15.3</v>
      </c>
      <c r="W9" s="18">
        <v>18</v>
      </c>
      <c r="X9" s="93">
        <v>203.6</v>
      </c>
      <c r="Y9" s="93">
        <v>103.8</v>
      </c>
      <c r="Z9" s="93">
        <v>70.599999999999994</v>
      </c>
      <c r="AA9" s="93">
        <v>54</v>
      </c>
      <c r="AB9" s="93">
        <v>44</v>
      </c>
      <c r="AC9" s="93">
        <v>37.4</v>
      </c>
      <c r="AD9" s="93">
        <v>32.700000000000003</v>
      </c>
      <c r="AE9" s="93">
        <v>29.1</v>
      </c>
      <c r="AF9" s="93">
        <v>26.4</v>
      </c>
      <c r="AG9" s="93">
        <v>24.2</v>
      </c>
      <c r="AH9" s="93">
        <v>22.4</v>
      </c>
      <c r="AI9" s="93">
        <v>20.9</v>
      </c>
      <c r="AJ9" s="93">
        <v>19.7</v>
      </c>
      <c r="AK9" s="93">
        <v>18.600000000000001</v>
      </c>
      <c r="AL9" s="93">
        <v>17.7</v>
      </c>
      <c r="AM9" s="93">
        <v>16.899999999999999</v>
      </c>
      <c r="AN9" s="93">
        <v>16.2</v>
      </c>
      <c r="AO9" s="93">
        <v>15.6</v>
      </c>
      <c r="AP9" s="93">
        <v>15</v>
      </c>
      <c r="AQ9" s="93">
        <v>14.5</v>
      </c>
    </row>
    <row r="10" spans="1:43" x14ac:dyDescent="0.25">
      <c r="A10" s="18">
        <v>19</v>
      </c>
      <c r="B10" s="93">
        <v>218.8</v>
      </c>
      <c r="C10" s="93">
        <v>111.6</v>
      </c>
      <c r="D10" s="93">
        <v>75.900000000000006</v>
      </c>
      <c r="E10" s="93">
        <v>58</v>
      </c>
      <c r="F10" s="93">
        <v>47.3</v>
      </c>
      <c r="G10" s="93">
        <v>40.200000000000003</v>
      </c>
      <c r="H10" s="93">
        <v>35.1</v>
      </c>
      <c r="I10" s="93">
        <v>31.3</v>
      </c>
      <c r="J10" s="93">
        <v>28.4</v>
      </c>
      <c r="K10" s="93">
        <v>26</v>
      </c>
      <c r="L10" s="93">
        <v>24.1</v>
      </c>
      <c r="M10" s="93">
        <v>22.5</v>
      </c>
      <c r="N10" s="93">
        <v>21.2</v>
      </c>
      <c r="O10" s="93">
        <v>20</v>
      </c>
      <c r="P10" s="93">
        <v>19</v>
      </c>
      <c r="Q10" s="93">
        <v>18.100000000000001</v>
      </c>
      <c r="R10" s="93">
        <v>17.399999999999999</v>
      </c>
      <c r="S10" s="93">
        <v>16.7</v>
      </c>
      <c r="T10" s="93">
        <v>16.100000000000001</v>
      </c>
      <c r="U10" s="93">
        <v>15.6</v>
      </c>
      <c r="W10" s="18">
        <v>19</v>
      </c>
      <c r="X10" s="93">
        <v>207.3</v>
      </c>
      <c r="Y10" s="93">
        <v>105.7</v>
      </c>
      <c r="Z10" s="93">
        <v>71.900000000000006</v>
      </c>
      <c r="AA10" s="93">
        <v>55</v>
      </c>
      <c r="AB10" s="93">
        <v>44.8</v>
      </c>
      <c r="AC10" s="93">
        <v>38.1</v>
      </c>
      <c r="AD10" s="93">
        <v>33.299999999999997</v>
      </c>
      <c r="AE10" s="93">
        <v>29.7</v>
      </c>
      <c r="AF10" s="93">
        <v>26.9</v>
      </c>
      <c r="AG10" s="93">
        <v>24.7</v>
      </c>
      <c r="AH10" s="93">
        <v>22.8</v>
      </c>
      <c r="AI10" s="93">
        <v>21.3</v>
      </c>
      <c r="AJ10" s="93">
        <v>20</v>
      </c>
      <c r="AK10" s="93">
        <v>19</v>
      </c>
      <c r="AL10" s="93">
        <v>18</v>
      </c>
      <c r="AM10" s="93">
        <v>17.2</v>
      </c>
      <c r="AN10" s="93">
        <v>16.5</v>
      </c>
      <c r="AO10" s="93">
        <v>15.8</v>
      </c>
      <c r="AP10" s="93">
        <v>15.3</v>
      </c>
      <c r="AQ10" s="93">
        <v>14.8</v>
      </c>
    </row>
    <row r="11" spans="1:43" x14ac:dyDescent="0.25">
      <c r="A11" s="18">
        <v>20</v>
      </c>
      <c r="B11" s="93">
        <v>222.8</v>
      </c>
      <c r="C11" s="93">
        <v>113.6</v>
      </c>
      <c r="D11" s="93">
        <v>77.2</v>
      </c>
      <c r="E11" s="93">
        <v>59.1</v>
      </c>
      <c r="F11" s="93">
        <v>48.2</v>
      </c>
      <c r="G11" s="93">
        <v>40.9</v>
      </c>
      <c r="H11" s="93">
        <v>35.799999999999997</v>
      </c>
      <c r="I11" s="93">
        <v>31.9</v>
      </c>
      <c r="J11" s="93">
        <v>28.9</v>
      </c>
      <c r="K11" s="93">
        <v>26.5</v>
      </c>
      <c r="L11" s="93">
        <v>24.5</v>
      </c>
      <c r="M11" s="93">
        <v>22.9</v>
      </c>
      <c r="N11" s="93">
        <v>21.5</v>
      </c>
      <c r="O11" s="93">
        <v>20.399999999999999</v>
      </c>
      <c r="P11" s="93">
        <v>19.399999999999999</v>
      </c>
      <c r="Q11" s="93">
        <v>18.5</v>
      </c>
      <c r="R11" s="93">
        <v>17.7</v>
      </c>
      <c r="S11" s="93">
        <v>17</v>
      </c>
      <c r="T11" s="93">
        <v>16.399999999999999</v>
      </c>
      <c r="U11" s="93">
        <v>15.9</v>
      </c>
      <c r="W11" s="18">
        <v>20</v>
      </c>
      <c r="X11" s="93">
        <v>211.1</v>
      </c>
      <c r="Y11" s="93">
        <v>107.7</v>
      </c>
      <c r="Z11" s="93">
        <v>73.2</v>
      </c>
      <c r="AA11" s="93">
        <v>56</v>
      </c>
      <c r="AB11" s="93">
        <v>45.7</v>
      </c>
      <c r="AC11" s="93">
        <v>38.799999999999997</v>
      </c>
      <c r="AD11" s="93">
        <v>33.9</v>
      </c>
      <c r="AE11" s="93">
        <v>30.2</v>
      </c>
      <c r="AF11" s="93">
        <v>27.4</v>
      </c>
      <c r="AG11" s="93">
        <v>25.1</v>
      </c>
      <c r="AH11" s="93">
        <v>23.2</v>
      </c>
      <c r="AI11" s="93">
        <v>21.7</v>
      </c>
      <c r="AJ11" s="93">
        <v>20.399999999999999</v>
      </c>
      <c r="AK11" s="93">
        <v>19.3</v>
      </c>
      <c r="AL11" s="93">
        <v>18.3</v>
      </c>
      <c r="AM11" s="93">
        <v>17.5</v>
      </c>
      <c r="AN11" s="93">
        <v>16.8</v>
      </c>
      <c r="AO11" s="93">
        <v>16.100000000000001</v>
      </c>
      <c r="AP11" s="93">
        <v>15.6</v>
      </c>
      <c r="AQ11" s="93">
        <v>15</v>
      </c>
    </row>
    <row r="12" spans="1:43" x14ac:dyDescent="0.25">
      <c r="A12" s="18">
        <v>21</v>
      </c>
      <c r="B12" s="93">
        <v>226.8</v>
      </c>
      <c r="C12" s="93">
        <v>115.6</v>
      </c>
      <c r="D12" s="93">
        <v>78.599999999999994</v>
      </c>
      <c r="E12" s="93">
        <v>60.1</v>
      </c>
      <c r="F12" s="93">
        <v>49</v>
      </c>
      <c r="G12" s="93">
        <v>41.7</v>
      </c>
      <c r="H12" s="93">
        <v>36.4</v>
      </c>
      <c r="I12" s="93">
        <v>32.5</v>
      </c>
      <c r="J12" s="93">
        <v>29.4</v>
      </c>
      <c r="K12" s="93">
        <v>27</v>
      </c>
      <c r="L12" s="93">
        <v>25</v>
      </c>
      <c r="M12" s="93">
        <v>23.3</v>
      </c>
      <c r="N12" s="93">
        <v>21.9</v>
      </c>
      <c r="O12" s="93">
        <v>20.7</v>
      </c>
      <c r="P12" s="93">
        <v>19.7</v>
      </c>
      <c r="Q12" s="93">
        <v>18.8</v>
      </c>
      <c r="R12" s="93">
        <v>18</v>
      </c>
      <c r="S12" s="93">
        <v>17.3</v>
      </c>
      <c r="T12" s="93">
        <v>16.7</v>
      </c>
      <c r="U12" s="93">
        <v>16.2</v>
      </c>
      <c r="W12" s="18">
        <v>21</v>
      </c>
      <c r="X12" s="93">
        <v>214.9</v>
      </c>
      <c r="Y12" s="93">
        <v>109.6</v>
      </c>
      <c r="Z12" s="93">
        <v>74.5</v>
      </c>
      <c r="AA12" s="93">
        <v>57</v>
      </c>
      <c r="AB12" s="93">
        <v>46.5</v>
      </c>
      <c r="AC12" s="93">
        <v>39.5</v>
      </c>
      <c r="AD12" s="93">
        <v>34.5</v>
      </c>
      <c r="AE12" s="93">
        <v>30.8</v>
      </c>
      <c r="AF12" s="93">
        <v>27.9</v>
      </c>
      <c r="AG12" s="93">
        <v>25.6</v>
      </c>
      <c r="AH12" s="93">
        <v>23.7</v>
      </c>
      <c r="AI12" s="93">
        <v>22.1</v>
      </c>
      <c r="AJ12" s="93">
        <v>20.8</v>
      </c>
      <c r="AK12" s="93">
        <v>19.7</v>
      </c>
      <c r="AL12" s="93">
        <v>18.7</v>
      </c>
      <c r="AM12" s="93">
        <v>17.8</v>
      </c>
      <c r="AN12" s="93">
        <v>17.100000000000001</v>
      </c>
      <c r="AO12" s="93">
        <v>16.399999999999999</v>
      </c>
      <c r="AP12" s="93">
        <v>15.8</v>
      </c>
      <c r="AQ12" s="93">
        <v>15.3</v>
      </c>
    </row>
    <row r="13" spans="1:43" x14ac:dyDescent="0.25">
      <c r="A13" s="18">
        <v>22</v>
      </c>
      <c r="B13" s="93">
        <v>230.8</v>
      </c>
      <c r="C13" s="93">
        <v>117.7</v>
      </c>
      <c r="D13" s="93">
        <v>80</v>
      </c>
      <c r="E13" s="93">
        <v>61.2</v>
      </c>
      <c r="F13" s="93">
        <v>49.9</v>
      </c>
      <c r="G13" s="93">
        <v>42.4</v>
      </c>
      <c r="H13" s="93">
        <v>37.1</v>
      </c>
      <c r="I13" s="93">
        <v>33</v>
      </c>
      <c r="J13" s="93">
        <v>29.9</v>
      </c>
      <c r="K13" s="93">
        <v>27.4</v>
      </c>
      <c r="L13" s="93">
        <v>25.4</v>
      </c>
      <c r="M13" s="93">
        <v>23.7</v>
      </c>
      <c r="N13" s="93">
        <v>22.3</v>
      </c>
      <c r="O13" s="93">
        <v>21.1</v>
      </c>
      <c r="P13" s="93">
        <v>20.100000000000001</v>
      </c>
      <c r="Q13" s="93">
        <v>19.100000000000001</v>
      </c>
      <c r="R13" s="93">
        <v>18.3</v>
      </c>
      <c r="S13" s="93">
        <v>17.600000000000001</v>
      </c>
      <c r="T13" s="93">
        <v>17</v>
      </c>
      <c r="U13" s="93">
        <v>16.399999999999999</v>
      </c>
      <c r="W13" s="18">
        <v>22</v>
      </c>
      <c r="X13" s="93">
        <v>218.8</v>
      </c>
      <c r="Y13" s="93">
        <v>111.6</v>
      </c>
      <c r="Z13" s="93">
        <v>75.900000000000006</v>
      </c>
      <c r="AA13" s="93">
        <v>58</v>
      </c>
      <c r="AB13" s="93">
        <v>47.3</v>
      </c>
      <c r="AC13" s="93">
        <v>40.200000000000003</v>
      </c>
      <c r="AD13" s="93">
        <v>35.1</v>
      </c>
      <c r="AE13" s="93">
        <v>31.3</v>
      </c>
      <c r="AF13" s="93">
        <v>28.4</v>
      </c>
      <c r="AG13" s="93">
        <v>26</v>
      </c>
      <c r="AH13" s="93">
        <v>24.1</v>
      </c>
      <c r="AI13" s="93">
        <v>22.5</v>
      </c>
      <c r="AJ13" s="93">
        <v>21.2</v>
      </c>
      <c r="AK13" s="93">
        <v>20</v>
      </c>
      <c r="AL13" s="93">
        <v>19</v>
      </c>
      <c r="AM13" s="93">
        <v>18.100000000000001</v>
      </c>
      <c r="AN13" s="93">
        <v>17.399999999999999</v>
      </c>
      <c r="AO13" s="93">
        <v>16.7</v>
      </c>
      <c r="AP13" s="93">
        <v>16.100000000000001</v>
      </c>
      <c r="AQ13" s="93">
        <v>15.6</v>
      </c>
    </row>
    <row r="14" spans="1:43" x14ac:dyDescent="0.25">
      <c r="A14" s="18">
        <v>23</v>
      </c>
      <c r="B14" s="93">
        <v>234.9</v>
      </c>
      <c r="C14" s="93">
        <v>119.8</v>
      </c>
      <c r="D14" s="93">
        <v>81.5</v>
      </c>
      <c r="E14" s="93">
        <v>62.3</v>
      </c>
      <c r="F14" s="93">
        <v>50.8</v>
      </c>
      <c r="G14" s="93">
        <v>43.2</v>
      </c>
      <c r="H14" s="93">
        <v>37.700000000000003</v>
      </c>
      <c r="I14" s="93">
        <v>33.6</v>
      </c>
      <c r="J14" s="93">
        <v>30.5</v>
      </c>
      <c r="K14" s="93">
        <v>27.9</v>
      </c>
      <c r="L14" s="93">
        <v>25.9</v>
      </c>
      <c r="M14" s="93">
        <v>24.2</v>
      </c>
      <c r="N14" s="93">
        <v>22.7</v>
      </c>
      <c r="O14" s="93">
        <v>21.5</v>
      </c>
      <c r="P14" s="93">
        <v>20.399999999999999</v>
      </c>
      <c r="Q14" s="93">
        <v>19.5</v>
      </c>
      <c r="R14" s="93">
        <v>18.7</v>
      </c>
      <c r="S14" s="93">
        <v>18</v>
      </c>
      <c r="T14" s="93">
        <v>17.3</v>
      </c>
      <c r="U14" s="93">
        <v>16.7</v>
      </c>
      <c r="W14" s="18">
        <v>23</v>
      </c>
      <c r="X14" s="93">
        <v>222.7</v>
      </c>
      <c r="Y14" s="93">
        <v>113.6</v>
      </c>
      <c r="Z14" s="93">
        <v>77.2</v>
      </c>
      <c r="AA14" s="93">
        <v>59.1</v>
      </c>
      <c r="AB14" s="93">
        <v>48.2</v>
      </c>
      <c r="AC14" s="93">
        <v>40.9</v>
      </c>
      <c r="AD14" s="93">
        <v>35.799999999999997</v>
      </c>
      <c r="AE14" s="93">
        <v>31.9</v>
      </c>
      <c r="AF14" s="93">
        <v>28.9</v>
      </c>
      <c r="AG14" s="93">
        <v>26.5</v>
      </c>
      <c r="AH14" s="93">
        <v>24.5</v>
      </c>
      <c r="AI14" s="93">
        <v>22.9</v>
      </c>
      <c r="AJ14" s="93">
        <v>21.5</v>
      </c>
      <c r="AK14" s="93">
        <v>20.399999999999999</v>
      </c>
      <c r="AL14" s="93">
        <v>19.399999999999999</v>
      </c>
      <c r="AM14" s="93">
        <v>18.5</v>
      </c>
      <c r="AN14" s="93">
        <v>17.7</v>
      </c>
      <c r="AO14" s="93">
        <v>17</v>
      </c>
      <c r="AP14" s="93">
        <v>16.399999999999999</v>
      </c>
      <c r="AQ14" s="93">
        <v>15.9</v>
      </c>
    </row>
    <row r="15" spans="1:43" x14ac:dyDescent="0.25">
      <c r="A15" s="18">
        <v>24</v>
      </c>
      <c r="B15" s="93">
        <v>239.1</v>
      </c>
      <c r="C15" s="93">
        <v>121.9</v>
      </c>
      <c r="D15" s="93">
        <v>82.9</v>
      </c>
      <c r="E15" s="93">
        <v>63.4</v>
      </c>
      <c r="F15" s="93">
        <v>51.7</v>
      </c>
      <c r="G15" s="93">
        <v>43.9</v>
      </c>
      <c r="H15" s="93">
        <v>38.4</v>
      </c>
      <c r="I15" s="93">
        <v>34.200000000000003</v>
      </c>
      <c r="J15" s="93">
        <v>31</v>
      </c>
      <c r="K15" s="93">
        <v>28.4</v>
      </c>
      <c r="L15" s="93">
        <v>26.3</v>
      </c>
      <c r="M15" s="93">
        <v>24.6</v>
      </c>
      <c r="N15" s="93">
        <v>23.1</v>
      </c>
      <c r="O15" s="93">
        <v>21.9</v>
      </c>
      <c r="P15" s="93">
        <v>20.8</v>
      </c>
      <c r="Q15" s="93">
        <v>19.8</v>
      </c>
      <c r="R15" s="93">
        <v>19</v>
      </c>
      <c r="S15" s="93">
        <v>18.3</v>
      </c>
      <c r="T15" s="93">
        <v>17.600000000000001</v>
      </c>
      <c r="U15" s="93">
        <v>17</v>
      </c>
      <c r="W15" s="18">
        <v>24</v>
      </c>
      <c r="X15" s="93">
        <v>226.7</v>
      </c>
      <c r="Y15" s="93">
        <v>115.6</v>
      </c>
      <c r="Z15" s="93">
        <v>78.599999999999994</v>
      </c>
      <c r="AA15" s="93">
        <v>60.1</v>
      </c>
      <c r="AB15" s="93">
        <v>49</v>
      </c>
      <c r="AC15" s="93">
        <v>41.7</v>
      </c>
      <c r="AD15" s="93">
        <v>36.4</v>
      </c>
      <c r="AE15" s="93">
        <v>32.5</v>
      </c>
      <c r="AF15" s="93">
        <v>29.4</v>
      </c>
      <c r="AG15" s="93">
        <v>27</v>
      </c>
      <c r="AH15" s="93">
        <v>25</v>
      </c>
      <c r="AI15" s="93">
        <v>23.3</v>
      </c>
      <c r="AJ15" s="93">
        <v>21.9</v>
      </c>
      <c r="AK15" s="93">
        <v>20.7</v>
      </c>
      <c r="AL15" s="93">
        <v>19.7</v>
      </c>
      <c r="AM15" s="93">
        <v>18.8</v>
      </c>
      <c r="AN15" s="93">
        <v>18</v>
      </c>
      <c r="AO15" s="93">
        <v>17.3</v>
      </c>
      <c r="AP15" s="93">
        <v>16.7</v>
      </c>
      <c r="AQ15" s="93">
        <v>16.2</v>
      </c>
    </row>
    <row r="16" spans="1:43" x14ac:dyDescent="0.25">
      <c r="A16" s="18">
        <v>25</v>
      </c>
      <c r="B16" s="93">
        <v>243.3</v>
      </c>
      <c r="C16" s="93">
        <v>124.1</v>
      </c>
      <c r="D16" s="93">
        <v>84.4</v>
      </c>
      <c r="E16" s="93">
        <v>64.5</v>
      </c>
      <c r="F16" s="93">
        <v>52.6</v>
      </c>
      <c r="G16" s="93">
        <v>44.7</v>
      </c>
      <c r="H16" s="93">
        <v>39.1</v>
      </c>
      <c r="I16" s="93">
        <v>34.799999999999997</v>
      </c>
      <c r="J16" s="93">
        <v>31.6</v>
      </c>
      <c r="K16" s="93">
        <v>28.9</v>
      </c>
      <c r="L16" s="93">
        <v>26.8</v>
      </c>
      <c r="M16" s="93">
        <v>25</v>
      </c>
      <c r="N16" s="93">
        <v>23.5</v>
      </c>
      <c r="O16" s="93">
        <v>22.3</v>
      </c>
      <c r="P16" s="93">
        <v>21.2</v>
      </c>
      <c r="Q16" s="93">
        <v>20.2</v>
      </c>
      <c r="R16" s="93">
        <v>19.399999999999999</v>
      </c>
      <c r="S16" s="93">
        <v>18.600000000000001</v>
      </c>
      <c r="T16" s="93">
        <v>17.899999999999999</v>
      </c>
      <c r="U16" s="93">
        <v>17.399999999999999</v>
      </c>
      <c r="W16" s="18">
        <v>25</v>
      </c>
      <c r="X16" s="93">
        <v>230.7</v>
      </c>
      <c r="Y16" s="93">
        <v>117.7</v>
      </c>
      <c r="Z16" s="93">
        <v>80</v>
      </c>
      <c r="AA16" s="93">
        <v>61.2</v>
      </c>
      <c r="AB16" s="93">
        <v>49.9</v>
      </c>
      <c r="AC16" s="93">
        <v>42.4</v>
      </c>
      <c r="AD16" s="93">
        <v>37</v>
      </c>
      <c r="AE16" s="93">
        <v>33</v>
      </c>
      <c r="AF16" s="93">
        <v>29.9</v>
      </c>
      <c r="AG16" s="93">
        <v>27.4</v>
      </c>
      <c r="AH16" s="93">
        <v>25.4</v>
      </c>
      <c r="AI16" s="93">
        <v>23.7</v>
      </c>
      <c r="AJ16" s="93">
        <v>22.3</v>
      </c>
      <c r="AK16" s="93">
        <v>21.1</v>
      </c>
      <c r="AL16" s="93">
        <v>20.100000000000001</v>
      </c>
      <c r="AM16" s="93">
        <v>19.2</v>
      </c>
      <c r="AN16" s="93">
        <v>18.399999999999999</v>
      </c>
      <c r="AO16" s="93">
        <v>17.600000000000001</v>
      </c>
      <c r="AP16" s="93">
        <v>17</v>
      </c>
      <c r="AQ16" s="93">
        <v>16.5</v>
      </c>
    </row>
    <row r="17" spans="1:43" x14ac:dyDescent="0.25">
      <c r="A17" s="18">
        <v>26</v>
      </c>
      <c r="B17" s="93">
        <v>247.6</v>
      </c>
      <c r="C17" s="93">
        <v>126.3</v>
      </c>
      <c r="D17" s="93">
        <v>85.9</v>
      </c>
      <c r="E17" s="93">
        <v>65.7</v>
      </c>
      <c r="F17" s="93">
        <v>53.6</v>
      </c>
      <c r="G17" s="93">
        <v>45.5</v>
      </c>
      <c r="H17" s="93">
        <v>39.799999999999997</v>
      </c>
      <c r="I17" s="93">
        <v>35.5</v>
      </c>
      <c r="J17" s="93">
        <v>32.1</v>
      </c>
      <c r="K17" s="93">
        <v>29.5</v>
      </c>
      <c r="L17" s="93">
        <v>27.3</v>
      </c>
      <c r="M17" s="93">
        <v>25.5</v>
      </c>
      <c r="N17" s="93">
        <v>24</v>
      </c>
      <c r="O17" s="93">
        <v>22.7</v>
      </c>
      <c r="P17" s="93">
        <v>21.5</v>
      </c>
      <c r="Q17" s="93">
        <v>20.6</v>
      </c>
      <c r="R17" s="93">
        <v>19.7</v>
      </c>
      <c r="S17" s="93">
        <v>18.899999999999999</v>
      </c>
      <c r="T17" s="93">
        <v>18.3</v>
      </c>
      <c r="U17" s="93">
        <v>17.7</v>
      </c>
      <c r="W17" s="18">
        <v>26</v>
      </c>
      <c r="X17" s="93">
        <v>234.8</v>
      </c>
      <c r="Y17" s="93">
        <v>119.8</v>
      </c>
      <c r="Z17" s="93">
        <v>81.400000000000006</v>
      </c>
      <c r="AA17" s="93">
        <v>62.3</v>
      </c>
      <c r="AB17" s="93">
        <v>50.8</v>
      </c>
      <c r="AC17" s="93">
        <v>43.2</v>
      </c>
      <c r="AD17" s="93">
        <v>37.700000000000003</v>
      </c>
      <c r="AE17" s="93">
        <v>33.6</v>
      </c>
      <c r="AF17" s="93">
        <v>30.5</v>
      </c>
      <c r="AG17" s="93">
        <v>27.9</v>
      </c>
      <c r="AH17" s="93">
        <v>25.9</v>
      </c>
      <c r="AI17" s="93">
        <v>24.2</v>
      </c>
      <c r="AJ17" s="93">
        <v>22.7</v>
      </c>
      <c r="AK17" s="93">
        <v>21.5</v>
      </c>
      <c r="AL17" s="93">
        <v>20.399999999999999</v>
      </c>
      <c r="AM17" s="93">
        <v>19.5</v>
      </c>
      <c r="AN17" s="93">
        <v>18.7</v>
      </c>
      <c r="AO17" s="93">
        <v>18</v>
      </c>
      <c r="AP17" s="93">
        <v>17.3</v>
      </c>
      <c r="AQ17" s="93">
        <v>16.8</v>
      </c>
    </row>
    <row r="18" spans="1:43" x14ac:dyDescent="0.25">
      <c r="A18" s="18">
        <v>27</v>
      </c>
      <c r="B18" s="93">
        <v>252</v>
      </c>
      <c r="C18" s="93">
        <v>128.5</v>
      </c>
      <c r="D18" s="93">
        <v>87.4</v>
      </c>
      <c r="E18" s="93">
        <v>66.8</v>
      </c>
      <c r="F18" s="93">
        <v>54.5</v>
      </c>
      <c r="G18" s="93">
        <v>46.3</v>
      </c>
      <c r="H18" s="93">
        <v>40.5</v>
      </c>
      <c r="I18" s="93">
        <v>36.1</v>
      </c>
      <c r="J18" s="93">
        <v>32.700000000000003</v>
      </c>
      <c r="K18" s="93">
        <v>30</v>
      </c>
      <c r="L18" s="93">
        <v>27.8</v>
      </c>
      <c r="M18" s="93">
        <v>25.9</v>
      </c>
      <c r="N18" s="93">
        <v>24.4</v>
      </c>
      <c r="O18" s="93">
        <v>23.1</v>
      </c>
      <c r="P18" s="93">
        <v>21.9</v>
      </c>
      <c r="Q18" s="93">
        <v>20.9</v>
      </c>
      <c r="R18" s="93">
        <v>20.100000000000001</v>
      </c>
      <c r="S18" s="93">
        <v>19.3</v>
      </c>
      <c r="T18" s="93">
        <v>18.600000000000001</v>
      </c>
      <c r="U18" s="93">
        <v>18</v>
      </c>
      <c r="W18" s="18">
        <v>27</v>
      </c>
      <c r="X18" s="93">
        <v>239</v>
      </c>
      <c r="Y18" s="93">
        <v>121.9</v>
      </c>
      <c r="Z18" s="93">
        <v>82.9</v>
      </c>
      <c r="AA18" s="93">
        <v>63.4</v>
      </c>
      <c r="AB18" s="93">
        <v>51.7</v>
      </c>
      <c r="AC18" s="93">
        <v>43.9</v>
      </c>
      <c r="AD18" s="93">
        <v>38.4</v>
      </c>
      <c r="AE18" s="93">
        <v>34.200000000000003</v>
      </c>
      <c r="AF18" s="93">
        <v>31</v>
      </c>
      <c r="AG18" s="93">
        <v>28.4</v>
      </c>
      <c r="AH18" s="93">
        <v>26.3</v>
      </c>
      <c r="AI18" s="93">
        <v>24.6</v>
      </c>
      <c r="AJ18" s="93">
        <v>23.1</v>
      </c>
      <c r="AK18" s="93">
        <v>21.9</v>
      </c>
      <c r="AL18" s="93">
        <v>20.8</v>
      </c>
      <c r="AM18" s="93">
        <v>19.899999999999999</v>
      </c>
      <c r="AN18" s="93">
        <v>19</v>
      </c>
      <c r="AO18" s="93">
        <v>18.3</v>
      </c>
      <c r="AP18" s="93">
        <v>17.600000000000001</v>
      </c>
      <c r="AQ18" s="93">
        <v>17.100000000000001</v>
      </c>
    </row>
    <row r="19" spans="1:43" x14ac:dyDescent="0.25">
      <c r="A19" s="18">
        <v>28</v>
      </c>
      <c r="B19" s="93">
        <v>256.5</v>
      </c>
      <c r="C19" s="93">
        <v>130.80000000000001</v>
      </c>
      <c r="D19" s="93">
        <v>88.9</v>
      </c>
      <c r="E19" s="93">
        <v>68</v>
      </c>
      <c r="F19" s="93">
        <v>55.5</v>
      </c>
      <c r="G19" s="93">
        <v>47.1</v>
      </c>
      <c r="H19" s="93">
        <v>41.2</v>
      </c>
      <c r="I19" s="93">
        <v>36.700000000000003</v>
      </c>
      <c r="J19" s="93">
        <v>33.299999999999997</v>
      </c>
      <c r="K19" s="93">
        <v>30.5</v>
      </c>
      <c r="L19" s="93">
        <v>28.3</v>
      </c>
      <c r="M19" s="93">
        <v>26.4</v>
      </c>
      <c r="N19" s="93">
        <v>24.8</v>
      </c>
      <c r="O19" s="93">
        <v>23.5</v>
      </c>
      <c r="P19" s="93">
        <v>22.3</v>
      </c>
      <c r="Q19" s="93">
        <v>21.3</v>
      </c>
      <c r="R19" s="93">
        <v>20.399999999999999</v>
      </c>
      <c r="S19" s="93">
        <v>19.600000000000001</v>
      </c>
      <c r="T19" s="93">
        <v>18.899999999999999</v>
      </c>
      <c r="U19" s="93">
        <v>18.3</v>
      </c>
      <c r="W19" s="18">
        <v>28</v>
      </c>
      <c r="X19" s="93">
        <v>243.3</v>
      </c>
      <c r="Y19" s="93">
        <v>124.1</v>
      </c>
      <c r="Z19" s="93">
        <v>84.4</v>
      </c>
      <c r="AA19" s="93">
        <v>64.5</v>
      </c>
      <c r="AB19" s="93">
        <v>52.6</v>
      </c>
      <c r="AC19" s="93">
        <v>44.7</v>
      </c>
      <c r="AD19" s="93">
        <v>39.1</v>
      </c>
      <c r="AE19" s="93">
        <v>34.799999999999997</v>
      </c>
      <c r="AF19" s="93">
        <v>31.6</v>
      </c>
      <c r="AG19" s="93">
        <v>28.9</v>
      </c>
      <c r="AH19" s="93">
        <v>26.8</v>
      </c>
      <c r="AI19" s="93">
        <v>25</v>
      </c>
      <c r="AJ19" s="93">
        <v>23.5</v>
      </c>
      <c r="AK19" s="93">
        <v>22.3</v>
      </c>
      <c r="AL19" s="93">
        <v>21.2</v>
      </c>
      <c r="AM19" s="93">
        <v>20.2</v>
      </c>
      <c r="AN19" s="93">
        <v>19.399999999999999</v>
      </c>
      <c r="AO19" s="93">
        <v>18.600000000000001</v>
      </c>
      <c r="AP19" s="93">
        <v>18</v>
      </c>
      <c r="AQ19" s="93">
        <v>17.399999999999999</v>
      </c>
    </row>
    <row r="20" spans="1:43" x14ac:dyDescent="0.25">
      <c r="A20" s="18">
        <v>29</v>
      </c>
      <c r="B20" s="93">
        <v>261</v>
      </c>
      <c r="C20" s="93">
        <v>133.1</v>
      </c>
      <c r="D20" s="93">
        <v>90.5</v>
      </c>
      <c r="E20" s="93">
        <v>69.2</v>
      </c>
      <c r="F20" s="93">
        <v>56.5</v>
      </c>
      <c r="G20" s="93">
        <v>48</v>
      </c>
      <c r="H20" s="93">
        <v>41.9</v>
      </c>
      <c r="I20" s="93">
        <v>37.4</v>
      </c>
      <c r="J20" s="93">
        <v>33.9</v>
      </c>
      <c r="K20" s="93">
        <v>31.1</v>
      </c>
      <c r="L20" s="93">
        <v>28.8</v>
      </c>
      <c r="M20" s="93">
        <v>26.9</v>
      </c>
      <c r="N20" s="93">
        <v>25.3</v>
      </c>
      <c r="O20" s="93">
        <v>23.9</v>
      </c>
      <c r="P20" s="93">
        <v>22.7</v>
      </c>
      <c r="Q20" s="93">
        <v>21.7</v>
      </c>
      <c r="R20" s="93">
        <v>20.8</v>
      </c>
      <c r="S20" s="93">
        <v>20</v>
      </c>
      <c r="T20" s="93">
        <v>19.3</v>
      </c>
      <c r="U20" s="93">
        <v>18.600000000000001</v>
      </c>
      <c r="W20" s="18">
        <v>29</v>
      </c>
      <c r="X20" s="93">
        <v>247.6</v>
      </c>
      <c r="Y20" s="93">
        <v>126.3</v>
      </c>
      <c r="Z20" s="93">
        <v>85.9</v>
      </c>
      <c r="AA20" s="93">
        <v>65.7</v>
      </c>
      <c r="AB20" s="93">
        <v>53.6</v>
      </c>
      <c r="AC20" s="93">
        <v>45.5</v>
      </c>
      <c r="AD20" s="93">
        <v>39.799999999999997</v>
      </c>
      <c r="AE20" s="93">
        <v>35.5</v>
      </c>
      <c r="AF20" s="93">
        <v>32.1</v>
      </c>
      <c r="AG20" s="93">
        <v>29.5</v>
      </c>
      <c r="AH20" s="93">
        <v>27.3</v>
      </c>
      <c r="AI20" s="93">
        <v>25.5</v>
      </c>
      <c r="AJ20" s="93">
        <v>24</v>
      </c>
      <c r="AK20" s="93">
        <v>22.7</v>
      </c>
      <c r="AL20" s="93">
        <v>21.6</v>
      </c>
      <c r="AM20" s="93">
        <v>20.6</v>
      </c>
      <c r="AN20" s="93">
        <v>19.7</v>
      </c>
      <c r="AO20" s="93">
        <v>19</v>
      </c>
      <c r="AP20" s="93">
        <v>18.3</v>
      </c>
      <c r="AQ20" s="93">
        <v>17.7</v>
      </c>
    </row>
    <row r="21" spans="1:43" x14ac:dyDescent="0.25">
      <c r="A21" s="18">
        <v>30</v>
      </c>
      <c r="B21" s="93">
        <v>265.60000000000002</v>
      </c>
      <c r="C21" s="93">
        <v>135.5</v>
      </c>
      <c r="D21" s="93">
        <v>92.1</v>
      </c>
      <c r="E21" s="93">
        <v>70.5</v>
      </c>
      <c r="F21" s="93">
        <v>57.5</v>
      </c>
      <c r="G21" s="93">
        <v>48.8</v>
      </c>
      <c r="H21" s="93">
        <v>42.7</v>
      </c>
      <c r="I21" s="93">
        <v>38.1</v>
      </c>
      <c r="J21" s="93">
        <v>34.5</v>
      </c>
      <c r="K21" s="93">
        <v>31.6</v>
      </c>
      <c r="L21" s="93">
        <v>29.3</v>
      </c>
      <c r="M21" s="93">
        <v>27.4</v>
      </c>
      <c r="N21" s="93">
        <v>25.7</v>
      </c>
      <c r="O21" s="93">
        <v>24.3</v>
      </c>
      <c r="P21" s="93">
        <v>23.1</v>
      </c>
      <c r="Q21" s="93">
        <v>22.1</v>
      </c>
      <c r="R21" s="93">
        <v>21.2</v>
      </c>
      <c r="S21" s="93">
        <v>20.399999999999999</v>
      </c>
      <c r="T21" s="93">
        <v>19.600000000000001</v>
      </c>
      <c r="U21" s="93">
        <v>19</v>
      </c>
      <c r="W21" s="18">
        <v>30</v>
      </c>
      <c r="X21" s="93">
        <v>252</v>
      </c>
      <c r="Y21" s="93">
        <v>128.5</v>
      </c>
      <c r="Z21" s="93">
        <v>87.4</v>
      </c>
      <c r="AA21" s="93">
        <v>66.8</v>
      </c>
      <c r="AB21" s="93">
        <v>54.5</v>
      </c>
      <c r="AC21" s="93">
        <v>46.3</v>
      </c>
      <c r="AD21" s="93">
        <v>40.5</v>
      </c>
      <c r="AE21" s="93">
        <v>36.1</v>
      </c>
      <c r="AF21" s="93">
        <v>32.700000000000003</v>
      </c>
      <c r="AG21" s="93">
        <v>30</v>
      </c>
      <c r="AH21" s="93">
        <v>27.8</v>
      </c>
      <c r="AI21" s="93">
        <v>26</v>
      </c>
      <c r="AJ21" s="93">
        <v>24.4</v>
      </c>
      <c r="AK21" s="93">
        <v>23.1</v>
      </c>
      <c r="AL21" s="93">
        <v>21.9</v>
      </c>
      <c r="AM21" s="93">
        <v>21</v>
      </c>
      <c r="AN21" s="93">
        <v>20.100000000000001</v>
      </c>
      <c r="AO21" s="93">
        <v>19.3</v>
      </c>
      <c r="AP21" s="93">
        <v>18.600000000000001</v>
      </c>
      <c r="AQ21" s="93">
        <v>18</v>
      </c>
    </row>
    <row r="22" spans="1:43" x14ac:dyDescent="0.25">
      <c r="A22" s="18">
        <v>31</v>
      </c>
      <c r="B22" s="93">
        <v>270.3</v>
      </c>
      <c r="C22" s="93">
        <v>137.9</v>
      </c>
      <c r="D22" s="93">
        <v>93.8</v>
      </c>
      <c r="E22" s="93">
        <v>71.7</v>
      </c>
      <c r="F22" s="93">
        <v>58.5</v>
      </c>
      <c r="G22" s="93">
        <v>49.7</v>
      </c>
      <c r="H22" s="93">
        <v>43.4</v>
      </c>
      <c r="I22" s="93">
        <v>38.700000000000003</v>
      </c>
      <c r="J22" s="93">
        <v>35.1</v>
      </c>
      <c r="K22" s="93">
        <v>32.200000000000003</v>
      </c>
      <c r="L22" s="93">
        <v>29.8</v>
      </c>
      <c r="M22" s="93">
        <v>27.9</v>
      </c>
      <c r="N22" s="93">
        <v>26.2</v>
      </c>
      <c r="O22" s="93">
        <v>24.8</v>
      </c>
      <c r="P22" s="93">
        <v>23.6</v>
      </c>
      <c r="Q22" s="93">
        <v>22.5</v>
      </c>
      <c r="R22" s="93">
        <v>21.6</v>
      </c>
      <c r="S22" s="93">
        <v>20.7</v>
      </c>
      <c r="T22" s="93">
        <v>20</v>
      </c>
      <c r="U22" s="93">
        <v>19.3</v>
      </c>
      <c r="W22" s="18">
        <v>31</v>
      </c>
      <c r="X22" s="93">
        <v>256.5</v>
      </c>
      <c r="Y22" s="93">
        <v>130.80000000000001</v>
      </c>
      <c r="Z22" s="93">
        <v>88.9</v>
      </c>
      <c r="AA22" s="93">
        <v>68</v>
      </c>
      <c r="AB22" s="93">
        <v>55.5</v>
      </c>
      <c r="AC22" s="93">
        <v>47.2</v>
      </c>
      <c r="AD22" s="93">
        <v>41.2</v>
      </c>
      <c r="AE22" s="93">
        <v>36.799999999999997</v>
      </c>
      <c r="AF22" s="93">
        <v>33.299999999999997</v>
      </c>
      <c r="AG22" s="93">
        <v>30.5</v>
      </c>
      <c r="AH22" s="93">
        <v>28.3</v>
      </c>
      <c r="AI22" s="93">
        <v>26.4</v>
      </c>
      <c r="AJ22" s="93">
        <v>24.8</v>
      </c>
      <c r="AK22" s="93">
        <v>23.5</v>
      </c>
      <c r="AL22" s="93">
        <v>22.3</v>
      </c>
      <c r="AM22" s="93">
        <v>21.3</v>
      </c>
      <c r="AN22" s="93">
        <v>20.399999999999999</v>
      </c>
      <c r="AO22" s="93">
        <v>19.7</v>
      </c>
      <c r="AP22" s="93">
        <v>19</v>
      </c>
      <c r="AQ22" s="93">
        <v>18.3</v>
      </c>
    </row>
    <row r="23" spans="1:43" x14ac:dyDescent="0.25">
      <c r="A23" s="18">
        <v>32</v>
      </c>
      <c r="B23" s="93">
        <v>275.10000000000002</v>
      </c>
      <c r="C23" s="93">
        <v>140.30000000000001</v>
      </c>
      <c r="D23" s="93">
        <v>95.4</v>
      </c>
      <c r="E23" s="93">
        <v>73</v>
      </c>
      <c r="F23" s="93">
        <v>59.5</v>
      </c>
      <c r="G23" s="93">
        <v>50.6</v>
      </c>
      <c r="H23" s="93">
        <v>44.2</v>
      </c>
      <c r="I23" s="93">
        <v>39.4</v>
      </c>
      <c r="J23" s="93">
        <v>35.700000000000003</v>
      </c>
      <c r="K23" s="93">
        <v>32.799999999999997</v>
      </c>
      <c r="L23" s="93">
        <v>30.4</v>
      </c>
      <c r="M23" s="93">
        <v>28.4</v>
      </c>
      <c r="N23" s="93">
        <v>26.7</v>
      </c>
      <c r="O23" s="93">
        <v>25.2</v>
      </c>
      <c r="P23" s="93">
        <v>24</v>
      </c>
      <c r="Q23" s="93">
        <v>22.9</v>
      </c>
      <c r="R23" s="93">
        <v>21.9</v>
      </c>
      <c r="S23" s="93">
        <v>21.1</v>
      </c>
      <c r="T23" s="93">
        <v>20.399999999999999</v>
      </c>
      <c r="U23" s="93">
        <v>19.7</v>
      </c>
      <c r="W23" s="18">
        <v>32</v>
      </c>
      <c r="X23" s="93">
        <v>261</v>
      </c>
      <c r="Y23" s="93">
        <v>133.1</v>
      </c>
      <c r="Z23" s="93">
        <v>90.5</v>
      </c>
      <c r="AA23" s="93">
        <v>69.2</v>
      </c>
      <c r="AB23" s="93">
        <v>56.5</v>
      </c>
      <c r="AC23" s="93">
        <v>48</v>
      </c>
      <c r="AD23" s="93">
        <v>41.9</v>
      </c>
      <c r="AE23" s="93">
        <v>37.4</v>
      </c>
      <c r="AF23" s="93">
        <v>33.9</v>
      </c>
      <c r="AG23" s="93">
        <v>31.1</v>
      </c>
      <c r="AH23" s="93">
        <v>28.8</v>
      </c>
      <c r="AI23" s="93">
        <v>26.9</v>
      </c>
      <c r="AJ23" s="93">
        <v>25.3</v>
      </c>
      <c r="AK23" s="93">
        <v>23.9</v>
      </c>
      <c r="AL23" s="93">
        <v>22.8</v>
      </c>
      <c r="AM23" s="93">
        <v>21.7</v>
      </c>
      <c r="AN23" s="93">
        <v>20.8</v>
      </c>
      <c r="AO23" s="93">
        <v>20</v>
      </c>
      <c r="AP23" s="93">
        <v>19.3</v>
      </c>
      <c r="AQ23" s="93">
        <v>18.7</v>
      </c>
    </row>
    <row r="24" spans="1:43" x14ac:dyDescent="0.25">
      <c r="A24" s="18">
        <v>33</v>
      </c>
      <c r="B24" s="93">
        <v>280</v>
      </c>
      <c r="C24" s="93">
        <v>142.80000000000001</v>
      </c>
      <c r="D24" s="93">
        <v>97.1</v>
      </c>
      <c r="E24" s="93">
        <v>74.3</v>
      </c>
      <c r="F24" s="93">
        <v>60.6</v>
      </c>
      <c r="G24" s="93">
        <v>51.5</v>
      </c>
      <c r="H24" s="93">
        <v>45</v>
      </c>
      <c r="I24" s="93">
        <v>40.1</v>
      </c>
      <c r="J24" s="93">
        <v>36.4</v>
      </c>
      <c r="K24" s="93">
        <v>33.4</v>
      </c>
      <c r="L24" s="93">
        <v>30.9</v>
      </c>
      <c r="M24" s="93">
        <v>28.9</v>
      </c>
      <c r="N24" s="93">
        <v>27.1</v>
      </c>
      <c r="O24" s="93">
        <v>25.7</v>
      </c>
      <c r="P24" s="93">
        <v>24.4</v>
      </c>
      <c r="Q24" s="93">
        <v>23.3</v>
      </c>
      <c r="R24" s="93">
        <v>22.3</v>
      </c>
      <c r="S24" s="93">
        <v>21.5</v>
      </c>
      <c r="T24" s="93">
        <v>20.7</v>
      </c>
      <c r="U24" s="93">
        <v>20</v>
      </c>
      <c r="W24" s="18">
        <v>33</v>
      </c>
      <c r="X24" s="93">
        <v>265.7</v>
      </c>
      <c r="Y24" s="93">
        <v>135.5</v>
      </c>
      <c r="Z24" s="93">
        <v>92.2</v>
      </c>
      <c r="AA24" s="93">
        <v>70.5</v>
      </c>
      <c r="AB24" s="93">
        <v>57.5</v>
      </c>
      <c r="AC24" s="93">
        <v>48.9</v>
      </c>
      <c r="AD24" s="93">
        <v>42.7</v>
      </c>
      <c r="AE24" s="93">
        <v>38.1</v>
      </c>
      <c r="AF24" s="93">
        <v>34.5</v>
      </c>
      <c r="AG24" s="93">
        <v>31.7</v>
      </c>
      <c r="AH24" s="93">
        <v>29.3</v>
      </c>
      <c r="AI24" s="93">
        <v>27.4</v>
      </c>
      <c r="AJ24" s="93">
        <v>25.8</v>
      </c>
      <c r="AK24" s="93">
        <v>24.4</v>
      </c>
      <c r="AL24" s="93">
        <v>23.2</v>
      </c>
      <c r="AM24" s="93">
        <v>22.1</v>
      </c>
      <c r="AN24" s="93">
        <v>21.2</v>
      </c>
      <c r="AO24" s="93">
        <v>20.399999999999999</v>
      </c>
      <c r="AP24" s="93">
        <v>19.7</v>
      </c>
      <c r="AQ24" s="93">
        <v>19</v>
      </c>
    </row>
    <row r="25" spans="1:43" x14ac:dyDescent="0.25">
      <c r="A25" s="18">
        <v>34</v>
      </c>
      <c r="B25" s="93">
        <v>285</v>
      </c>
      <c r="C25" s="93">
        <v>145.4</v>
      </c>
      <c r="D25" s="93">
        <v>98.8</v>
      </c>
      <c r="E25" s="93">
        <v>75.599999999999994</v>
      </c>
      <c r="F25" s="93">
        <v>61.7</v>
      </c>
      <c r="G25" s="93">
        <v>52.4</v>
      </c>
      <c r="H25" s="93">
        <v>45.8</v>
      </c>
      <c r="I25" s="93">
        <v>40.9</v>
      </c>
      <c r="J25" s="93">
        <v>37</v>
      </c>
      <c r="K25" s="93">
        <v>34</v>
      </c>
      <c r="L25" s="93">
        <v>31.5</v>
      </c>
      <c r="M25" s="93">
        <v>29.4</v>
      </c>
      <c r="N25" s="93">
        <v>27.6</v>
      </c>
      <c r="O25" s="93">
        <v>26.1</v>
      </c>
      <c r="P25" s="93">
        <v>24.9</v>
      </c>
      <c r="Q25" s="93">
        <v>23.7</v>
      </c>
      <c r="R25" s="93">
        <v>22.8</v>
      </c>
      <c r="S25" s="93">
        <v>21.9</v>
      </c>
      <c r="T25" s="93">
        <v>21.1</v>
      </c>
      <c r="U25" s="93">
        <v>20.399999999999999</v>
      </c>
      <c r="W25" s="18">
        <v>34</v>
      </c>
      <c r="X25" s="93">
        <v>270.5</v>
      </c>
      <c r="Y25" s="93">
        <v>138</v>
      </c>
      <c r="Z25" s="93">
        <v>93.8</v>
      </c>
      <c r="AA25" s="93">
        <v>71.8</v>
      </c>
      <c r="AB25" s="93">
        <v>58.5</v>
      </c>
      <c r="AC25" s="93">
        <v>49.7</v>
      </c>
      <c r="AD25" s="93">
        <v>43.5</v>
      </c>
      <c r="AE25" s="93">
        <v>38.799999999999997</v>
      </c>
      <c r="AF25" s="93">
        <v>35.1</v>
      </c>
      <c r="AG25" s="93">
        <v>32.200000000000003</v>
      </c>
      <c r="AH25" s="93">
        <v>29.9</v>
      </c>
      <c r="AI25" s="93">
        <v>27.9</v>
      </c>
      <c r="AJ25" s="93">
        <v>26.2</v>
      </c>
      <c r="AK25" s="93">
        <v>24.8</v>
      </c>
      <c r="AL25" s="93">
        <v>23.6</v>
      </c>
      <c r="AM25" s="93">
        <v>22.5</v>
      </c>
      <c r="AN25" s="93">
        <v>21.6</v>
      </c>
      <c r="AO25" s="93">
        <v>20.8</v>
      </c>
      <c r="AP25" s="93">
        <v>20</v>
      </c>
      <c r="AQ25" s="93">
        <v>19.399999999999999</v>
      </c>
    </row>
    <row r="26" spans="1:43" x14ac:dyDescent="0.25">
      <c r="A26" s="18">
        <v>35</v>
      </c>
      <c r="B26" s="93">
        <v>290.10000000000002</v>
      </c>
      <c r="C26" s="93">
        <v>148</v>
      </c>
      <c r="D26" s="93">
        <v>100.6</v>
      </c>
      <c r="E26" s="93">
        <v>77</v>
      </c>
      <c r="F26" s="93">
        <v>62.8</v>
      </c>
      <c r="G26" s="93">
        <v>53.4</v>
      </c>
      <c r="H26" s="93">
        <v>46.6</v>
      </c>
      <c r="I26" s="93">
        <v>41.6</v>
      </c>
      <c r="J26" s="93">
        <v>37.700000000000003</v>
      </c>
      <c r="K26" s="93">
        <v>34.6</v>
      </c>
      <c r="L26" s="93">
        <v>32</v>
      </c>
      <c r="M26" s="93">
        <v>29.9</v>
      </c>
      <c r="N26" s="93">
        <v>28.1</v>
      </c>
      <c r="O26" s="93">
        <v>26.6</v>
      </c>
      <c r="P26" s="93">
        <v>25.3</v>
      </c>
      <c r="Q26" s="93">
        <v>24.2</v>
      </c>
      <c r="R26" s="93">
        <v>23.2</v>
      </c>
      <c r="S26" s="93">
        <v>22.3</v>
      </c>
      <c r="T26" s="93">
        <v>21.5</v>
      </c>
      <c r="U26" s="93">
        <v>20.8</v>
      </c>
      <c r="W26" s="18">
        <v>35</v>
      </c>
      <c r="X26" s="93">
        <v>275.3</v>
      </c>
      <c r="Y26" s="93">
        <v>140.4</v>
      </c>
      <c r="Z26" s="93">
        <v>95.5</v>
      </c>
      <c r="AA26" s="93">
        <v>73.099999999999994</v>
      </c>
      <c r="AB26" s="93">
        <v>59.6</v>
      </c>
      <c r="AC26" s="93">
        <v>50.7</v>
      </c>
      <c r="AD26" s="93">
        <v>44.3</v>
      </c>
      <c r="AE26" s="93">
        <v>39.5</v>
      </c>
      <c r="AF26" s="93">
        <v>35.799999999999997</v>
      </c>
      <c r="AG26" s="93">
        <v>32.799999999999997</v>
      </c>
      <c r="AH26" s="93">
        <v>30.4</v>
      </c>
      <c r="AI26" s="93">
        <v>28.4</v>
      </c>
      <c r="AJ26" s="93">
        <v>26.7</v>
      </c>
      <c r="AK26" s="93">
        <v>25.3</v>
      </c>
      <c r="AL26" s="93">
        <v>24</v>
      </c>
      <c r="AM26" s="93">
        <v>22.9</v>
      </c>
      <c r="AN26" s="93">
        <v>22</v>
      </c>
      <c r="AO26" s="93">
        <v>21.2</v>
      </c>
      <c r="AP26" s="93">
        <v>20.399999999999999</v>
      </c>
      <c r="AQ26" s="93">
        <v>19.8</v>
      </c>
    </row>
    <row r="27" spans="1:43" x14ac:dyDescent="0.25">
      <c r="A27" s="18">
        <v>36</v>
      </c>
      <c r="B27" s="93">
        <v>295.3</v>
      </c>
      <c r="C27" s="93">
        <v>150.6</v>
      </c>
      <c r="D27" s="93">
        <v>102.4</v>
      </c>
      <c r="E27" s="93">
        <v>78.400000000000006</v>
      </c>
      <c r="F27" s="93">
        <v>63.9</v>
      </c>
      <c r="G27" s="93">
        <v>54.3</v>
      </c>
      <c r="H27" s="93">
        <v>47.5</v>
      </c>
      <c r="I27" s="93">
        <v>42.4</v>
      </c>
      <c r="J27" s="93">
        <v>38.4</v>
      </c>
      <c r="K27" s="93">
        <v>35.200000000000003</v>
      </c>
      <c r="L27" s="93">
        <v>32.6</v>
      </c>
      <c r="M27" s="93">
        <v>30.5</v>
      </c>
      <c r="N27" s="93">
        <v>28.7</v>
      </c>
      <c r="O27" s="93">
        <v>27.1</v>
      </c>
      <c r="P27" s="93">
        <v>25.8</v>
      </c>
      <c r="Q27" s="93">
        <v>24.6</v>
      </c>
      <c r="R27" s="93">
        <v>23.6</v>
      </c>
      <c r="S27" s="93">
        <v>22.7</v>
      </c>
      <c r="T27" s="93">
        <v>21.9</v>
      </c>
      <c r="U27" s="93">
        <v>21.2</v>
      </c>
      <c r="W27" s="18">
        <v>36</v>
      </c>
      <c r="X27" s="93">
        <v>280.3</v>
      </c>
      <c r="Y27" s="93">
        <v>143</v>
      </c>
      <c r="Z27" s="93">
        <v>97.2</v>
      </c>
      <c r="AA27" s="93">
        <v>74.400000000000006</v>
      </c>
      <c r="AB27" s="93">
        <v>60.7</v>
      </c>
      <c r="AC27" s="93">
        <v>51.6</v>
      </c>
      <c r="AD27" s="93">
        <v>45.1</v>
      </c>
      <c r="AE27" s="93">
        <v>40.200000000000003</v>
      </c>
      <c r="AF27" s="93">
        <v>36.4</v>
      </c>
      <c r="AG27" s="93">
        <v>33.4</v>
      </c>
      <c r="AH27" s="93">
        <v>31</v>
      </c>
      <c r="AI27" s="93">
        <v>28.9</v>
      </c>
      <c r="AJ27" s="93">
        <v>27.2</v>
      </c>
      <c r="AK27" s="93">
        <v>25.7</v>
      </c>
      <c r="AL27" s="93">
        <v>24.5</v>
      </c>
      <c r="AM27" s="93">
        <v>23.4</v>
      </c>
      <c r="AN27" s="93">
        <v>22.4</v>
      </c>
      <c r="AO27" s="93">
        <v>21.6</v>
      </c>
      <c r="AP27" s="93">
        <v>20.8</v>
      </c>
      <c r="AQ27" s="93">
        <v>20.100000000000001</v>
      </c>
    </row>
    <row r="28" spans="1:43" x14ac:dyDescent="0.25">
      <c r="A28" s="18">
        <v>37</v>
      </c>
      <c r="B28" s="93">
        <v>300.60000000000002</v>
      </c>
      <c r="C28" s="93">
        <v>153.30000000000001</v>
      </c>
      <c r="D28" s="93">
        <v>104.3</v>
      </c>
      <c r="E28" s="93">
        <v>79.8</v>
      </c>
      <c r="F28" s="93">
        <v>65.099999999999994</v>
      </c>
      <c r="G28" s="93">
        <v>55.3</v>
      </c>
      <c r="H28" s="93">
        <v>48.3</v>
      </c>
      <c r="I28" s="93">
        <v>43.1</v>
      </c>
      <c r="J28" s="93">
        <v>39.1</v>
      </c>
      <c r="K28" s="93">
        <v>35.9</v>
      </c>
      <c r="L28" s="93">
        <v>33.200000000000003</v>
      </c>
      <c r="M28" s="93">
        <v>31</v>
      </c>
      <c r="N28" s="93">
        <v>29.2</v>
      </c>
      <c r="O28" s="93">
        <v>27.6</v>
      </c>
      <c r="P28" s="93">
        <v>26.3</v>
      </c>
      <c r="Q28" s="93">
        <v>25.1</v>
      </c>
      <c r="R28" s="93">
        <v>24.1</v>
      </c>
      <c r="S28" s="93">
        <v>23.1</v>
      </c>
      <c r="T28" s="93">
        <v>22.3</v>
      </c>
      <c r="U28" s="93">
        <v>21.6</v>
      </c>
      <c r="W28" s="18">
        <v>37</v>
      </c>
      <c r="X28" s="93">
        <v>285.39999999999998</v>
      </c>
      <c r="Y28" s="93">
        <v>145.6</v>
      </c>
      <c r="Z28" s="93">
        <v>99</v>
      </c>
      <c r="AA28" s="93">
        <v>75.7</v>
      </c>
      <c r="AB28" s="93">
        <v>61.8</v>
      </c>
      <c r="AC28" s="93">
        <v>52.5</v>
      </c>
      <c r="AD28" s="93">
        <v>45.9</v>
      </c>
      <c r="AE28" s="93">
        <v>41</v>
      </c>
      <c r="AF28" s="93">
        <v>37.1</v>
      </c>
      <c r="AG28" s="93">
        <v>34</v>
      </c>
      <c r="AH28" s="93">
        <v>31.5</v>
      </c>
      <c r="AI28" s="93">
        <v>29.5</v>
      </c>
      <c r="AJ28" s="93">
        <v>27.7</v>
      </c>
      <c r="AK28" s="93">
        <v>26.2</v>
      </c>
      <c r="AL28" s="93">
        <v>24.9</v>
      </c>
      <c r="AM28" s="93">
        <v>23.8</v>
      </c>
      <c r="AN28" s="93">
        <v>22.8</v>
      </c>
      <c r="AO28" s="93">
        <v>22</v>
      </c>
      <c r="AP28" s="93">
        <v>21.2</v>
      </c>
      <c r="AQ28" s="93">
        <v>20.5</v>
      </c>
    </row>
    <row r="29" spans="1:43" x14ac:dyDescent="0.25">
      <c r="A29" s="18">
        <v>38</v>
      </c>
      <c r="B29" s="93">
        <v>306</v>
      </c>
      <c r="C29" s="93">
        <v>156.1</v>
      </c>
      <c r="D29" s="93">
        <v>106.2</v>
      </c>
      <c r="E29" s="93">
        <v>81.2</v>
      </c>
      <c r="F29" s="93">
        <v>66.3</v>
      </c>
      <c r="G29" s="93">
        <v>56.3</v>
      </c>
      <c r="H29" s="93">
        <v>49.2</v>
      </c>
      <c r="I29" s="93">
        <v>43.9</v>
      </c>
      <c r="J29" s="93">
        <v>39.799999999999997</v>
      </c>
      <c r="K29" s="93">
        <v>36.5</v>
      </c>
      <c r="L29" s="93">
        <v>33.799999999999997</v>
      </c>
      <c r="M29" s="93">
        <v>31.6</v>
      </c>
      <c r="N29" s="93">
        <v>29.7</v>
      </c>
      <c r="O29" s="93">
        <v>28.1</v>
      </c>
      <c r="P29" s="93">
        <v>26.8</v>
      </c>
      <c r="Q29" s="93">
        <v>25.6</v>
      </c>
      <c r="R29" s="93">
        <v>24.5</v>
      </c>
      <c r="S29" s="93">
        <v>23.6</v>
      </c>
      <c r="T29" s="93">
        <v>22.8</v>
      </c>
      <c r="U29" s="93">
        <v>22</v>
      </c>
      <c r="W29" s="18">
        <v>38</v>
      </c>
      <c r="X29" s="93">
        <v>290.60000000000002</v>
      </c>
      <c r="Y29" s="93">
        <v>148.19999999999999</v>
      </c>
      <c r="Z29" s="93">
        <v>100.8</v>
      </c>
      <c r="AA29" s="93">
        <v>77.099999999999994</v>
      </c>
      <c r="AB29" s="93">
        <v>62.9</v>
      </c>
      <c r="AC29" s="93">
        <v>53.5</v>
      </c>
      <c r="AD29" s="93">
        <v>46.7</v>
      </c>
      <c r="AE29" s="93">
        <v>41.7</v>
      </c>
      <c r="AF29" s="93">
        <v>37.799999999999997</v>
      </c>
      <c r="AG29" s="93">
        <v>34.700000000000003</v>
      </c>
      <c r="AH29" s="93">
        <v>32.1</v>
      </c>
      <c r="AI29" s="93">
        <v>30</v>
      </c>
      <c r="AJ29" s="93">
        <v>28.2</v>
      </c>
      <c r="AK29" s="93">
        <v>26.7</v>
      </c>
      <c r="AL29" s="93">
        <v>25.4</v>
      </c>
      <c r="AM29" s="93">
        <v>24.3</v>
      </c>
      <c r="AN29" s="93">
        <v>23.3</v>
      </c>
      <c r="AO29" s="93">
        <v>22.4</v>
      </c>
      <c r="AP29" s="93">
        <v>21.6</v>
      </c>
      <c r="AQ29" s="93">
        <v>20.9</v>
      </c>
    </row>
    <row r="30" spans="1:43" x14ac:dyDescent="0.25">
      <c r="A30" s="18">
        <v>39</v>
      </c>
      <c r="B30" s="93">
        <v>311.39999999999998</v>
      </c>
      <c r="C30" s="93">
        <v>158.9</v>
      </c>
      <c r="D30" s="93">
        <v>108.1</v>
      </c>
      <c r="E30" s="93">
        <v>82.7</v>
      </c>
      <c r="F30" s="93">
        <v>67.5</v>
      </c>
      <c r="G30" s="93">
        <v>57.3</v>
      </c>
      <c r="H30" s="93">
        <v>50.1</v>
      </c>
      <c r="I30" s="93">
        <v>44.7</v>
      </c>
      <c r="J30" s="93">
        <v>40.5</v>
      </c>
      <c r="K30" s="93">
        <v>37.200000000000003</v>
      </c>
      <c r="L30" s="93">
        <v>34.5</v>
      </c>
      <c r="M30" s="93">
        <v>32.200000000000003</v>
      </c>
      <c r="N30" s="93">
        <v>30.3</v>
      </c>
      <c r="O30" s="93">
        <v>28.7</v>
      </c>
      <c r="P30" s="93">
        <v>27.3</v>
      </c>
      <c r="Q30" s="93">
        <v>26</v>
      </c>
      <c r="R30" s="93">
        <v>25</v>
      </c>
      <c r="S30" s="93">
        <v>24</v>
      </c>
      <c r="T30" s="93">
        <v>23.2</v>
      </c>
      <c r="U30" s="93">
        <v>22.5</v>
      </c>
      <c r="W30" s="18">
        <v>39</v>
      </c>
      <c r="X30" s="93">
        <v>295.8</v>
      </c>
      <c r="Y30" s="93">
        <v>150.9</v>
      </c>
      <c r="Z30" s="93">
        <v>102.6</v>
      </c>
      <c r="AA30" s="93">
        <v>78.5</v>
      </c>
      <c r="AB30" s="93">
        <v>64.099999999999994</v>
      </c>
      <c r="AC30" s="93">
        <v>54.5</v>
      </c>
      <c r="AD30" s="93">
        <v>47.6</v>
      </c>
      <c r="AE30" s="93">
        <v>42.5</v>
      </c>
      <c r="AF30" s="93">
        <v>38.5</v>
      </c>
      <c r="AG30" s="93">
        <v>35.299999999999997</v>
      </c>
      <c r="AH30" s="93">
        <v>32.700000000000003</v>
      </c>
      <c r="AI30" s="93">
        <v>30.6</v>
      </c>
      <c r="AJ30" s="93">
        <v>28.8</v>
      </c>
      <c r="AK30" s="93">
        <v>27.2</v>
      </c>
      <c r="AL30" s="93">
        <v>25.9</v>
      </c>
      <c r="AM30" s="93">
        <v>24.7</v>
      </c>
      <c r="AN30" s="93">
        <v>23.7</v>
      </c>
      <c r="AO30" s="93">
        <v>22.8</v>
      </c>
      <c r="AP30" s="93">
        <v>22</v>
      </c>
      <c r="AQ30" s="93">
        <v>21.3</v>
      </c>
    </row>
    <row r="31" spans="1:43" x14ac:dyDescent="0.25">
      <c r="A31" s="18">
        <v>40</v>
      </c>
      <c r="B31" s="93">
        <v>316.89999999999998</v>
      </c>
      <c r="C31" s="93">
        <v>161.69999999999999</v>
      </c>
      <c r="D31" s="93">
        <v>110</v>
      </c>
      <c r="E31" s="93">
        <v>84.1</v>
      </c>
      <c r="F31" s="93">
        <v>68.7</v>
      </c>
      <c r="G31" s="93">
        <v>58.4</v>
      </c>
      <c r="H31" s="93">
        <v>51</v>
      </c>
      <c r="I31" s="93">
        <v>45.5</v>
      </c>
      <c r="J31" s="93">
        <v>41.3</v>
      </c>
      <c r="K31" s="93">
        <v>37.9</v>
      </c>
      <c r="L31" s="93">
        <v>35.1</v>
      </c>
      <c r="M31" s="93">
        <v>32.799999999999997</v>
      </c>
      <c r="N31" s="93">
        <v>30.8</v>
      </c>
      <c r="O31" s="93">
        <v>29.2</v>
      </c>
      <c r="P31" s="93">
        <v>27.8</v>
      </c>
      <c r="Q31" s="93">
        <v>26.5</v>
      </c>
      <c r="R31" s="93">
        <v>25.5</v>
      </c>
      <c r="S31" s="93">
        <v>24.5</v>
      </c>
      <c r="T31" s="93">
        <v>23.6</v>
      </c>
      <c r="U31" s="93"/>
      <c r="W31" s="18">
        <v>40</v>
      </c>
      <c r="X31" s="93">
        <v>301.10000000000002</v>
      </c>
      <c r="Y31" s="93">
        <v>153.6</v>
      </c>
      <c r="Z31" s="93">
        <v>104.5</v>
      </c>
      <c r="AA31" s="93">
        <v>79.900000000000006</v>
      </c>
      <c r="AB31" s="93">
        <v>65.2</v>
      </c>
      <c r="AC31" s="93">
        <v>55.5</v>
      </c>
      <c r="AD31" s="93">
        <v>48.5</v>
      </c>
      <c r="AE31" s="93">
        <v>43.2</v>
      </c>
      <c r="AF31" s="93">
        <v>39.200000000000003</v>
      </c>
      <c r="AG31" s="93">
        <v>36</v>
      </c>
      <c r="AH31" s="93">
        <v>33.299999999999997</v>
      </c>
      <c r="AI31" s="93">
        <v>31.1</v>
      </c>
      <c r="AJ31" s="93">
        <v>29.3</v>
      </c>
      <c r="AK31" s="93">
        <v>27.7</v>
      </c>
      <c r="AL31" s="93">
        <v>26.4</v>
      </c>
      <c r="AM31" s="93">
        <v>25.2</v>
      </c>
      <c r="AN31" s="93">
        <v>24.2</v>
      </c>
      <c r="AO31" s="93">
        <v>23.3</v>
      </c>
      <c r="AP31" s="93">
        <v>22.5</v>
      </c>
      <c r="AQ31" s="93"/>
    </row>
    <row r="32" spans="1:43" x14ac:dyDescent="0.25">
      <c r="A32" s="18">
        <v>41</v>
      </c>
      <c r="B32" s="93">
        <v>322.5</v>
      </c>
      <c r="C32" s="93">
        <v>164.6</v>
      </c>
      <c r="D32" s="93">
        <v>111.9</v>
      </c>
      <c r="E32" s="93">
        <v>85.7</v>
      </c>
      <c r="F32" s="93">
        <v>69.900000000000006</v>
      </c>
      <c r="G32" s="93">
        <v>59.4</v>
      </c>
      <c r="H32" s="93">
        <v>51.9</v>
      </c>
      <c r="I32" s="93">
        <v>46.3</v>
      </c>
      <c r="J32" s="93">
        <v>42</v>
      </c>
      <c r="K32" s="93">
        <v>38.5</v>
      </c>
      <c r="L32" s="93">
        <v>35.700000000000003</v>
      </c>
      <c r="M32" s="93">
        <v>33.4</v>
      </c>
      <c r="N32" s="93">
        <v>31.4</v>
      </c>
      <c r="O32" s="93">
        <v>29.7</v>
      </c>
      <c r="P32" s="93">
        <v>28.3</v>
      </c>
      <c r="Q32" s="93">
        <v>27</v>
      </c>
      <c r="R32" s="93">
        <v>25.9</v>
      </c>
      <c r="S32" s="93">
        <v>25</v>
      </c>
      <c r="T32" s="93"/>
      <c r="U32" s="93"/>
      <c r="W32" s="18">
        <v>41</v>
      </c>
      <c r="X32" s="93">
        <v>306.5</v>
      </c>
      <c r="Y32" s="93">
        <v>156.4</v>
      </c>
      <c r="Z32" s="93">
        <v>106.4</v>
      </c>
      <c r="AA32" s="93">
        <v>81.400000000000006</v>
      </c>
      <c r="AB32" s="93">
        <v>66.400000000000006</v>
      </c>
      <c r="AC32" s="93">
        <v>56.5</v>
      </c>
      <c r="AD32" s="93">
        <v>49.4</v>
      </c>
      <c r="AE32" s="93">
        <v>44</v>
      </c>
      <c r="AF32" s="93">
        <v>39.9</v>
      </c>
      <c r="AG32" s="93">
        <v>36.6</v>
      </c>
      <c r="AH32" s="93">
        <v>34</v>
      </c>
      <c r="AI32" s="93">
        <v>31.7</v>
      </c>
      <c r="AJ32" s="93">
        <v>29.9</v>
      </c>
      <c r="AK32" s="93">
        <v>28.3</v>
      </c>
      <c r="AL32" s="93">
        <v>26.9</v>
      </c>
      <c r="AM32" s="93">
        <v>25.7</v>
      </c>
      <c r="AN32" s="93">
        <v>24.6</v>
      </c>
      <c r="AO32" s="93">
        <v>23.7</v>
      </c>
      <c r="AP32" s="93"/>
      <c r="AQ32" s="93"/>
    </row>
    <row r="33" spans="1:43" x14ac:dyDescent="0.25">
      <c r="A33" s="18">
        <v>42</v>
      </c>
      <c r="B33" s="93">
        <v>328.3</v>
      </c>
      <c r="C33" s="93">
        <v>167.5</v>
      </c>
      <c r="D33" s="93">
        <v>114</v>
      </c>
      <c r="E33" s="93">
        <v>87.2</v>
      </c>
      <c r="F33" s="93">
        <v>71.2</v>
      </c>
      <c r="G33" s="93">
        <v>60.5</v>
      </c>
      <c r="H33" s="93">
        <v>52.9</v>
      </c>
      <c r="I33" s="93">
        <v>47.2</v>
      </c>
      <c r="J33" s="93">
        <v>42.8</v>
      </c>
      <c r="K33" s="93">
        <v>39.299999999999997</v>
      </c>
      <c r="L33" s="93">
        <v>36.4</v>
      </c>
      <c r="M33" s="93">
        <v>34</v>
      </c>
      <c r="N33" s="93">
        <v>32</v>
      </c>
      <c r="O33" s="93">
        <v>30.3</v>
      </c>
      <c r="P33" s="93">
        <v>28.8</v>
      </c>
      <c r="Q33" s="93">
        <v>27.6</v>
      </c>
      <c r="R33" s="93">
        <v>26.4</v>
      </c>
      <c r="S33" s="93"/>
      <c r="T33" s="93"/>
      <c r="U33" s="93"/>
      <c r="W33" s="18">
        <v>42</v>
      </c>
      <c r="X33" s="93">
        <v>312.10000000000002</v>
      </c>
      <c r="Y33" s="93">
        <v>159.19999999999999</v>
      </c>
      <c r="Z33" s="93">
        <v>108.3</v>
      </c>
      <c r="AA33" s="93">
        <v>82.9</v>
      </c>
      <c r="AB33" s="93">
        <v>67.599999999999994</v>
      </c>
      <c r="AC33" s="93">
        <v>57.5</v>
      </c>
      <c r="AD33" s="93">
        <v>50.3</v>
      </c>
      <c r="AE33" s="93">
        <v>44.9</v>
      </c>
      <c r="AF33" s="93">
        <v>40.700000000000003</v>
      </c>
      <c r="AG33" s="93">
        <v>37.299999999999997</v>
      </c>
      <c r="AH33" s="93">
        <v>34.6</v>
      </c>
      <c r="AI33" s="93">
        <v>32.299999999999997</v>
      </c>
      <c r="AJ33" s="93">
        <v>30.4</v>
      </c>
      <c r="AK33" s="93">
        <v>28.8</v>
      </c>
      <c r="AL33" s="93">
        <v>27.4</v>
      </c>
      <c r="AM33" s="93">
        <v>26.2</v>
      </c>
      <c r="AN33" s="93">
        <v>25.1</v>
      </c>
      <c r="AO33" s="93"/>
      <c r="AP33" s="93"/>
      <c r="AQ33" s="93"/>
    </row>
    <row r="34" spans="1:43" x14ac:dyDescent="0.25">
      <c r="A34" s="18">
        <v>43</v>
      </c>
      <c r="B34" s="93">
        <v>334.3</v>
      </c>
      <c r="C34" s="93">
        <v>170.6</v>
      </c>
      <c r="D34" s="93">
        <v>116</v>
      </c>
      <c r="E34" s="93">
        <v>88.8</v>
      </c>
      <c r="F34" s="93">
        <v>72.5</v>
      </c>
      <c r="G34" s="93">
        <v>61.6</v>
      </c>
      <c r="H34" s="93">
        <v>53.9</v>
      </c>
      <c r="I34" s="93">
        <v>48.1</v>
      </c>
      <c r="J34" s="93">
        <v>43.6</v>
      </c>
      <c r="K34" s="93">
        <v>40</v>
      </c>
      <c r="L34" s="93">
        <v>37.1</v>
      </c>
      <c r="M34" s="93">
        <v>34.700000000000003</v>
      </c>
      <c r="N34" s="93">
        <v>32.6</v>
      </c>
      <c r="O34" s="93">
        <v>30.9</v>
      </c>
      <c r="P34" s="93">
        <v>29.4</v>
      </c>
      <c r="Q34" s="93">
        <v>28.1</v>
      </c>
      <c r="R34" s="93"/>
      <c r="S34" s="93"/>
      <c r="T34" s="93"/>
      <c r="U34" s="93"/>
      <c r="W34" s="18">
        <v>43</v>
      </c>
      <c r="X34" s="93">
        <v>317.8</v>
      </c>
      <c r="Y34" s="93">
        <v>162.19999999999999</v>
      </c>
      <c r="Z34" s="93">
        <v>110.3</v>
      </c>
      <c r="AA34" s="93">
        <v>84.4</v>
      </c>
      <c r="AB34" s="93">
        <v>68.900000000000006</v>
      </c>
      <c r="AC34" s="93">
        <v>58.6</v>
      </c>
      <c r="AD34" s="93">
        <v>51.2</v>
      </c>
      <c r="AE34" s="93">
        <v>45.7</v>
      </c>
      <c r="AF34" s="93">
        <v>41.4</v>
      </c>
      <c r="AG34" s="93">
        <v>38</v>
      </c>
      <c r="AH34" s="93">
        <v>35.299999999999997</v>
      </c>
      <c r="AI34" s="93">
        <v>33</v>
      </c>
      <c r="AJ34" s="93">
        <v>31</v>
      </c>
      <c r="AK34" s="93">
        <v>29.4</v>
      </c>
      <c r="AL34" s="93">
        <v>28</v>
      </c>
      <c r="AM34" s="93">
        <v>26.7</v>
      </c>
      <c r="AN34" s="93"/>
      <c r="AO34" s="93"/>
      <c r="AP34" s="93"/>
      <c r="AQ34" s="93"/>
    </row>
    <row r="35" spans="1:43" x14ac:dyDescent="0.25">
      <c r="A35" s="18">
        <v>44</v>
      </c>
      <c r="B35" s="93">
        <v>340.4</v>
      </c>
      <c r="C35" s="93">
        <v>173.7</v>
      </c>
      <c r="D35" s="93">
        <v>118.2</v>
      </c>
      <c r="E35" s="93">
        <v>90.4</v>
      </c>
      <c r="F35" s="93">
        <v>73.8</v>
      </c>
      <c r="G35" s="93">
        <v>62.8</v>
      </c>
      <c r="H35" s="93">
        <v>54.9</v>
      </c>
      <c r="I35" s="93">
        <v>49</v>
      </c>
      <c r="J35" s="93">
        <v>44.4</v>
      </c>
      <c r="K35" s="93">
        <v>40.799999999999997</v>
      </c>
      <c r="L35" s="93">
        <v>37.799999999999997</v>
      </c>
      <c r="M35" s="93">
        <v>35.299999999999997</v>
      </c>
      <c r="N35" s="93">
        <v>33.299999999999997</v>
      </c>
      <c r="O35" s="93">
        <v>31.5</v>
      </c>
      <c r="P35" s="93">
        <v>30</v>
      </c>
      <c r="Q35" s="93"/>
      <c r="R35" s="93"/>
      <c r="S35" s="93"/>
      <c r="T35" s="93"/>
      <c r="U35" s="93"/>
      <c r="W35" s="18">
        <v>44</v>
      </c>
      <c r="X35" s="93">
        <v>323.7</v>
      </c>
      <c r="Y35" s="93">
        <v>165.2</v>
      </c>
      <c r="Z35" s="93">
        <v>112.4</v>
      </c>
      <c r="AA35" s="93">
        <v>86</v>
      </c>
      <c r="AB35" s="93">
        <v>70.2</v>
      </c>
      <c r="AC35" s="93">
        <v>59.7</v>
      </c>
      <c r="AD35" s="93">
        <v>52.2</v>
      </c>
      <c r="AE35" s="93">
        <v>46.6</v>
      </c>
      <c r="AF35" s="93">
        <v>42.2</v>
      </c>
      <c r="AG35" s="93">
        <v>38.799999999999997</v>
      </c>
      <c r="AH35" s="93">
        <v>35.9</v>
      </c>
      <c r="AI35" s="93">
        <v>33.6</v>
      </c>
      <c r="AJ35" s="93">
        <v>31.6</v>
      </c>
      <c r="AK35" s="93">
        <v>30</v>
      </c>
      <c r="AL35" s="93">
        <v>28.5</v>
      </c>
      <c r="AM35" s="93"/>
      <c r="AN35" s="93"/>
      <c r="AO35" s="93"/>
      <c r="AP35" s="93"/>
      <c r="AQ35" s="93"/>
    </row>
    <row r="36" spans="1:43" x14ac:dyDescent="0.25">
      <c r="A36" s="18">
        <v>45</v>
      </c>
      <c r="B36" s="93">
        <v>346.7</v>
      </c>
      <c r="C36" s="93">
        <v>176.9</v>
      </c>
      <c r="D36" s="93">
        <v>120.4</v>
      </c>
      <c r="E36" s="93">
        <v>92.1</v>
      </c>
      <c r="F36" s="93">
        <v>75.2</v>
      </c>
      <c r="G36" s="93">
        <v>63.9</v>
      </c>
      <c r="H36" s="93">
        <v>55.9</v>
      </c>
      <c r="I36" s="93">
        <v>49.9</v>
      </c>
      <c r="J36" s="93">
        <v>45.3</v>
      </c>
      <c r="K36" s="93">
        <v>41.6</v>
      </c>
      <c r="L36" s="93">
        <v>38.5</v>
      </c>
      <c r="M36" s="93">
        <v>36</v>
      </c>
      <c r="N36" s="93">
        <v>33.9</v>
      </c>
      <c r="O36" s="93">
        <v>32.200000000000003</v>
      </c>
      <c r="P36" s="93"/>
      <c r="Q36" s="93"/>
      <c r="R36" s="93"/>
      <c r="S36" s="93"/>
      <c r="T36" s="93"/>
      <c r="U36" s="93"/>
      <c r="W36" s="18">
        <v>45</v>
      </c>
      <c r="X36" s="93">
        <v>329.8</v>
      </c>
      <c r="Y36" s="93">
        <v>168.3</v>
      </c>
      <c r="Z36" s="93">
        <v>114.5</v>
      </c>
      <c r="AA36" s="93">
        <v>87.7</v>
      </c>
      <c r="AB36" s="93">
        <v>71.5</v>
      </c>
      <c r="AC36" s="93">
        <v>60.8</v>
      </c>
      <c r="AD36" s="93">
        <v>53.2</v>
      </c>
      <c r="AE36" s="93">
        <v>47.5</v>
      </c>
      <c r="AF36" s="93">
        <v>43.1</v>
      </c>
      <c r="AG36" s="93">
        <v>39.5</v>
      </c>
      <c r="AH36" s="93">
        <v>36.700000000000003</v>
      </c>
      <c r="AI36" s="93">
        <v>34.299999999999997</v>
      </c>
      <c r="AJ36" s="93">
        <v>32.299999999999997</v>
      </c>
      <c r="AK36" s="93">
        <v>30.6</v>
      </c>
      <c r="AL36" s="93"/>
      <c r="AM36" s="93"/>
      <c r="AN36" s="93"/>
      <c r="AO36" s="93"/>
      <c r="AP36" s="93"/>
      <c r="AQ36" s="93"/>
    </row>
    <row r="37" spans="1:43" x14ac:dyDescent="0.25">
      <c r="A37" s="18">
        <v>46</v>
      </c>
      <c r="B37" s="93">
        <v>353.2</v>
      </c>
      <c r="C37" s="93">
        <v>180.3</v>
      </c>
      <c r="D37" s="93">
        <v>122.6</v>
      </c>
      <c r="E37" s="93">
        <v>93.9</v>
      </c>
      <c r="F37" s="93">
        <v>76.599999999999994</v>
      </c>
      <c r="G37" s="93">
        <v>65.2</v>
      </c>
      <c r="H37" s="93">
        <v>57</v>
      </c>
      <c r="I37" s="93">
        <v>50.9</v>
      </c>
      <c r="J37" s="93">
        <v>46.2</v>
      </c>
      <c r="K37" s="93">
        <v>42.4</v>
      </c>
      <c r="L37" s="93">
        <v>39.299999999999997</v>
      </c>
      <c r="M37" s="93">
        <v>36.799999999999997</v>
      </c>
      <c r="N37" s="93">
        <v>34.6</v>
      </c>
      <c r="O37" s="93"/>
      <c r="P37" s="93"/>
      <c r="Q37" s="93"/>
      <c r="R37" s="93"/>
      <c r="S37" s="93"/>
      <c r="T37" s="93"/>
      <c r="U37" s="93"/>
      <c r="W37" s="18">
        <v>46</v>
      </c>
      <c r="X37" s="93">
        <v>336.1</v>
      </c>
      <c r="Y37" s="93">
        <v>171.5</v>
      </c>
      <c r="Z37" s="93">
        <v>116.7</v>
      </c>
      <c r="AA37" s="93">
        <v>89.3</v>
      </c>
      <c r="AB37" s="93">
        <v>72.900000000000006</v>
      </c>
      <c r="AC37" s="93">
        <v>62</v>
      </c>
      <c r="AD37" s="93">
        <v>54.2</v>
      </c>
      <c r="AE37" s="93">
        <v>48.4</v>
      </c>
      <c r="AF37" s="93">
        <v>43.9</v>
      </c>
      <c r="AG37" s="93">
        <v>40.299999999999997</v>
      </c>
      <c r="AH37" s="93">
        <v>37.4</v>
      </c>
      <c r="AI37" s="93">
        <v>35</v>
      </c>
      <c r="AJ37" s="93">
        <v>33</v>
      </c>
      <c r="AK37" s="93"/>
      <c r="AL37" s="93"/>
      <c r="AM37" s="93"/>
      <c r="AN37" s="93"/>
      <c r="AO37" s="93"/>
      <c r="AP37" s="93"/>
      <c r="AQ37" s="93"/>
    </row>
    <row r="38" spans="1:43" x14ac:dyDescent="0.25">
      <c r="A38" s="18">
        <v>47</v>
      </c>
      <c r="B38" s="93">
        <v>359.8</v>
      </c>
      <c r="C38" s="93">
        <v>183.6</v>
      </c>
      <c r="D38" s="93">
        <v>125</v>
      </c>
      <c r="E38" s="93">
        <v>95.6</v>
      </c>
      <c r="F38" s="93">
        <v>78.099999999999994</v>
      </c>
      <c r="G38" s="93">
        <v>66.400000000000006</v>
      </c>
      <c r="H38" s="93">
        <v>58.1</v>
      </c>
      <c r="I38" s="93">
        <v>51.9</v>
      </c>
      <c r="J38" s="93">
        <v>47.1</v>
      </c>
      <c r="K38" s="93">
        <v>43.2</v>
      </c>
      <c r="L38" s="93">
        <v>40.1</v>
      </c>
      <c r="M38" s="93">
        <v>37.5</v>
      </c>
      <c r="N38" s="93"/>
      <c r="O38" s="93"/>
      <c r="P38" s="93"/>
      <c r="Q38" s="93"/>
      <c r="R38" s="93"/>
      <c r="S38" s="93"/>
      <c r="T38" s="93"/>
      <c r="U38" s="93"/>
      <c r="W38" s="18">
        <v>47</v>
      </c>
      <c r="X38" s="93">
        <v>342.5</v>
      </c>
      <c r="Y38" s="93">
        <v>174.8</v>
      </c>
      <c r="Z38" s="93">
        <v>118.9</v>
      </c>
      <c r="AA38" s="93">
        <v>91</v>
      </c>
      <c r="AB38" s="93">
        <v>74.3</v>
      </c>
      <c r="AC38" s="93">
        <v>63.2</v>
      </c>
      <c r="AD38" s="93">
        <v>55.3</v>
      </c>
      <c r="AE38" s="93">
        <v>49.4</v>
      </c>
      <c r="AF38" s="93">
        <v>44.8</v>
      </c>
      <c r="AG38" s="93">
        <v>41.2</v>
      </c>
      <c r="AH38" s="93">
        <v>38.200000000000003</v>
      </c>
      <c r="AI38" s="93">
        <v>35.700000000000003</v>
      </c>
      <c r="AJ38" s="93"/>
      <c r="AK38" s="93"/>
      <c r="AL38" s="93"/>
      <c r="AM38" s="93"/>
      <c r="AN38" s="93"/>
      <c r="AO38" s="93"/>
      <c r="AP38" s="93"/>
      <c r="AQ38" s="93"/>
    </row>
    <row r="39" spans="1:43" x14ac:dyDescent="0.25">
      <c r="A39" s="18">
        <v>48</v>
      </c>
      <c r="B39" s="93">
        <v>366.5</v>
      </c>
      <c r="C39" s="93">
        <v>187.1</v>
      </c>
      <c r="D39" s="93">
        <v>127.3</v>
      </c>
      <c r="E39" s="93">
        <v>97.5</v>
      </c>
      <c r="F39" s="93">
        <v>79.599999999999994</v>
      </c>
      <c r="G39" s="93">
        <v>67.7</v>
      </c>
      <c r="H39" s="93">
        <v>59.3</v>
      </c>
      <c r="I39" s="93">
        <v>52.9</v>
      </c>
      <c r="J39" s="93">
        <v>48</v>
      </c>
      <c r="K39" s="93">
        <v>44.1</v>
      </c>
      <c r="L39" s="93">
        <v>41</v>
      </c>
      <c r="M39" s="93"/>
      <c r="N39" s="93"/>
      <c r="O39" s="93"/>
      <c r="P39" s="93"/>
      <c r="Q39" s="93"/>
      <c r="R39" s="93"/>
      <c r="S39" s="93"/>
      <c r="T39" s="93"/>
      <c r="U39" s="93"/>
      <c r="W39" s="18">
        <v>48</v>
      </c>
      <c r="X39" s="93">
        <v>349</v>
      </c>
      <c r="Y39" s="93">
        <v>178.2</v>
      </c>
      <c r="Z39" s="93">
        <v>121.2</v>
      </c>
      <c r="AA39" s="93">
        <v>92.8</v>
      </c>
      <c r="AB39" s="93">
        <v>75.8</v>
      </c>
      <c r="AC39" s="93">
        <v>64.5</v>
      </c>
      <c r="AD39" s="93">
        <v>56.4</v>
      </c>
      <c r="AE39" s="93">
        <v>50.4</v>
      </c>
      <c r="AF39" s="93">
        <v>45.7</v>
      </c>
      <c r="AG39" s="93">
        <v>42</v>
      </c>
      <c r="AH39" s="93">
        <v>39</v>
      </c>
      <c r="AI39" s="93"/>
      <c r="AJ39" s="93"/>
      <c r="AK39" s="93"/>
      <c r="AL39" s="93"/>
      <c r="AM39" s="93"/>
      <c r="AN39" s="93"/>
      <c r="AO39" s="93"/>
      <c r="AP39" s="93"/>
      <c r="AQ39" s="93"/>
    </row>
    <row r="40" spans="1:43" x14ac:dyDescent="0.25">
      <c r="A40" s="18">
        <v>49</v>
      </c>
      <c r="B40" s="93">
        <v>373.5</v>
      </c>
      <c r="C40" s="93">
        <v>190.7</v>
      </c>
      <c r="D40" s="93">
        <v>129.80000000000001</v>
      </c>
      <c r="E40" s="93">
        <v>99.4</v>
      </c>
      <c r="F40" s="93">
        <v>81.2</v>
      </c>
      <c r="G40" s="93">
        <v>69.099999999999994</v>
      </c>
      <c r="H40" s="93">
        <v>60.5</v>
      </c>
      <c r="I40" s="93">
        <v>54</v>
      </c>
      <c r="J40" s="93">
        <v>49</v>
      </c>
      <c r="K40" s="93">
        <v>45.1</v>
      </c>
      <c r="L40" s="93"/>
      <c r="M40" s="93"/>
      <c r="N40" s="93"/>
      <c r="O40" s="93"/>
      <c r="P40" s="93"/>
      <c r="Q40" s="93"/>
      <c r="R40" s="93"/>
      <c r="S40" s="93"/>
      <c r="T40" s="93"/>
      <c r="U40" s="93"/>
      <c r="W40" s="18">
        <v>49</v>
      </c>
      <c r="X40" s="93">
        <v>355.8</v>
      </c>
      <c r="Y40" s="93">
        <v>181.7</v>
      </c>
      <c r="Z40" s="93">
        <v>123.7</v>
      </c>
      <c r="AA40" s="93">
        <v>94.7</v>
      </c>
      <c r="AB40" s="93">
        <v>77.3</v>
      </c>
      <c r="AC40" s="93">
        <v>65.8</v>
      </c>
      <c r="AD40" s="93">
        <v>57.6</v>
      </c>
      <c r="AE40" s="93">
        <v>51.5</v>
      </c>
      <c r="AF40" s="93">
        <v>46.7</v>
      </c>
      <c r="AG40" s="93">
        <v>42.9</v>
      </c>
      <c r="AH40" s="93"/>
      <c r="AI40" s="93"/>
      <c r="AJ40" s="93"/>
      <c r="AK40" s="93"/>
      <c r="AL40" s="93"/>
      <c r="AM40" s="93"/>
      <c r="AN40" s="93"/>
      <c r="AO40" s="93"/>
      <c r="AP40" s="93"/>
      <c r="AQ40" s="93"/>
    </row>
    <row r="41" spans="1:43" x14ac:dyDescent="0.25">
      <c r="A41" s="18">
        <v>50</v>
      </c>
      <c r="B41" s="93">
        <v>380.8</v>
      </c>
      <c r="C41" s="93">
        <v>194.4</v>
      </c>
      <c r="D41" s="93">
        <v>132.4</v>
      </c>
      <c r="E41" s="93">
        <v>101.4</v>
      </c>
      <c r="F41" s="93">
        <v>82.9</v>
      </c>
      <c r="G41" s="93">
        <v>70.5</v>
      </c>
      <c r="H41" s="93">
        <v>61.7</v>
      </c>
      <c r="I41" s="93">
        <v>55.2</v>
      </c>
      <c r="J41" s="93">
        <v>50.1</v>
      </c>
      <c r="K41" s="93"/>
      <c r="L41" s="93"/>
      <c r="M41" s="93"/>
      <c r="N41" s="93"/>
      <c r="O41" s="93"/>
      <c r="P41" s="93"/>
      <c r="Q41" s="93"/>
      <c r="R41" s="93"/>
      <c r="S41" s="93"/>
      <c r="T41" s="93"/>
      <c r="U41" s="93"/>
      <c r="W41" s="18">
        <v>50</v>
      </c>
      <c r="X41" s="93">
        <v>362.9</v>
      </c>
      <c r="Y41" s="93">
        <v>185.3</v>
      </c>
      <c r="Z41" s="93">
        <v>126.2</v>
      </c>
      <c r="AA41" s="93">
        <v>96.6</v>
      </c>
      <c r="AB41" s="93">
        <v>79</v>
      </c>
      <c r="AC41" s="93">
        <v>67.2</v>
      </c>
      <c r="AD41" s="93">
        <v>58.8</v>
      </c>
      <c r="AE41" s="93">
        <v>52.6</v>
      </c>
      <c r="AF41" s="93">
        <v>47.7</v>
      </c>
      <c r="AG41" s="93"/>
      <c r="AH41" s="93"/>
      <c r="AI41" s="93"/>
      <c r="AJ41" s="93"/>
      <c r="AK41" s="93"/>
      <c r="AL41" s="93"/>
      <c r="AM41" s="93"/>
      <c r="AN41" s="93"/>
      <c r="AO41" s="93"/>
      <c r="AP41" s="93"/>
      <c r="AQ41" s="93"/>
    </row>
    <row r="42" spans="1:43" x14ac:dyDescent="0.25">
      <c r="A42" s="18">
        <v>51</v>
      </c>
      <c r="B42" s="93">
        <v>388.2</v>
      </c>
      <c r="C42" s="93">
        <v>198.3</v>
      </c>
      <c r="D42" s="93">
        <v>135</v>
      </c>
      <c r="E42" s="93">
        <v>103.5</v>
      </c>
      <c r="F42" s="93">
        <v>84.6</v>
      </c>
      <c r="G42" s="93">
        <v>72</v>
      </c>
      <c r="H42" s="93">
        <v>63</v>
      </c>
      <c r="I42" s="93">
        <v>56.3</v>
      </c>
      <c r="J42" s="93"/>
      <c r="K42" s="93"/>
      <c r="L42" s="93"/>
      <c r="M42" s="93"/>
      <c r="N42" s="93"/>
      <c r="O42" s="93"/>
      <c r="P42" s="93"/>
      <c r="Q42" s="93"/>
      <c r="R42" s="93"/>
      <c r="S42" s="93"/>
      <c r="T42" s="93"/>
      <c r="U42" s="93"/>
      <c r="W42" s="18">
        <v>51</v>
      </c>
      <c r="X42" s="93">
        <v>370.1</v>
      </c>
      <c r="Y42" s="93">
        <v>189</v>
      </c>
      <c r="Z42" s="93">
        <v>128.69999999999999</v>
      </c>
      <c r="AA42" s="93">
        <v>98.6</v>
      </c>
      <c r="AB42" s="93">
        <v>80.599999999999994</v>
      </c>
      <c r="AC42" s="93">
        <v>68.599999999999994</v>
      </c>
      <c r="AD42" s="93">
        <v>60.1</v>
      </c>
      <c r="AE42" s="93">
        <v>53.7</v>
      </c>
      <c r="AF42" s="93"/>
      <c r="AG42" s="93"/>
      <c r="AH42" s="93"/>
      <c r="AI42" s="93"/>
      <c r="AJ42" s="93"/>
      <c r="AK42" s="93"/>
      <c r="AL42" s="93"/>
      <c r="AM42" s="93"/>
      <c r="AN42" s="93"/>
      <c r="AO42" s="93"/>
      <c r="AP42" s="93"/>
      <c r="AQ42" s="93"/>
    </row>
    <row r="43" spans="1:43" x14ac:dyDescent="0.25">
      <c r="A43" s="18">
        <v>52</v>
      </c>
      <c r="B43" s="93">
        <v>395.8</v>
      </c>
      <c r="C43" s="93">
        <v>202.2</v>
      </c>
      <c r="D43" s="93">
        <v>137.69999999999999</v>
      </c>
      <c r="E43" s="93">
        <v>105.6</v>
      </c>
      <c r="F43" s="93">
        <v>86.3</v>
      </c>
      <c r="G43" s="93">
        <v>73.5</v>
      </c>
      <c r="H43" s="93">
        <v>64.400000000000006</v>
      </c>
      <c r="I43" s="93"/>
      <c r="J43" s="93"/>
      <c r="K43" s="93"/>
      <c r="L43" s="93"/>
      <c r="M43" s="93"/>
      <c r="N43" s="93"/>
      <c r="O43" s="93"/>
      <c r="P43" s="93"/>
      <c r="Q43" s="93"/>
      <c r="R43" s="93"/>
      <c r="S43" s="93"/>
      <c r="T43" s="93"/>
      <c r="U43" s="93"/>
      <c r="W43" s="18">
        <v>52</v>
      </c>
      <c r="X43" s="93">
        <v>377.5</v>
      </c>
      <c r="Y43" s="93">
        <v>192.9</v>
      </c>
      <c r="Z43" s="93">
        <v>131.4</v>
      </c>
      <c r="AA43" s="93">
        <v>100.7</v>
      </c>
      <c r="AB43" s="93">
        <v>82.3</v>
      </c>
      <c r="AC43" s="93">
        <v>70.099999999999994</v>
      </c>
      <c r="AD43" s="93">
        <v>61.4</v>
      </c>
      <c r="AE43" s="93"/>
      <c r="AF43" s="93"/>
      <c r="AG43" s="93"/>
      <c r="AH43" s="93"/>
      <c r="AI43" s="93"/>
      <c r="AJ43" s="93"/>
      <c r="AK43" s="93"/>
      <c r="AL43" s="93"/>
      <c r="AM43" s="93"/>
      <c r="AN43" s="93"/>
      <c r="AO43" s="93"/>
      <c r="AP43" s="93"/>
      <c r="AQ43" s="93"/>
    </row>
    <row r="44" spans="1:43" x14ac:dyDescent="0.25">
      <c r="A44" s="18">
        <v>53</v>
      </c>
      <c r="B44" s="93">
        <v>403.4</v>
      </c>
      <c r="C44" s="93">
        <v>206.2</v>
      </c>
      <c r="D44" s="93">
        <v>140.5</v>
      </c>
      <c r="E44" s="93">
        <v>107.7</v>
      </c>
      <c r="F44" s="93">
        <v>88.1</v>
      </c>
      <c r="G44" s="93">
        <v>75</v>
      </c>
      <c r="H44" s="93"/>
      <c r="I44" s="93"/>
      <c r="J44" s="93"/>
      <c r="K44" s="93"/>
      <c r="L44" s="93"/>
      <c r="M44" s="93"/>
      <c r="N44" s="93"/>
      <c r="O44" s="93"/>
      <c r="P44" s="93"/>
      <c r="Q44" s="93"/>
      <c r="R44" s="93"/>
      <c r="S44" s="93"/>
      <c r="T44" s="93"/>
      <c r="U44" s="93"/>
      <c r="W44" s="18">
        <v>53</v>
      </c>
      <c r="X44" s="93">
        <v>385</v>
      </c>
      <c r="Y44" s="93">
        <v>196.7</v>
      </c>
      <c r="Z44" s="93">
        <v>134.1</v>
      </c>
      <c r="AA44" s="93">
        <v>102.8</v>
      </c>
      <c r="AB44" s="93">
        <v>84</v>
      </c>
      <c r="AC44" s="93">
        <v>71.599999999999994</v>
      </c>
      <c r="AD44" s="93"/>
      <c r="AE44" s="93"/>
      <c r="AF44" s="93"/>
      <c r="AG44" s="93"/>
      <c r="AH44" s="93"/>
      <c r="AI44" s="93"/>
      <c r="AJ44" s="93"/>
      <c r="AK44" s="93"/>
      <c r="AL44" s="93"/>
      <c r="AM44" s="93"/>
      <c r="AN44" s="93"/>
      <c r="AO44" s="93"/>
      <c r="AP44" s="93"/>
      <c r="AQ44" s="93"/>
    </row>
    <row r="45" spans="1:43" x14ac:dyDescent="0.25">
      <c r="A45" s="18">
        <v>54</v>
      </c>
      <c r="B45" s="93">
        <v>411.1</v>
      </c>
      <c r="C45" s="93">
        <v>210.2</v>
      </c>
      <c r="D45" s="93">
        <v>143.19999999999999</v>
      </c>
      <c r="E45" s="93">
        <v>109.8</v>
      </c>
      <c r="F45" s="93">
        <v>89.8</v>
      </c>
      <c r="G45" s="93"/>
      <c r="H45" s="93"/>
      <c r="I45" s="93"/>
      <c r="J45" s="93"/>
      <c r="K45" s="93"/>
      <c r="L45" s="93"/>
      <c r="M45" s="93"/>
      <c r="N45" s="93"/>
      <c r="O45" s="93"/>
      <c r="P45" s="93"/>
      <c r="Q45" s="93"/>
      <c r="R45" s="93"/>
      <c r="S45" s="93"/>
      <c r="T45" s="93"/>
      <c r="U45" s="93"/>
      <c r="W45" s="18">
        <v>54</v>
      </c>
      <c r="X45" s="93">
        <v>392.6</v>
      </c>
      <c r="Y45" s="93">
        <v>200.7</v>
      </c>
      <c r="Z45" s="93">
        <v>136.80000000000001</v>
      </c>
      <c r="AA45" s="93">
        <v>104.9</v>
      </c>
      <c r="AB45" s="93">
        <v>85.8</v>
      </c>
      <c r="AC45" s="93"/>
      <c r="AD45" s="93"/>
      <c r="AE45" s="93"/>
      <c r="AF45" s="93"/>
      <c r="AG45" s="93"/>
      <c r="AH45" s="93"/>
      <c r="AI45" s="93"/>
      <c r="AJ45" s="93"/>
      <c r="AK45" s="93"/>
      <c r="AL45" s="93"/>
      <c r="AM45" s="93"/>
      <c r="AN45" s="93"/>
      <c r="AO45" s="93"/>
      <c r="AP45" s="93"/>
      <c r="AQ45" s="93"/>
    </row>
    <row r="46" spans="1:43" x14ac:dyDescent="0.25">
      <c r="A46" s="18">
        <v>55</v>
      </c>
      <c r="B46" s="93">
        <v>418.9</v>
      </c>
      <c r="C46" s="93">
        <v>214.2</v>
      </c>
      <c r="D46" s="93">
        <v>146</v>
      </c>
      <c r="E46" s="93">
        <v>112</v>
      </c>
      <c r="F46" s="93"/>
      <c r="G46" s="93"/>
      <c r="H46" s="93"/>
      <c r="I46" s="93"/>
      <c r="J46" s="93"/>
      <c r="K46" s="93"/>
      <c r="L46" s="93"/>
      <c r="M46" s="93"/>
      <c r="N46" s="93"/>
      <c r="O46" s="93"/>
      <c r="P46" s="93"/>
      <c r="Q46" s="93"/>
      <c r="R46" s="93"/>
      <c r="S46" s="93"/>
      <c r="T46" s="93"/>
      <c r="U46" s="93"/>
      <c r="W46" s="18">
        <v>55</v>
      </c>
      <c r="X46" s="93">
        <v>400.2</v>
      </c>
      <c r="Y46" s="93">
        <v>204.6</v>
      </c>
      <c r="Z46" s="93">
        <v>139.5</v>
      </c>
      <c r="AA46" s="93">
        <v>107</v>
      </c>
      <c r="AB46" s="93"/>
      <c r="AC46" s="93"/>
      <c r="AD46" s="93"/>
      <c r="AE46" s="93"/>
      <c r="AF46" s="93"/>
      <c r="AG46" s="93"/>
      <c r="AH46" s="93"/>
      <c r="AI46" s="93"/>
      <c r="AJ46" s="93"/>
      <c r="AK46" s="93"/>
      <c r="AL46" s="93"/>
      <c r="AM46" s="93"/>
      <c r="AN46" s="93"/>
      <c r="AO46" s="93"/>
      <c r="AP46" s="93"/>
      <c r="AQ46" s="93"/>
    </row>
    <row r="47" spans="1:43" x14ac:dyDescent="0.25">
      <c r="A47" s="18">
        <v>56</v>
      </c>
      <c r="B47" s="93">
        <v>426.8</v>
      </c>
      <c r="C47" s="93">
        <v>218.3</v>
      </c>
      <c r="D47" s="93">
        <v>148.9</v>
      </c>
      <c r="E47" s="93"/>
      <c r="F47" s="93"/>
      <c r="G47" s="93"/>
      <c r="H47" s="93"/>
      <c r="I47" s="93"/>
      <c r="J47" s="93"/>
      <c r="K47" s="93"/>
      <c r="L47" s="93"/>
      <c r="M47" s="93"/>
      <c r="N47" s="93"/>
      <c r="O47" s="93"/>
      <c r="P47" s="93"/>
      <c r="Q47" s="93"/>
      <c r="R47" s="93"/>
      <c r="S47" s="93"/>
      <c r="T47" s="93"/>
      <c r="U47" s="93"/>
      <c r="W47" s="18">
        <v>56</v>
      </c>
      <c r="X47" s="93">
        <v>408</v>
      </c>
      <c r="Y47" s="93">
        <v>208.7</v>
      </c>
      <c r="Z47" s="93">
        <v>142.30000000000001</v>
      </c>
      <c r="AA47" s="93"/>
      <c r="AB47" s="93"/>
      <c r="AC47" s="93"/>
      <c r="AD47" s="93"/>
      <c r="AE47" s="93"/>
      <c r="AF47" s="93"/>
      <c r="AG47" s="93"/>
      <c r="AH47" s="93"/>
      <c r="AI47" s="93"/>
      <c r="AJ47" s="93"/>
      <c r="AK47" s="93"/>
      <c r="AL47" s="93"/>
      <c r="AM47" s="93"/>
      <c r="AN47" s="93"/>
      <c r="AO47" s="93"/>
      <c r="AP47" s="93"/>
      <c r="AQ47" s="93"/>
    </row>
    <row r="48" spans="1:43" x14ac:dyDescent="0.25">
      <c r="A48" s="18">
        <v>57</v>
      </c>
      <c r="B48" s="93">
        <v>434.8</v>
      </c>
      <c r="C48" s="93">
        <v>222.5</v>
      </c>
      <c r="D48" s="93"/>
      <c r="E48" s="93"/>
      <c r="F48" s="93"/>
      <c r="G48" s="93"/>
      <c r="H48" s="93"/>
      <c r="I48" s="93"/>
      <c r="J48" s="93"/>
      <c r="K48" s="93"/>
      <c r="L48" s="93"/>
      <c r="M48" s="93"/>
      <c r="N48" s="93"/>
      <c r="O48" s="93"/>
      <c r="P48" s="93"/>
      <c r="Q48" s="93"/>
      <c r="R48" s="93"/>
      <c r="S48" s="93"/>
      <c r="T48" s="93"/>
      <c r="U48" s="93"/>
      <c r="W48" s="18">
        <v>57</v>
      </c>
      <c r="X48" s="93">
        <v>416</v>
      </c>
      <c r="Y48" s="93">
        <v>212.8</v>
      </c>
      <c r="Z48" s="93"/>
      <c r="AA48" s="93"/>
      <c r="AB48" s="93"/>
      <c r="AC48" s="93"/>
      <c r="AD48" s="93"/>
      <c r="AE48" s="93"/>
      <c r="AF48" s="93"/>
      <c r="AG48" s="93"/>
      <c r="AH48" s="93"/>
      <c r="AI48" s="93"/>
      <c r="AJ48" s="93"/>
      <c r="AK48" s="93"/>
      <c r="AL48" s="93"/>
      <c r="AM48" s="93"/>
      <c r="AN48" s="93"/>
      <c r="AO48" s="93"/>
      <c r="AP48" s="93"/>
      <c r="AQ48" s="93"/>
    </row>
    <row r="49" spans="1:43" x14ac:dyDescent="0.25">
      <c r="A49" s="18">
        <v>58</v>
      </c>
      <c r="B49" s="93">
        <v>443.1</v>
      </c>
      <c r="C49" s="93"/>
      <c r="D49" s="93"/>
      <c r="E49" s="93"/>
      <c r="F49" s="93"/>
      <c r="G49" s="93"/>
      <c r="H49" s="93"/>
      <c r="I49" s="93"/>
      <c r="J49" s="93"/>
      <c r="K49" s="93"/>
      <c r="L49" s="93"/>
      <c r="M49" s="93"/>
      <c r="N49" s="93"/>
      <c r="O49" s="93"/>
      <c r="P49" s="93"/>
      <c r="Q49" s="93"/>
      <c r="R49" s="93"/>
      <c r="S49" s="93"/>
      <c r="T49" s="93"/>
      <c r="U49" s="93"/>
      <c r="W49" s="18">
        <v>58</v>
      </c>
      <c r="X49" s="93">
        <v>424.2</v>
      </c>
      <c r="Y49" s="93"/>
      <c r="Z49" s="93"/>
      <c r="AA49" s="93"/>
      <c r="AB49" s="93"/>
      <c r="AC49" s="93"/>
      <c r="AD49" s="93"/>
      <c r="AE49" s="93"/>
      <c r="AF49" s="93"/>
      <c r="AG49" s="93"/>
      <c r="AH49" s="93"/>
      <c r="AI49" s="93"/>
      <c r="AJ49" s="93"/>
      <c r="AK49" s="93"/>
      <c r="AL49" s="93"/>
      <c r="AM49" s="93"/>
      <c r="AN49" s="93"/>
      <c r="AO49" s="93"/>
      <c r="AP49" s="93"/>
      <c r="AQ49" s="93"/>
    </row>
    <row r="50" spans="1:43" x14ac:dyDescent="0.25">
      <c r="A50" s="18"/>
      <c r="B50" s="21"/>
      <c r="C50" s="21" t="s">
        <v>160</v>
      </c>
      <c r="D50" s="21" t="s">
        <v>160</v>
      </c>
      <c r="E50" s="21" t="s">
        <v>160</v>
      </c>
      <c r="F50" s="21" t="s">
        <v>160</v>
      </c>
      <c r="G50" s="21" t="s">
        <v>160</v>
      </c>
      <c r="H50" s="21" t="s">
        <v>160</v>
      </c>
      <c r="I50" s="21" t="s">
        <v>160</v>
      </c>
      <c r="J50" s="21" t="s">
        <v>160</v>
      </c>
      <c r="K50" s="21" t="s">
        <v>160</v>
      </c>
      <c r="L50" s="21" t="s">
        <v>160</v>
      </c>
      <c r="M50" s="21" t="s">
        <v>160</v>
      </c>
      <c r="N50" s="21" t="s">
        <v>160</v>
      </c>
      <c r="O50" s="21" t="s">
        <v>160</v>
      </c>
      <c r="P50" s="21" t="s">
        <v>160</v>
      </c>
      <c r="Q50" s="21" t="s">
        <v>160</v>
      </c>
      <c r="R50" s="21" t="s">
        <v>160</v>
      </c>
      <c r="S50" s="21" t="s">
        <v>160</v>
      </c>
      <c r="T50" s="21" t="s">
        <v>160</v>
      </c>
      <c r="U50" s="21" t="s">
        <v>160</v>
      </c>
      <c r="W50" s="18"/>
      <c r="X50" s="21"/>
      <c r="Y50" s="21"/>
      <c r="Z50" s="21"/>
      <c r="AA50" s="21"/>
      <c r="AB50" s="21"/>
      <c r="AC50" s="21"/>
      <c r="AD50" s="21"/>
      <c r="AE50" s="21"/>
      <c r="AF50" s="21"/>
      <c r="AG50" s="21"/>
      <c r="AH50" s="21"/>
      <c r="AI50" s="21"/>
      <c r="AJ50" s="21"/>
      <c r="AK50" s="21"/>
      <c r="AL50" s="21"/>
      <c r="AM50" s="21"/>
      <c r="AN50" s="21"/>
      <c r="AO50" s="21"/>
      <c r="AP50" s="21"/>
      <c r="AQ50" s="21"/>
    </row>
    <row r="51" spans="1:43" x14ac:dyDescent="0.25">
      <c r="A51" s="18"/>
      <c r="B51" s="21"/>
      <c r="C51" s="21" t="s">
        <v>160</v>
      </c>
      <c r="D51" s="21" t="s">
        <v>160</v>
      </c>
      <c r="E51" s="21" t="s">
        <v>160</v>
      </c>
      <c r="F51" s="21" t="s">
        <v>160</v>
      </c>
      <c r="G51" s="21" t="s">
        <v>160</v>
      </c>
      <c r="H51" s="21" t="s">
        <v>160</v>
      </c>
      <c r="I51" s="21" t="s">
        <v>160</v>
      </c>
      <c r="J51" s="21" t="s">
        <v>160</v>
      </c>
      <c r="K51" s="21" t="s">
        <v>160</v>
      </c>
      <c r="L51" s="21" t="s">
        <v>160</v>
      </c>
      <c r="M51" s="21" t="s">
        <v>160</v>
      </c>
      <c r="N51" s="21" t="s">
        <v>160</v>
      </c>
      <c r="O51" s="21" t="s">
        <v>160</v>
      </c>
      <c r="P51" s="21" t="s">
        <v>160</v>
      </c>
      <c r="Q51" s="21" t="s">
        <v>160</v>
      </c>
      <c r="R51" s="21" t="s">
        <v>160</v>
      </c>
      <c r="S51" s="21" t="s">
        <v>160</v>
      </c>
      <c r="T51" s="21" t="s">
        <v>160</v>
      </c>
      <c r="U51" s="21" t="s">
        <v>160</v>
      </c>
      <c r="W51" s="18"/>
      <c r="X51" s="21"/>
      <c r="Y51" s="21"/>
      <c r="Z51" s="21"/>
      <c r="AA51" s="21"/>
      <c r="AB51" s="21"/>
      <c r="AC51" s="21"/>
      <c r="AD51" s="21"/>
      <c r="AE51" s="21"/>
      <c r="AF51" s="21"/>
      <c r="AG51" s="21"/>
      <c r="AH51" s="21"/>
      <c r="AI51" s="21"/>
      <c r="AJ51" s="21"/>
      <c r="AK51" s="21"/>
      <c r="AL51" s="21"/>
      <c r="AM51" s="21"/>
      <c r="AN51" s="21"/>
      <c r="AO51" s="21"/>
      <c r="AP51" s="21"/>
      <c r="AQ51" s="21"/>
    </row>
    <row r="52" spans="1:43" x14ac:dyDescent="0.25">
      <c r="A52" s="18"/>
      <c r="B52" s="21"/>
      <c r="C52" s="21" t="s">
        <v>160</v>
      </c>
      <c r="D52" s="21" t="s">
        <v>160</v>
      </c>
      <c r="E52" s="21" t="s">
        <v>160</v>
      </c>
      <c r="F52" s="21" t="s">
        <v>160</v>
      </c>
      <c r="G52" s="21" t="s">
        <v>160</v>
      </c>
      <c r="H52" s="21" t="s">
        <v>160</v>
      </c>
      <c r="I52" s="21" t="s">
        <v>160</v>
      </c>
      <c r="J52" s="21" t="s">
        <v>160</v>
      </c>
      <c r="K52" s="21" t="s">
        <v>160</v>
      </c>
      <c r="L52" s="21" t="s">
        <v>160</v>
      </c>
      <c r="M52" s="21" t="s">
        <v>160</v>
      </c>
      <c r="N52" s="21" t="s">
        <v>160</v>
      </c>
      <c r="O52" s="21" t="s">
        <v>160</v>
      </c>
      <c r="P52" s="21" t="s">
        <v>160</v>
      </c>
      <c r="Q52" s="21" t="s">
        <v>160</v>
      </c>
      <c r="R52" s="21" t="s">
        <v>160</v>
      </c>
      <c r="S52" s="21" t="s">
        <v>160</v>
      </c>
      <c r="T52" s="21" t="s">
        <v>160</v>
      </c>
      <c r="U52" s="21" t="s">
        <v>160</v>
      </c>
      <c r="W52" s="18"/>
      <c r="X52" s="21"/>
      <c r="Y52" s="21"/>
      <c r="Z52" s="21"/>
      <c r="AA52" s="21"/>
      <c r="AB52" s="21"/>
      <c r="AC52" s="21"/>
      <c r="AD52" s="21"/>
      <c r="AE52" s="21"/>
      <c r="AF52" s="21"/>
      <c r="AG52" s="21"/>
      <c r="AH52" s="21"/>
      <c r="AI52" s="21"/>
      <c r="AJ52" s="21"/>
      <c r="AK52" s="21"/>
      <c r="AL52" s="21"/>
      <c r="AM52" s="21"/>
      <c r="AN52" s="21"/>
      <c r="AO52" s="21"/>
      <c r="AP52" s="21"/>
      <c r="AQ52" s="21"/>
    </row>
    <row r="53" spans="1:43" x14ac:dyDescent="0.25">
      <c r="A53" s="18"/>
      <c r="B53" s="21"/>
      <c r="C53" s="21" t="s">
        <v>160</v>
      </c>
      <c r="D53" s="21" t="s">
        <v>160</v>
      </c>
      <c r="E53" s="21" t="s">
        <v>160</v>
      </c>
      <c r="F53" s="21" t="s">
        <v>160</v>
      </c>
      <c r="G53" s="21" t="s">
        <v>160</v>
      </c>
      <c r="H53" s="21" t="s">
        <v>160</v>
      </c>
      <c r="I53" s="21" t="s">
        <v>160</v>
      </c>
      <c r="J53" s="21" t="s">
        <v>160</v>
      </c>
      <c r="K53" s="21" t="s">
        <v>160</v>
      </c>
      <c r="L53" s="21" t="s">
        <v>160</v>
      </c>
      <c r="M53" s="21" t="s">
        <v>160</v>
      </c>
      <c r="N53" s="21" t="s">
        <v>160</v>
      </c>
      <c r="O53" s="21" t="s">
        <v>160</v>
      </c>
      <c r="P53" s="21" t="s">
        <v>160</v>
      </c>
      <c r="Q53" s="21" t="s">
        <v>160</v>
      </c>
      <c r="R53" s="21" t="s">
        <v>160</v>
      </c>
      <c r="S53" s="21" t="s">
        <v>160</v>
      </c>
      <c r="T53" s="21" t="s">
        <v>160</v>
      </c>
      <c r="U53" s="21" t="s">
        <v>160</v>
      </c>
      <c r="W53" s="18"/>
      <c r="X53" s="21"/>
      <c r="Y53" s="21"/>
      <c r="Z53" s="21"/>
      <c r="AA53" s="21"/>
      <c r="AB53" s="21"/>
      <c r="AC53" s="21"/>
      <c r="AD53" s="21"/>
      <c r="AE53" s="21"/>
      <c r="AF53" s="21"/>
      <c r="AG53" s="21"/>
      <c r="AH53" s="21"/>
      <c r="AI53" s="21"/>
      <c r="AJ53" s="21"/>
      <c r="AK53" s="21"/>
      <c r="AL53" s="21"/>
      <c r="AM53" s="21"/>
      <c r="AN53" s="21"/>
      <c r="AO53" s="21"/>
      <c r="AP53" s="21"/>
      <c r="AQ53" s="21"/>
    </row>
    <row r="54" spans="1:43" x14ac:dyDescent="0.25">
      <c r="A54" s="18"/>
      <c r="B54" s="21"/>
      <c r="C54" s="21" t="s">
        <v>160</v>
      </c>
      <c r="D54" s="21" t="s">
        <v>160</v>
      </c>
      <c r="E54" s="21" t="s">
        <v>160</v>
      </c>
      <c r="F54" s="21" t="s">
        <v>160</v>
      </c>
      <c r="G54" s="21" t="s">
        <v>160</v>
      </c>
      <c r="H54" s="21" t="s">
        <v>160</v>
      </c>
      <c r="I54" s="21" t="s">
        <v>160</v>
      </c>
      <c r="J54" s="21" t="s">
        <v>160</v>
      </c>
      <c r="K54" s="21" t="s">
        <v>160</v>
      </c>
      <c r="L54" s="21" t="s">
        <v>160</v>
      </c>
      <c r="M54" s="21" t="s">
        <v>160</v>
      </c>
      <c r="N54" s="21" t="s">
        <v>160</v>
      </c>
      <c r="O54" s="21" t="s">
        <v>160</v>
      </c>
      <c r="P54" s="21" t="s">
        <v>160</v>
      </c>
      <c r="Q54" s="21" t="s">
        <v>160</v>
      </c>
      <c r="R54" s="21" t="s">
        <v>160</v>
      </c>
      <c r="S54" s="21" t="s">
        <v>160</v>
      </c>
      <c r="T54" s="21" t="s">
        <v>160</v>
      </c>
      <c r="U54" s="21" t="s">
        <v>160</v>
      </c>
      <c r="W54" s="18"/>
      <c r="X54" s="21"/>
      <c r="Y54" s="21"/>
      <c r="Z54" s="21"/>
      <c r="AA54" s="21"/>
      <c r="AB54" s="21"/>
      <c r="AC54" s="21"/>
      <c r="AD54" s="21"/>
      <c r="AE54" s="21"/>
      <c r="AF54" s="21"/>
      <c r="AG54" s="21"/>
      <c r="AH54" s="21"/>
      <c r="AI54" s="21"/>
      <c r="AJ54" s="21"/>
      <c r="AK54" s="21"/>
      <c r="AL54" s="21"/>
      <c r="AM54" s="21"/>
      <c r="AN54" s="21"/>
      <c r="AO54" s="21"/>
      <c r="AP54" s="21"/>
      <c r="AQ54" s="21"/>
    </row>
    <row r="55" spans="1:43" x14ac:dyDescent="0.25">
      <c r="A55" s="76"/>
      <c r="B55" s="21"/>
      <c r="C55" s="21" t="s">
        <v>160</v>
      </c>
      <c r="D55" s="21" t="s">
        <v>160</v>
      </c>
      <c r="E55" s="21" t="s">
        <v>160</v>
      </c>
      <c r="F55" s="21" t="s">
        <v>160</v>
      </c>
      <c r="G55" s="21" t="s">
        <v>160</v>
      </c>
      <c r="H55" s="21" t="s">
        <v>160</v>
      </c>
      <c r="I55" s="21" t="s">
        <v>160</v>
      </c>
      <c r="J55" s="21" t="s">
        <v>160</v>
      </c>
      <c r="K55" s="21" t="s">
        <v>160</v>
      </c>
      <c r="L55" s="21" t="s">
        <v>160</v>
      </c>
      <c r="M55" s="21" t="s">
        <v>160</v>
      </c>
      <c r="N55" s="21" t="s">
        <v>160</v>
      </c>
      <c r="O55" s="21" t="s">
        <v>160</v>
      </c>
      <c r="P55" s="21" t="s">
        <v>160</v>
      </c>
      <c r="Q55" s="21" t="s">
        <v>160</v>
      </c>
      <c r="R55" s="21" t="s">
        <v>160</v>
      </c>
      <c r="S55" s="21" t="s">
        <v>160</v>
      </c>
      <c r="T55" s="21" t="s">
        <v>160</v>
      </c>
      <c r="U55" s="21" t="s">
        <v>160</v>
      </c>
      <c r="W55" s="76"/>
      <c r="X55" s="21"/>
      <c r="Y55" s="21"/>
      <c r="Z55" s="21"/>
      <c r="AA55" s="21"/>
      <c r="AB55" s="21"/>
      <c r="AC55" s="21"/>
      <c r="AD55" s="21"/>
      <c r="AE55" s="21"/>
      <c r="AF55" s="21"/>
      <c r="AG55" s="21"/>
      <c r="AH55" s="21"/>
      <c r="AI55" s="21"/>
      <c r="AJ55" s="21"/>
      <c r="AK55" s="21"/>
      <c r="AL55" s="21"/>
      <c r="AM55" s="21"/>
      <c r="AN55" s="21"/>
      <c r="AO55" s="21"/>
      <c r="AP55" s="21"/>
      <c r="AQ55" s="21"/>
    </row>
  </sheetData>
  <mergeCells count="2">
    <mergeCell ref="B5:U5"/>
    <mergeCell ref="X5:AQ5"/>
  </mergeCells>
  <conditionalFormatting sqref="B7:U49">
    <cfRule type="expression" dxfId="43" priority="3" stopIfTrue="1">
      <formula>MOD(ROW(),2)=0</formula>
    </cfRule>
    <cfRule type="expression" dxfId="42" priority="4" stopIfTrue="1">
      <formula>MOD(ROW(),2)&lt;&gt;0</formula>
    </cfRule>
  </conditionalFormatting>
  <conditionalFormatting sqref="X7:AQ49">
    <cfRule type="expression" dxfId="41" priority="1" stopIfTrue="1">
      <formula>MOD(ROW(),2)=0</formula>
    </cfRule>
    <cfRule type="expression" dxfId="40" priority="2" stopIfTrue="1">
      <formula>MOD(ROW(),2)&lt;&gt;0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679F5-E609-4C49-A2F0-E6803D85C92D}">
  <sheetPr codeName="Sheet12"/>
  <dimension ref="A2:AQ57"/>
  <sheetViews>
    <sheetView topLeftCell="T3" zoomScaleNormal="100" workbookViewId="0">
      <selection activeCell="C16" sqref="C16"/>
    </sheetView>
  </sheetViews>
  <sheetFormatPr defaultColWidth="9.140625" defaultRowHeight="15" x14ac:dyDescent="0.25"/>
  <cols>
    <col min="1" max="1" width="14.28515625" style="16" customWidth="1"/>
    <col min="2" max="3" width="8.85546875" style="16" customWidth="1"/>
    <col min="4" max="4" width="9.140625" style="16"/>
    <col min="5" max="5" width="8.85546875" style="16" customWidth="1"/>
    <col min="6" max="22" width="9.140625" style="16"/>
    <col min="23" max="23" width="14.28515625" style="16" customWidth="1"/>
    <col min="24" max="16384" width="9.140625" style="16"/>
  </cols>
  <sheetData>
    <row r="2" spans="1:43" x14ac:dyDescent="0.25">
      <c r="A2" s="17" t="s">
        <v>161</v>
      </c>
      <c r="W2" s="17" t="s">
        <v>161</v>
      </c>
    </row>
    <row r="3" spans="1:43" ht="21" x14ac:dyDescent="0.35">
      <c r="A3" s="17" t="s">
        <v>162</v>
      </c>
      <c r="J3" s="16" t="s">
        <v>35</v>
      </c>
      <c r="W3" s="17" t="s">
        <v>163</v>
      </c>
      <c r="AE3" s="16" t="s">
        <v>31</v>
      </c>
    </row>
    <row r="4" spans="1:43" ht="15.75" thickBot="1" x14ac:dyDescent="0.3"/>
    <row r="5" spans="1:43" ht="51" customHeight="1" thickBot="1" x14ac:dyDescent="0.3">
      <c r="A5" s="19" t="s">
        <v>157</v>
      </c>
      <c r="B5" s="212" t="s">
        <v>158</v>
      </c>
      <c r="C5" s="212"/>
      <c r="D5" s="212"/>
      <c r="E5" s="212"/>
      <c r="F5" s="212"/>
      <c r="G5" s="212"/>
      <c r="H5" s="212"/>
      <c r="I5" s="212"/>
      <c r="J5" s="212"/>
      <c r="K5" s="212"/>
      <c r="L5" s="212"/>
      <c r="M5" s="212"/>
      <c r="N5" s="212"/>
      <c r="O5" s="212"/>
      <c r="P5" s="212"/>
      <c r="Q5" s="212"/>
      <c r="R5" s="212"/>
      <c r="S5" s="212"/>
      <c r="T5" s="212"/>
      <c r="U5" s="212"/>
      <c r="W5" s="19" t="s">
        <v>157</v>
      </c>
      <c r="X5" s="212" t="s">
        <v>158</v>
      </c>
      <c r="Y5" s="212"/>
      <c r="Z5" s="212"/>
      <c r="AA5" s="212"/>
      <c r="AB5" s="212"/>
      <c r="AC5" s="212"/>
      <c r="AD5" s="212"/>
      <c r="AE5" s="212"/>
      <c r="AF5" s="212"/>
      <c r="AG5" s="212"/>
      <c r="AH5" s="212"/>
      <c r="AI5" s="212"/>
      <c r="AJ5" s="212"/>
      <c r="AK5" s="212"/>
      <c r="AL5" s="212"/>
      <c r="AM5" s="212"/>
      <c r="AN5" s="212"/>
      <c r="AO5" s="212"/>
      <c r="AP5" s="212"/>
      <c r="AQ5" s="212"/>
    </row>
    <row r="6" spans="1:43" ht="39" customHeight="1" thickBot="1" x14ac:dyDescent="0.3">
      <c r="A6" s="68" t="s">
        <v>159</v>
      </c>
      <c r="B6" s="20">
        <v>1</v>
      </c>
      <c r="C6" s="20">
        <v>2</v>
      </c>
      <c r="D6" s="20">
        <v>3</v>
      </c>
      <c r="E6" s="20">
        <v>4</v>
      </c>
      <c r="F6" s="20">
        <v>5</v>
      </c>
      <c r="G6" s="20">
        <v>6</v>
      </c>
      <c r="H6" s="20">
        <v>7</v>
      </c>
      <c r="I6" s="20">
        <v>8</v>
      </c>
      <c r="J6" s="20">
        <v>9</v>
      </c>
      <c r="K6" s="20">
        <v>10</v>
      </c>
      <c r="L6" s="20">
        <v>11</v>
      </c>
      <c r="M6" s="20">
        <v>12</v>
      </c>
      <c r="N6" s="20">
        <v>13</v>
      </c>
      <c r="O6" s="20">
        <v>14</v>
      </c>
      <c r="P6" s="20">
        <v>15</v>
      </c>
      <c r="Q6" s="20">
        <v>16</v>
      </c>
      <c r="R6" s="20">
        <v>17</v>
      </c>
      <c r="S6" s="20">
        <v>18</v>
      </c>
      <c r="T6" s="20">
        <v>19</v>
      </c>
      <c r="U6" s="20">
        <v>20</v>
      </c>
      <c r="W6" s="68" t="s">
        <v>159</v>
      </c>
      <c r="X6" s="20">
        <v>1</v>
      </c>
      <c r="Y6" s="20">
        <v>2</v>
      </c>
      <c r="Z6" s="20">
        <v>3</v>
      </c>
      <c r="AA6" s="20">
        <v>4</v>
      </c>
      <c r="AB6" s="20">
        <v>5</v>
      </c>
      <c r="AC6" s="20">
        <v>6</v>
      </c>
      <c r="AD6" s="20">
        <v>7</v>
      </c>
      <c r="AE6" s="20">
        <v>8</v>
      </c>
      <c r="AF6" s="20">
        <v>9</v>
      </c>
      <c r="AG6" s="20">
        <v>10</v>
      </c>
      <c r="AH6" s="20">
        <v>11</v>
      </c>
      <c r="AI6" s="20">
        <v>12</v>
      </c>
      <c r="AJ6" s="20">
        <v>13</v>
      </c>
      <c r="AK6" s="20">
        <v>14</v>
      </c>
      <c r="AL6" s="20">
        <v>15</v>
      </c>
      <c r="AM6" s="20">
        <v>16</v>
      </c>
      <c r="AN6" s="20">
        <v>17</v>
      </c>
      <c r="AO6" s="20">
        <v>18</v>
      </c>
      <c r="AP6" s="20">
        <v>19</v>
      </c>
      <c r="AQ6" s="20">
        <v>20</v>
      </c>
    </row>
    <row r="7" spans="1:43" x14ac:dyDescent="0.25">
      <c r="A7" s="92">
        <v>16</v>
      </c>
      <c r="B7" s="93">
        <v>168.8</v>
      </c>
      <c r="C7" s="93">
        <v>86.1</v>
      </c>
      <c r="D7" s="93">
        <v>58.5</v>
      </c>
      <c r="E7" s="93">
        <v>44.7</v>
      </c>
      <c r="F7" s="93">
        <v>36.5</v>
      </c>
      <c r="G7" s="93">
        <v>31</v>
      </c>
      <c r="H7" s="93">
        <v>27.1</v>
      </c>
      <c r="I7" s="93">
        <v>24.2</v>
      </c>
      <c r="J7" s="93">
        <v>21.9</v>
      </c>
      <c r="K7" s="93">
        <v>20.100000000000001</v>
      </c>
      <c r="L7" s="93">
        <v>18.600000000000001</v>
      </c>
      <c r="M7" s="93">
        <v>17.3</v>
      </c>
      <c r="N7" s="93">
        <v>16.3</v>
      </c>
      <c r="O7" s="93">
        <v>15.4</v>
      </c>
      <c r="P7" s="93">
        <v>14.7</v>
      </c>
      <c r="Q7" s="93">
        <v>14</v>
      </c>
      <c r="R7" s="93">
        <v>13.4</v>
      </c>
      <c r="S7" s="93">
        <v>12.9</v>
      </c>
      <c r="T7" s="93">
        <v>12.4</v>
      </c>
      <c r="U7" s="93">
        <v>12</v>
      </c>
      <c r="W7" s="92">
        <v>16</v>
      </c>
      <c r="X7" s="93">
        <v>158.19999999999999</v>
      </c>
      <c r="Y7" s="93">
        <v>80.7</v>
      </c>
      <c r="Z7" s="93">
        <v>54.9</v>
      </c>
      <c r="AA7" s="93">
        <v>41.9</v>
      </c>
      <c r="AB7" s="93">
        <v>34.200000000000003</v>
      </c>
      <c r="AC7" s="93">
        <v>29.1</v>
      </c>
      <c r="AD7" s="93">
        <v>25.4</v>
      </c>
      <c r="AE7" s="93">
        <v>22.6</v>
      </c>
      <c r="AF7" s="93">
        <v>20.5</v>
      </c>
      <c r="AG7" s="93">
        <v>18.8</v>
      </c>
      <c r="AH7" s="93">
        <v>17.399999999999999</v>
      </c>
      <c r="AI7" s="93">
        <v>16.3</v>
      </c>
      <c r="AJ7" s="93">
        <v>15.3</v>
      </c>
      <c r="AK7" s="93">
        <v>14.5</v>
      </c>
      <c r="AL7" s="93">
        <v>13.7</v>
      </c>
      <c r="AM7" s="93">
        <v>13.1</v>
      </c>
      <c r="AN7" s="93">
        <v>12.6</v>
      </c>
      <c r="AO7" s="93">
        <v>12.1</v>
      </c>
      <c r="AP7" s="93">
        <v>11.6</v>
      </c>
      <c r="AQ7" s="93">
        <v>11.3</v>
      </c>
    </row>
    <row r="8" spans="1:43" x14ac:dyDescent="0.25">
      <c r="A8" s="92">
        <v>17</v>
      </c>
      <c r="B8" s="93">
        <v>172</v>
      </c>
      <c r="C8" s="93">
        <v>87.7</v>
      </c>
      <c r="D8" s="93">
        <v>59.6</v>
      </c>
      <c r="E8" s="93">
        <v>45.6</v>
      </c>
      <c r="F8" s="93">
        <v>37.200000000000003</v>
      </c>
      <c r="G8" s="93">
        <v>31.6</v>
      </c>
      <c r="H8" s="93">
        <v>27.6</v>
      </c>
      <c r="I8" s="93">
        <v>24.6</v>
      </c>
      <c r="J8" s="93">
        <v>22.3</v>
      </c>
      <c r="K8" s="93">
        <v>20.399999999999999</v>
      </c>
      <c r="L8" s="93">
        <v>18.899999999999999</v>
      </c>
      <c r="M8" s="93">
        <v>17.7</v>
      </c>
      <c r="N8" s="93">
        <v>16.600000000000001</v>
      </c>
      <c r="O8" s="93">
        <v>15.7</v>
      </c>
      <c r="P8" s="93">
        <v>14.9</v>
      </c>
      <c r="Q8" s="93">
        <v>14.3</v>
      </c>
      <c r="R8" s="93">
        <v>13.7</v>
      </c>
      <c r="S8" s="93">
        <v>13.1</v>
      </c>
      <c r="T8" s="93">
        <v>12.7</v>
      </c>
      <c r="U8" s="93">
        <v>12.2</v>
      </c>
      <c r="W8" s="92">
        <v>17</v>
      </c>
      <c r="X8" s="93">
        <v>161.1</v>
      </c>
      <c r="Y8" s="93">
        <v>82.1</v>
      </c>
      <c r="Z8" s="93">
        <v>55.8</v>
      </c>
      <c r="AA8" s="93">
        <v>42.7</v>
      </c>
      <c r="AB8" s="93">
        <v>34.799999999999997</v>
      </c>
      <c r="AC8" s="93">
        <v>29.6</v>
      </c>
      <c r="AD8" s="93">
        <v>25.9</v>
      </c>
      <c r="AE8" s="93">
        <v>23.1</v>
      </c>
      <c r="AF8" s="93">
        <v>20.9</v>
      </c>
      <c r="AG8" s="93">
        <v>19.100000000000001</v>
      </c>
      <c r="AH8" s="93">
        <v>17.7</v>
      </c>
      <c r="AI8" s="93">
        <v>16.600000000000001</v>
      </c>
      <c r="AJ8" s="93">
        <v>15.6</v>
      </c>
      <c r="AK8" s="93">
        <v>14.7</v>
      </c>
      <c r="AL8" s="93">
        <v>14</v>
      </c>
      <c r="AM8" s="93">
        <v>13.4</v>
      </c>
      <c r="AN8" s="93">
        <v>12.8</v>
      </c>
      <c r="AO8" s="93">
        <v>12.3</v>
      </c>
      <c r="AP8" s="93">
        <v>11.9</v>
      </c>
      <c r="AQ8" s="93">
        <v>11.5</v>
      </c>
    </row>
    <row r="9" spans="1:43" x14ac:dyDescent="0.25">
      <c r="A9" s="92">
        <v>18</v>
      </c>
      <c r="B9" s="93">
        <v>175.4</v>
      </c>
      <c r="C9" s="93">
        <v>89.5</v>
      </c>
      <c r="D9" s="93">
        <v>60.8</v>
      </c>
      <c r="E9" s="93">
        <v>46.5</v>
      </c>
      <c r="F9" s="93">
        <v>37.9</v>
      </c>
      <c r="G9" s="93">
        <v>32.200000000000003</v>
      </c>
      <c r="H9" s="93">
        <v>28.2</v>
      </c>
      <c r="I9" s="93">
        <v>25.1</v>
      </c>
      <c r="J9" s="93">
        <v>22.7</v>
      </c>
      <c r="K9" s="93">
        <v>20.9</v>
      </c>
      <c r="L9" s="93">
        <v>19.3</v>
      </c>
      <c r="M9" s="93">
        <v>18</v>
      </c>
      <c r="N9" s="93">
        <v>17</v>
      </c>
      <c r="O9" s="93">
        <v>16</v>
      </c>
      <c r="P9" s="93">
        <v>15.2</v>
      </c>
      <c r="Q9" s="93">
        <v>14.5</v>
      </c>
      <c r="R9" s="93">
        <v>13.9</v>
      </c>
      <c r="S9" s="93">
        <v>13.4</v>
      </c>
      <c r="T9" s="93">
        <v>12.9</v>
      </c>
      <c r="U9" s="93">
        <v>12.5</v>
      </c>
      <c r="W9" s="92">
        <v>18</v>
      </c>
      <c r="X9" s="93">
        <v>163.9</v>
      </c>
      <c r="Y9" s="93">
        <v>83.6</v>
      </c>
      <c r="Z9" s="93">
        <v>56.8</v>
      </c>
      <c r="AA9" s="93">
        <v>43.5</v>
      </c>
      <c r="AB9" s="93">
        <v>35.5</v>
      </c>
      <c r="AC9" s="93">
        <v>30.1</v>
      </c>
      <c r="AD9" s="93">
        <v>26.3</v>
      </c>
      <c r="AE9" s="93">
        <v>23.5</v>
      </c>
      <c r="AF9" s="93">
        <v>21.3</v>
      </c>
      <c r="AG9" s="93">
        <v>19.5</v>
      </c>
      <c r="AH9" s="93">
        <v>18.100000000000001</v>
      </c>
      <c r="AI9" s="93">
        <v>16.899999999999999</v>
      </c>
      <c r="AJ9" s="93">
        <v>15.8</v>
      </c>
      <c r="AK9" s="93">
        <v>15</v>
      </c>
      <c r="AL9" s="93">
        <v>14.2</v>
      </c>
      <c r="AM9" s="93">
        <v>13.6</v>
      </c>
      <c r="AN9" s="93">
        <v>13</v>
      </c>
      <c r="AO9" s="93">
        <v>12.5</v>
      </c>
      <c r="AP9" s="93">
        <v>12.1</v>
      </c>
      <c r="AQ9" s="93">
        <v>11.7</v>
      </c>
    </row>
    <row r="10" spans="1:43" x14ac:dyDescent="0.25">
      <c r="A10" s="92">
        <v>19</v>
      </c>
      <c r="B10" s="93">
        <v>178.7</v>
      </c>
      <c r="C10" s="93">
        <v>91.2</v>
      </c>
      <c r="D10" s="93">
        <v>62</v>
      </c>
      <c r="E10" s="93">
        <v>47.4</v>
      </c>
      <c r="F10" s="93">
        <v>38.700000000000003</v>
      </c>
      <c r="G10" s="93">
        <v>32.799999999999997</v>
      </c>
      <c r="H10" s="93">
        <v>28.7</v>
      </c>
      <c r="I10" s="93">
        <v>25.6</v>
      </c>
      <c r="J10" s="93">
        <v>23.2</v>
      </c>
      <c r="K10" s="93">
        <v>21.3</v>
      </c>
      <c r="L10" s="93">
        <v>19.7</v>
      </c>
      <c r="M10" s="93">
        <v>18.399999999999999</v>
      </c>
      <c r="N10" s="93">
        <v>17.3</v>
      </c>
      <c r="O10" s="93">
        <v>16.3</v>
      </c>
      <c r="P10" s="93">
        <v>15.5</v>
      </c>
      <c r="Q10" s="93">
        <v>14.8</v>
      </c>
      <c r="R10" s="93">
        <v>14.2</v>
      </c>
      <c r="S10" s="93">
        <v>13.7</v>
      </c>
      <c r="T10" s="93">
        <v>13.2</v>
      </c>
      <c r="U10" s="93">
        <v>12.7</v>
      </c>
      <c r="W10" s="92">
        <v>19</v>
      </c>
      <c r="X10" s="93">
        <v>166.9</v>
      </c>
      <c r="Y10" s="93">
        <v>85.1</v>
      </c>
      <c r="Z10" s="93">
        <v>57.9</v>
      </c>
      <c r="AA10" s="93">
        <v>44.2</v>
      </c>
      <c r="AB10" s="93">
        <v>36.1</v>
      </c>
      <c r="AC10" s="93">
        <v>30.7</v>
      </c>
      <c r="AD10" s="93">
        <v>26.8</v>
      </c>
      <c r="AE10" s="93">
        <v>23.9</v>
      </c>
      <c r="AF10" s="93">
        <v>21.6</v>
      </c>
      <c r="AG10" s="93">
        <v>19.8</v>
      </c>
      <c r="AH10" s="93">
        <v>18.399999999999999</v>
      </c>
      <c r="AI10" s="93">
        <v>17.2</v>
      </c>
      <c r="AJ10" s="93">
        <v>16.100000000000001</v>
      </c>
      <c r="AK10" s="93">
        <v>15.3</v>
      </c>
      <c r="AL10" s="93">
        <v>14.5</v>
      </c>
      <c r="AM10" s="93">
        <v>13.8</v>
      </c>
      <c r="AN10" s="93">
        <v>13.3</v>
      </c>
      <c r="AO10" s="93">
        <v>12.7</v>
      </c>
      <c r="AP10" s="93">
        <v>12.3</v>
      </c>
      <c r="AQ10" s="93">
        <v>11.9</v>
      </c>
    </row>
    <row r="11" spans="1:43" x14ac:dyDescent="0.25">
      <c r="A11" s="92">
        <v>20</v>
      </c>
      <c r="B11" s="93">
        <v>181.9</v>
      </c>
      <c r="C11" s="93">
        <v>92.8</v>
      </c>
      <c r="D11" s="93">
        <v>63.1</v>
      </c>
      <c r="E11" s="93">
        <v>48.2</v>
      </c>
      <c r="F11" s="93">
        <v>39.299999999999997</v>
      </c>
      <c r="G11" s="93">
        <v>33.4</v>
      </c>
      <c r="H11" s="93">
        <v>29.2</v>
      </c>
      <c r="I11" s="93">
        <v>26</v>
      </c>
      <c r="J11" s="93">
        <v>23.6</v>
      </c>
      <c r="K11" s="93">
        <v>21.6</v>
      </c>
      <c r="L11" s="93">
        <v>20</v>
      </c>
      <c r="M11" s="93">
        <v>18.7</v>
      </c>
      <c r="N11" s="93">
        <v>17.600000000000001</v>
      </c>
      <c r="O11" s="93">
        <v>16.600000000000001</v>
      </c>
      <c r="P11" s="93">
        <v>15.8</v>
      </c>
      <c r="Q11" s="93">
        <v>15.1</v>
      </c>
      <c r="R11" s="93">
        <v>14.5</v>
      </c>
      <c r="S11" s="93">
        <v>13.9</v>
      </c>
      <c r="T11" s="93">
        <v>13.4</v>
      </c>
      <c r="U11" s="93">
        <v>13</v>
      </c>
      <c r="W11" s="92">
        <v>20</v>
      </c>
      <c r="X11" s="93">
        <v>169.8</v>
      </c>
      <c r="Y11" s="93">
        <v>86.6</v>
      </c>
      <c r="Z11" s="93">
        <v>58.9</v>
      </c>
      <c r="AA11" s="93">
        <v>45</v>
      </c>
      <c r="AB11" s="93">
        <v>36.700000000000003</v>
      </c>
      <c r="AC11" s="93">
        <v>31.2</v>
      </c>
      <c r="AD11" s="93">
        <v>27.3</v>
      </c>
      <c r="AE11" s="93">
        <v>24.3</v>
      </c>
      <c r="AF11" s="93">
        <v>22</v>
      </c>
      <c r="AG11" s="93">
        <v>20.2</v>
      </c>
      <c r="AH11" s="93">
        <v>18.7</v>
      </c>
      <c r="AI11" s="93">
        <v>17.5</v>
      </c>
      <c r="AJ11" s="93">
        <v>16.399999999999999</v>
      </c>
      <c r="AK11" s="93">
        <v>15.5</v>
      </c>
      <c r="AL11" s="93">
        <v>14.8</v>
      </c>
      <c r="AM11" s="93">
        <v>14.1</v>
      </c>
      <c r="AN11" s="93">
        <v>13.5</v>
      </c>
      <c r="AO11" s="93">
        <v>13</v>
      </c>
      <c r="AP11" s="93">
        <v>12.5</v>
      </c>
      <c r="AQ11" s="93">
        <v>12.1</v>
      </c>
    </row>
    <row r="12" spans="1:43" x14ac:dyDescent="0.25">
      <c r="A12" s="92">
        <v>21</v>
      </c>
      <c r="B12" s="93">
        <v>185.1</v>
      </c>
      <c r="C12" s="93">
        <v>94.4</v>
      </c>
      <c r="D12" s="93">
        <v>64.2</v>
      </c>
      <c r="E12" s="93">
        <v>49.1</v>
      </c>
      <c r="F12" s="93">
        <v>40</v>
      </c>
      <c r="G12" s="93">
        <v>34</v>
      </c>
      <c r="H12" s="93">
        <v>29.7</v>
      </c>
      <c r="I12" s="93">
        <v>26.5</v>
      </c>
      <c r="J12" s="93">
        <v>24</v>
      </c>
      <c r="K12" s="93">
        <v>22</v>
      </c>
      <c r="L12" s="93">
        <v>20.399999999999999</v>
      </c>
      <c r="M12" s="93">
        <v>19</v>
      </c>
      <c r="N12" s="93">
        <v>17.899999999999999</v>
      </c>
      <c r="O12" s="93">
        <v>16.899999999999999</v>
      </c>
      <c r="P12" s="93">
        <v>16.100000000000001</v>
      </c>
      <c r="Q12" s="93">
        <v>15.4</v>
      </c>
      <c r="R12" s="93">
        <v>14.7</v>
      </c>
      <c r="S12" s="93">
        <v>14.1</v>
      </c>
      <c r="T12" s="93">
        <v>13.6</v>
      </c>
      <c r="U12" s="93">
        <v>13.2</v>
      </c>
      <c r="W12" s="92">
        <v>21</v>
      </c>
      <c r="X12" s="93">
        <v>172.8</v>
      </c>
      <c r="Y12" s="93">
        <v>88.1</v>
      </c>
      <c r="Z12" s="93">
        <v>59.9</v>
      </c>
      <c r="AA12" s="93">
        <v>45.8</v>
      </c>
      <c r="AB12" s="93">
        <v>37.4</v>
      </c>
      <c r="AC12" s="93">
        <v>31.8</v>
      </c>
      <c r="AD12" s="93">
        <v>27.7</v>
      </c>
      <c r="AE12" s="93">
        <v>24.7</v>
      </c>
      <c r="AF12" s="93">
        <v>22.4</v>
      </c>
      <c r="AG12" s="93">
        <v>20.6</v>
      </c>
      <c r="AH12" s="93">
        <v>19</v>
      </c>
      <c r="AI12" s="93">
        <v>17.8</v>
      </c>
      <c r="AJ12" s="93">
        <v>16.7</v>
      </c>
      <c r="AK12" s="93">
        <v>15.8</v>
      </c>
      <c r="AL12" s="93">
        <v>15</v>
      </c>
      <c r="AM12" s="93">
        <v>14.3</v>
      </c>
      <c r="AN12" s="93">
        <v>13.7</v>
      </c>
      <c r="AO12" s="93">
        <v>13.2</v>
      </c>
      <c r="AP12" s="93">
        <v>12.7</v>
      </c>
      <c r="AQ12" s="93">
        <v>12.3</v>
      </c>
    </row>
    <row r="13" spans="1:43" x14ac:dyDescent="0.25">
      <c r="A13" s="92">
        <v>22</v>
      </c>
      <c r="B13" s="93">
        <v>188.3</v>
      </c>
      <c r="C13" s="93">
        <v>96</v>
      </c>
      <c r="D13" s="93">
        <v>65.3</v>
      </c>
      <c r="E13" s="93">
        <v>49.9</v>
      </c>
      <c r="F13" s="93">
        <v>40.700000000000003</v>
      </c>
      <c r="G13" s="93">
        <v>34.6</v>
      </c>
      <c r="H13" s="93">
        <v>30.2</v>
      </c>
      <c r="I13" s="93">
        <v>27</v>
      </c>
      <c r="J13" s="93">
        <v>24.4</v>
      </c>
      <c r="K13" s="93">
        <v>22.4</v>
      </c>
      <c r="L13" s="93">
        <v>20.7</v>
      </c>
      <c r="M13" s="93">
        <v>19.399999999999999</v>
      </c>
      <c r="N13" s="93">
        <v>18.2</v>
      </c>
      <c r="O13" s="93">
        <v>17.2</v>
      </c>
      <c r="P13" s="93">
        <v>16.399999999999999</v>
      </c>
      <c r="Q13" s="93">
        <v>15.6</v>
      </c>
      <c r="R13" s="93">
        <v>15</v>
      </c>
      <c r="S13" s="93">
        <v>14.4</v>
      </c>
      <c r="T13" s="93">
        <v>13.9</v>
      </c>
      <c r="U13" s="93">
        <v>13.4</v>
      </c>
      <c r="W13" s="92">
        <v>22</v>
      </c>
      <c r="X13" s="93">
        <v>175.9</v>
      </c>
      <c r="Y13" s="93">
        <v>89.7</v>
      </c>
      <c r="Z13" s="93">
        <v>61</v>
      </c>
      <c r="AA13" s="93">
        <v>46.6</v>
      </c>
      <c r="AB13" s="93">
        <v>38</v>
      </c>
      <c r="AC13" s="93">
        <v>32.299999999999997</v>
      </c>
      <c r="AD13" s="93">
        <v>28.2</v>
      </c>
      <c r="AE13" s="93">
        <v>25.2</v>
      </c>
      <c r="AF13" s="93">
        <v>22.8</v>
      </c>
      <c r="AG13" s="93">
        <v>20.9</v>
      </c>
      <c r="AH13" s="93">
        <v>19.399999999999999</v>
      </c>
      <c r="AI13" s="93">
        <v>18.100000000000001</v>
      </c>
      <c r="AJ13" s="93">
        <v>17</v>
      </c>
      <c r="AK13" s="93">
        <v>16.100000000000001</v>
      </c>
      <c r="AL13" s="93">
        <v>15.3</v>
      </c>
      <c r="AM13" s="93">
        <v>14.6</v>
      </c>
      <c r="AN13" s="93">
        <v>14</v>
      </c>
      <c r="AO13" s="93">
        <v>13.4</v>
      </c>
      <c r="AP13" s="93">
        <v>13</v>
      </c>
      <c r="AQ13" s="93">
        <v>12.5</v>
      </c>
    </row>
    <row r="14" spans="1:43" x14ac:dyDescent="0.25">
      <c r="A14" s="92">
        <v>23</v>
      </c>
      <c r="B14" s="93">
        <v>191.6</v>
      </c>
      <c r="C14" s="93">
        <v>97.7</v>
      </c>
      <c r="D14" s="93">
        <v>66.400000000000006</v>
      </c>
      <c r="E14" s="93">
        <v>50.8</v>
      </c>
      <c r="F14" s="93">
        <v>41.4</v>
      </c>
      <c r="G14" s="93">
        <v>35.200000000000003</v>
      </c>
      <c r="H14" s="93">
        <v>30.8</v>
      </c>
      <c r="I14" s="93">
        <v>27.4</v>
      </c>
      <c r="J14" s="93">
        <v>24.8</v>
      </c>
      <c r="K14" s="93">
        <v>22.8</v>
      </c>
      <c r="L14" s="93">
        <v>21.1</v>
      </c>
      <c r="M14" s="93">
        <v>19.7</v>
      </c>
      <c r="N14" s="93">
        <v>18.5</v>
      </c>
      <c r="O14" s="93">
        <v>17.5</v>
      </c>
      <c r="P14" s="93">
        <v>16.7</v>
      </c>
      <c r="Q14" s="93">
        <v>15.9</v>
      </c>
      <c r="R14" s="93">
        <v>15.2</v>
      </c>
      <c r="S14" s="93">
        <v>14.6</v>
      </c>
      <c r="T14" s="93">
        <v>14.1</v>
      </c>
      <c r="U14" s="93">
        <v>13.7</v>
      </c>
      <c r="W14" s="92">
        <v>23</v>
      </c>
      <c r="X14" s="93">
        <v>179</v>
      </c>
      <c r="Y14" s="93">
        <v>91.3</v>
      </c>
      <c r="Z14" s="93">
        <v>62.1</v>
      </c>
      <c r="AA14" s="93">
        <v>47.5</v>
      </c>
      <c r="AB14" s="93">
        <v>38.700000000000003</v>
      </c>
      <c r="AC14" s="93">
        <v>32.9</v>
      </c>
      <c r="AD14" s="93">
        <v>28.7</v>
      </c>
      <c r="AE14" s="93">
        <v>25.6</v>
      </c>
      <c r="AF14" s="93">
        <v>23.2</v>
      </c>
      <c r="AG14" s="93">
        <v>21.3</v>
      </c>
      <c r="AH14" s="93">
        <v>19.7</v>
      </c>
      <c r="AI14" s="93">
        <v>18.399999999999999</v>
      </c>
      <c r="AJ14" s="93">
        <v>17.3</v>
      </c>
      <c r="AK14" s="93">
        <v>16.399999999999999</v>
      </c>
      <c r="AL14" s="93">
        <v>15.6</v>
      </c>
      <c r="AM14" s="93">
        <v>14.9</v>
      </c>
      <c r="AN14" s="93">
        <v>14.2</v>
      </c>
      <c r="AO14" s="93">
        <v>13.7</v>
      </c>
      <c r="AP14" s="93">
        <v>13.2</v>
      </c>
      <c r="AQ14" s="93">
        <v>12.8</v>
      </c>
    </row>
    <row r="15" spans="1:43" x14ac:dyDescent="0.25">
      <c r="A15" s="92">
        <v>24</v>
      </c>
      <c r="B15" s="93">
        <v>194.9</v>
      </c>
      <c r="C15" s="93">
        <v>99.4</v>
      </c>
      <c r="D15" s="93">
        <v>67.599999999999994</v>
      </c>
      <c r="E15" s="93">
        <v>51.7</v>
      </c>
      <c r="F15" s="93">
        <v>42.2</v>
      </c>
      <c r="G15" s="93">
        <v>35.799999999999997</v>
      </c>
      <c r="H15" s="93">
        <v>31.3</v>
      </c>
      <c r="I15" s="93">
        <v>27.9</v>
      </c>
      <c r="J15" s="93">
        <v>25.3</v>
      </c>
      <c r="K15" s="93">
        <v>23.2</v>
      </c>
      <c r="L15" s="93">
        <v>21.5</v>
      </c>
      <c r="M15" s="93">
        <v>20.100000000000001</v>
      </c>
      <c r="N15" s="93">
        <v>18.899999999999999</v>
      </c>
      <c r="O15" s="93">
        <v>17.8</v>
      </c>
      <c r="P15" s="93">
        <v>16.899999999999999</v>
      </c>
      <c r="Q15" s="93">
        <v>16.2</v>
      </c>
      <c r="R15" s="93">
        <v>15.5</v>
      </c>
      <c r="S15" s="93">
        <v>14.9</v>
      </c>
      <c r="T15" s="93">
        <v>14.4</v>
      </c>
      <c r="U15" s="93">
        <v>13.9</v>
      </c>
      <c r="W15" s="92">
        <v>24</v>
      </c>
      <c r="X15" s="93">
        <v>182.1</v>
      </c>
      <c r="Y15" s="93">
        <v>92.9</v>
      </c>
      <c r="Z15" s="93">
        <v>63.1</v>
      </c>
      <c r="AA15" s="93">
        <v>48.3</v>
      </c>
      <c r="AB15" s="93">
        <v>39.4</v>
      </c>
      <c r="AC15" s="93">
        <v>33.5</v>
      </c>
      <c r="AD15" s="93">
        <v>29.2</v>
      </c>
      <c r="AE15" s="93">
        <v>26.1</v>
      </c>
      <c r="AF15" s="93">
        <v>23.6</v>
      </c>
      <c r="AG15" s="93">
        <v>21.7</v>
      </c>
      <c r="AH15" s="93">
        <v>20.100000000000001</v>
      </c>
      <c r="AI15" s="93">
        <v>18.7</v>
      </c>
      <c r="AJ15" s="93">
        <v>17.600000000000001</v>
      </c>
      <c r="AK15" s="93">
        <v>16.7</v>
      </c>
      <c r="AL15" s="93">
        <v>15.8</v>
      </c>
      <c r="AM15" s="93">
        <v>15.1</v>
      </c>
      <c r="AN15" s="93">
        <v>14.5</v>
      </c>
      <c r="AO15" s="93">
        <v>13.9</v>
      </c>
      <c r="AP15" s="93">
        <v>13.4</v>
      </c>
      <c r="AQ15" s="93">
        <v>13</v>
      </c>
    </row>
    <row r="16" spans="1:43" x14ac:dyDescent="0.25">
      <c r="A16" s="92">
        <v>25</v>
      </c>
      <c r="B16" s="93">
        <v>198.3</v>
      </c>
      <c r="C16" s="93">
        <v>101.1</v>
      </c>
      <c r="D16" s="93">
        <v>68.8</v>
      </c>
      <c r="E16" s="93">
        <v>52.6</v>
      </c>
      <c r="F16" s="93">
        <v>42.9</v>
      </c>
      <c r="G16" s="93">
        <v>36.4</v>
      </c>
      <c r="H16" s="93">
        <v>31.8</v>
      </c>
      <c r="I16" s="93">
        <v>28.4</v>
      </c>
      <c r="J16" s="93">
        <v>25.7</v>
      </c>
      <c r="K16" s="93">
        <v>23.6</v>
      </c>
      <c r="L16" s="93">
        <v>21.8</v>
      </c>
      <c r="M16" s="93">
        <v>20.399999999999999</v>
      </c>
      <c r="N16" s="93">
        <v>19.2</v>
      </c>
      <c r="O16" s="93">
        <v>18.100000000000001</v>
      </c>
      <c r="P16" s="93">
        <v>17.2</v>
      </c>
      <c r="Q16" s="93">
        <v>16.5</v>
      </c>
      <c r="R16" s="93">
        <v>15.8</v>
      </c>
      <c r="S16" s="93">
        <v>15.2</v>
      </c>
      <c r="T16" s="93">
        <v>14.6</v>
      </c>
      <c r="U16" s="93">
        <v>14.1</v>
      </c>
      <c r="W16" s="92">
        <v>25</v>
      </c>
      <c r="X16" s="93">
        <v>185.3</v>
      </c>
      <c r="Y16" s="93">
        <v>94.5</v>
      </c>
      <c r="Z16" s="93">
        <v>64.2</v>
      </c>
      <c r="AA16" s="93">
        <v>49.1</v>
      </c>
      <c r="AB16" s="93">
        <v>40.1</v>
      </c>
      <c r="AC16" s="93">
        <v>34</v>
      </c>
      <c r="AD16" s="93">
        <v>29.7</v>
      </c>
      <c r="AE16" s="93">
        <v>26.5</v>
      </c>
      <c r="AF16" s="93">
        <v>24</v>
      </c>
      <c r="AG16" s="93">
        <v>22</v>
      </c>
      <c r="AH16" s="93">
        <v>20.399999999999999</v>
      </c>
      <c r="AI16" s="93">
        <v>19.100000000000001</v>
      </c>
      <c r="AJ16" s="93">
        <v>17.899999999999999</v>
      </c>
      <c r="AK16" s="93">
        <v>17</v>
      </c>
      <c r="AL16" s="93">
        <v>16.100000000000001</v>
      </c>
      <c r="AM16" s="93">
        <v>15.4</v>
      </c>
      <c r="AN16" s="93">
        <v>14.7</v>
      </c>
      <c r="AO16" s="93">
        <v>14.2</v>
      </c>
      <c r="AP16" s="93">
        <v>13.7</v>
      </c>
      <c r="AQ16" s="93">
        <v>13.2</v>
      </c>
    </row>
    <row r="17" spans="1:43" x14ac:dyDescent="0.25">
      <c r="A17" s="92">
        <v>26</v>
      </c>
      <c r="B17" s="93">
        <v>201.7</v>
      </c>
      <c r="C17" s="93">
        <v>102.9</v>
      </c>
      <c r="D17" s="93">
        <v>69.900000000000006</v>
      </c>
      <c r="E17" s="93">
        <v>53.5</v>
      </c>
      <c r="F17" s="93">
        <v>43.6</v>
      </c>
      <c r="G17" s="93">
        <v>37.1</v>
      </c>
      <c r="H17" s="93">
        <v>32.4</v>
      </c>
      <c r="I17" s="93">
        <v>28.9</v>
      </c>
      <c r="J17" s="93">
        <v>26.2</v>
      </c>
      <c r="K17" s="93">
        <v>24</v>
      </c>
      <c r="L17" s="93">
        <v>22.2</v>
      </c>
      <c r="M17" s="93">
        <v>20.8</v>
      </c>
      <c r="N17" s="93">
        <v>19.5</v>
      </c>
      <c r="O17" s="93">
        <v>18.5</v>
      </c>
      <c r="P17" s="93">
        <v>17.5</v>
      </c>
      <c r="Q17" s="93">
        <v>16.7</v>
      </c>
      <c r="R17" s="93">
        <v>16</v>
      </c>
      <c r="S17" s="93">
        <v>15.4</v>
      </c>
      <c r="T17" s="93">
        <v>14.9</v>
      </c>
      <c r="U17" s="93">
        <v>14.4</v>
      </c>
      <c r="W17" s="92">
        <v>26</v>
      </c>
      <c r="X17" s="93">
        <v>188.5</v>
      </c>
      <c r="Y17" s="93">
        <v>96.1</v>
      </c>
      <c r="Z17" s="93">
        <v>65.400000000000006</v>
      </c>
      <c r="AA17" s="93">
        <v>50</v>
      </c>
      <c r="AB17" s="93">
        <v>40.799999999999997</v>
      </c>
      <c r="AC17" s="93">
        <v>34.6</v>
      </c>
      <c r="AD17" s="93">
        <v>30.3</v>
      </c>
      <c r="AE17" s="93">
        <v>27</v>
      </c>
      <c r="AF17" s="93">
        <v>24.5</v>
      </c>
      <c r="AG17" s="93">
        <v>22.4</v>
      </c>
      <c r="AH17" s="93">
        <v>20.8</v>
      </c>
      <c r="AI17" s="93">
        <v>19.399999999999999</v>
      </c>
      <c r="AJ17" s="93">
        <v>18.2</v>
      </c>
      <c r="AK17" s="93">
        <v>17.3</v>
      </c>
      <c r="AL17" s="93">
        <v>16.399999999999999</v>
      </c>
      <c r="AM17" s="93">
        <v>15.7</v>
      </c>
      <c r="AN17" s="93">
        <v>15</v>
      </c>
      <c r="AO17" s="93">
        <v>14.4</v>
      </c>
      <c r="AP17" s="93">
        <v>13.9</v>
      </c>
      <c r="AQ17" s="93">
        <v>13.4</v>
      </c>
    </row>
    <row r="18" spans="1:43" x14ac:dyDescent="0.25">
      <c r="A18" s="92">
        <v>27</v>
      </c>
      <c r="B18" s="93">
        <v>205.2</v>
      </c>
      <c r="C18" s="93">
        <v>104.7</v>
      </c>
      <c r="D18" s="93">
        <v>71.2</v>
      </c>
      <c r="E18" s="93">
        <v>54.4</v>
      </c>
      <c r="F18" s="93">
        <v>44.4</v>
      </c>
      <c r="G18" s="93">
        <v>37.700000000000003</v>
      </c>
      <c r="H18" s="93">
        <v>33</v>
      </c>
      <c r="I18" s="93">
        <v>29.4</v>
      </c>
      <c r="J18" s="93">
        <v>26.6</v>
      </c>
      <c r="K18" s="93">
        <v>24.4</v>
      </c>
      <c r="L18" s="93">
        <v>22.6</v>
      </c>
      <c r="M18" s="93">
        <v>21.1</v>
      </c>
      <c r="N18" s="93">
        <v>19.899999999999999</v>
      </c>
      <c r="O18" s="93">
        <v>18.8</v>
      </c>
      <c r="P18" s="93">
        <v>17.899999999999999</v>
      </c>
      <c r="Q18" s="93">
        <v>17</v>
      </c>
      <c r="R18" s="93">
        <v>16.3</v>
      </c>
      <c r="S18" s="93">
        <v>15.7</v>
      </c>
      <c r="T18" s="93">
        <v>15.1</v>
      </c>
      <c r="U18" s="93">
        <v>14.6</v>
      </c>
      <c r="W18" s="92">
        <v>27</v>
      </c>
      <c r="X18" s="93">
        <v>191.8</v>
      </c>
      <c r="Y18" s="93">
        <v>97.8</v>
      </c>
      <c r="Z18" s="93">
        <v>66.5</v>
      </c>
      <c r="AA18" s="93">
        <v>50.9</v>
      </c>
      <c r="AB18" s="93">
        <v>41.5</v>
      </c>
      <c r="AC18" s="93">
        <v>35.200000000000003</v>
      </c>
      <c r="AD18" s="93">
        <v>30.8</v>
      </c>
      <c r="AE18" s="93">
        <v>27.5</v>
      </c>
      <c r="AF18" s="93">
        <v>24.9</v>
      </c>
      <c r="AG18" s="93">
        <v>22.8</v>
      </c>
      <c r="AH18" s="93">
        <v>21.1</v>
      </c>
      <c r="AI18" s="93">
        <v>19.7</v>
      </c>
      <c r="AJ18" s="93">
        <v>18.600000000000001</v>
      </c>
      <c r="AK18" s="93">
        <v>17.600000000000001</v>
      </c>
      <c r="AL18" s="93">
        <v>16.7</v>
      </c>
      <c r="AM18" s="93">
        <v>15.9</v>
      </c>
      <c r="AN18" s="93">
        <v>15.3</v>
      </c>
      <c r="AO18" s="93">
        <v>14.7</v>
      </c>
      <c r="AP18" s="93">
        <v>14.2</v>
      </c>
      <c r="AQ18" s="93">
        <v>13.7</v>
      </c>
    </row>
    <row r="19" spans="1:43" x14ac:dyDescent="0.25">
      <c r="A19" s="92">
        <v>28</v>
      </c>
      <c r="B19" s="93">
        <v>208.8</v>
      </c>
      <c r="C19" s="93">
        <v>106.5</v>
      </c>
      <c r="D19" s="93">
        <v>72.400000000000006</v>
      </c>
      <c r="E19" s="93">
        <v>55.4</v>
      </c>
      <c r="F19" s="93">
        <v>45.2</v>
      </c>
      <c r="G19" s="93">
        <v>38.4</v>
      </c>
      <c r="H19" s="93">
        <v>33.5</v>
      </c>
      <c r="I19" s="93">
        <v>29.9</v>
      </c>
      <c r="J19" s="93">
        <v>27.1</v>
      </c>
      <c r="K19" s="93">
        <v>24.8</v>
      </c>
      <c r="L19" s="93">
        <v>23</v>
      </c>
      <c r="M19" s="93">
        <v>21.5</v>
      </c>
      <c r="N19" s="93">
        <v>20.2</v>
      </c>
      <c r="O19" s="93">
        <v>19.100000000000001</v>
      </c>
      <c r="P19" s="93">
        <v>18.2</v>
      </c>
      <c r="Q19" s="93">
        <v>17.3</v>
      </c>
      <c r="R19" s="93">
        <v>16.600000000000001</v>
      </c>
      <c r="S19" s="93">
        <v>16</v>
      </c>
      <c r="T19" s="93">
        <v>15.4</v>
      </c>
      <c r="U19" s="93">
        <v>14.9</v>
      </c>
      <c r="W19" s="92">
        <v>28</v>
      </c>
      <c r="X19" s="93">
        <v>195.1</v>
      </c>
      <c r="Y19" s="93">
        <v>99.5</v>
      </c>
      <c r="Z19" s="93">
        <v>67.7</v>
      </c>
      <c r="AA19" s="93">
        <v>51.8</v>
      </c>
      <c r="AB19" s="93">
        <v>42.2</v>
      </c>
      <c r="AC19" s="93">
        <v>35.9</v>
      </c>
      <c r="AD19" s="93">
        <v>31.3</v>
      </c>
      <c r="AE19" s="93">
        <v>27.9</v>
      </c>
      <c r="AF19" s="93">
        <v>25.3</v>
      </c>
      <c r="AG19" s="93">
        <v>23.2</v>
      </c>
      <c r="AH19" s="93">
        <v>21.5</v>
      </c>
      <c r="AI19" s="93">
        <v>20.100000000000001</v>
      </c>
      <c r="AJ19" s="93">
        <v>18.899999999999999</v>
      </c>
      <c r="AK19" s="93">
        <v>17.899999999999999</v>
      </c>
      <c r="AL19" s="93">
        <v>17</v>
      </c>
      <c r="AM19" s="93">
        <v>16.2</v>
      </c>
      <c r="AN19" s="93">
        <v>15.5</v>
      </c>
      <c r="AO19" s="93">
        <v>14.9</v>
      </c>
      <c r="AP19" s="93">
        <v>14.4</v>
      </c>
      <c r="AQ19" s="93">
        <v>13.9</v>
      </c>
    </row>
    <row r="20" spans="1:43" x14ac:dyDescent="0.25">
      <c r="A20" s="92">
        <v>29</v>
      </c>
      <c r="B20" s="93">
        <v>212.4</v>
      </c>
      <c r="C20" s="93">
        <v>108.3</v>
      </c>
      <c r="D20" s="93">
        <v>73.599999999999994</v>
      </c>
      <c r="E20" s="93">
        <v>56.3</v>
      </c>
      <c r="F20" s="93">
        <v>45.9</v>
      </c>
      <c r="G20" s="93">
        <v>39</v>
      </c>
      <c r="H20" s="93">
        <v>34.1</v>
      </c>
      <c r="I20" s="93">
        <v>30.4</v>
      </c>
      <c r="J20" s="93">
        <v>27.6</v>
      </c>
      <c r="K20" s="93">
        <v>25.3</v>
      </c>
      <c r="L20" s="93">
        <v>23.4</v>
      </c>
      <c r="M20" s="93">
        <v>21.9</v>
      </c>
      <c r="N20" s="93">
        <v>20.6</v>
      </c>
      <c r="O20" s="93">
        <v>19.399999999999999</v>
      </c>
      <c r="P20" s="93">
        <v>18.5</v>
      </c>
      <c r="Q20" s="93">
        <v>17.7</v>
      </c>
      <c r="R20" s="93">
        <v>16.899999999999999</v>
      </c>
      <c r="S20" s="93">
        <v>16.3</v>
      </c>
      <c r="T20" s="93">
        <v>15.7</v>
      </c>
      <c r="U20" s="93">
        <v>15.2</v>
      </c>
      <c r="W20" s="92">
        <v>29</v>
      </c>
      <c r="X20" s="93">
        <v>198.5</v>
      </c>
      <c r="Y20" s="93">
        <v>101.2</v>
      </c>
      <c r="Z20" s="93">
        <v>68.8</v>
      </c>
      <c r="AA20" s="93">
        <v>52.7</v>
      </c>
      <c r="AB20" s="93">
        <v>43</v>
      </c>
      <c r="AC20" s="93">
        <v>36.5</v>
      </c>
      <c r="AD20" s="93">
        <v>31.9</v>
      </c>
      <c r="AE20" s="93">
        <v>28.4</v>
      </c>
      <c r="AF20" s="93">
        <v>25.8</v>
      </c>
      <c r="AG20" s="93">
        <v>23.6</v>
      </c>
      <c r="AH20" s="93">
        <v>21.9</v>
      </c>
      <c r="AI20" s="93">
        <v>20.399999999999999</v>
      </c>
      <c r="AJ20" s="93">
        <v>19.2</v>
      </c>
      <c r="AK20" s="93">
        <v>18.2</v>
      </c>
      <c r="AL20" s="93">
        <v>17.3</v>
      </c>
      <c r="AM20" s="93">
        <v>16.5</v>
      </c>
      <c r="AN20" s="93">
        <v>15.8</v>
      </c>
      <c r="AO20" s="93">
        <v>15.2</v>
      </c>
      <c r="AP20" s="93">
        <v>14.7</v>
      </c>
      <c r="AQ20" s="93">
        <v>14.2</v>
      </c>
    </row>
    <row r="21" spans="1:43" x14ac:dyDescent="0.25">
      <c r="A21" s="92">
        <v>30</v>
      </c>
      <c r="B21" s="93">
        <v>216</v>
      </c>
      <c r="C21" s="93">
        <v>110.2</v>
      </c>
      <c r="D21" s="93">
        <v>74.900000000000006</v>
      </c>
      <c r="E21" s="93">
        <v>57.3</v>
      </c>
      <c r="F21" s="93">
        <v>46.7</v>
      </c>
      <c r="G21" s="93">
        <v>39.700000000000003</v>
      </c>
      <c r="H21" s="93">
        <v>34.700000000000003</v>
      </c>
      <c r="I21" s="93">
        <v>31</v>
      </c>
      <c r="J21" s="93">
        <v>28</v>
      </c>
      <c r="K21" s="93">
        <v>25.7</v>
      </c>
      <c r="L21" s="93">
        <v>23.8</v>
      </c>
      <c r="M21" s="93">
        <v>22.3</v>
      </c>
      <c r="N21" s="93">
        <v>20.9</v>
      </c>
      <c r="O21" s="93">
        <v>19.8</v>
      </c>
      <c r="P21" s="93">
        <v>18.8</v>
      </c>
      <c r="Q21" s="93">
        <v>18</v>
      </c>
      <c r="R21" s="93">
        <v>17.2</v>
      </c>
      <c r="S21" s="93">
        <v>16.600000000000001</v>
      </c>
      <c r="T21" s="93">
        <v>16</v>
      </c>
      <c r="U21" s="93">
        <v>15.4</v>
      </c>
      <c r="W21" s="92">
        <v>30</v>
      </c>
      <c r="X21" s="93">
        <v>202</v>
      </c>
      <c r="Y21" s="93">
        <v>103</v>
      </c>
      <c r="Z21" s="93">
        <v>70</v>
      </c>
      <c r="AA21" s="93">
        <v>53.6</v>
      </c>
      <c r="AB21" s="93">
        <v>43.7</v>
      </c>
      <c r="AC21" s="93">
        <v>37.1</v>
      </c>
      <c r="AD21" s="93">
        <v>32.4</v>
      </c>
      <c r="AE21" s="93">
        <v>28.9</v>
      </c>
      <c r="AF21" s="93">
        <v>26.2</v>
      </c>
      <c r="AG21" s="93">
        <v>24</v>
      </c>
      <c r="AH21" s="93">
        <v>22.3</v>
      </c>
      <c r="AI21" s="93">
        <v>20.8</v>
      </c>
      <c r="AJ21" s="93">
        <v>19.600000000000001</v>
      </c>
      <c r="AK21" s="93">
        <v>18.5</v>
      </c>
      <c r="AL21" s="93">
        <v>17.600000000000001</v>
      </c>
      <c r="AM21" s="93">
        <v>16.8</v>
      </c>
      <c r="AN21" s="93">
        <v>16.100000000000001</v>
      </c>
      <c r="AO21" s="93">
        <v>15.5</v>
      </c>
      <c r="AP21" s="93">
        <v>14.9</v>
      </c>
      <c r="AQ21" s="93">
        <v>14.4</v>
      </c>
    </row>
    <row r="22" spans="1:43" x14ac:dyDescent="0.25">
      <c r="A22" s="92">
        <v>31</v>
      </c>
      <c r="B22" s="93">
        <v>219.8</v>
      </c>
      <c r="C22" s="93">
        <v>112.1</v>
      </c>
      <c r="D22" s="93">
        <v>76.2</v>
      </c>
      <c r="E22" s="93">
        <v>58.3</v>
      </c>
      <c r="F22" s="93">
        <v>47.6</v>
      </c>
      <c r="G22" s="93">
        <v>40.4</v>
      </c>
      <c r="H22" s="93">
        <v>35.299999999999997</v>
      </c>
      <c r="I22" s="93">
        <v>31.5</v>
      </c>
      <c r="J22" s="93">
        <v>28.5</v>
      </c>
      <c r="K22" s="93">
        <v>26.2</v>
      </c>
      <c r="L22" s="93">
        <v>24.2</v>
      </c>
      <c r="M22" s="93">
        <v>22.6</v>
      </c>
      <c r="N22" s="93">
        <v>21.3</v>
      </c>
      <c r="O22" s="93">
        <v>20.100000000000001</v>
      </c>
      <c r="P22" s="93">
        <v>19.100000000000001</v>
      </c>
      <c r="Q22" s="93">
        <v>18.3</v>
      </c>
      <c r="R22" s="93">
        <v>17.5</v>
      </c>
      <c r="S22" s="93">
        <v>16.8</v>
      </c>
      <c r="T22" s="93">
        <v>16.2</v>
      </c>
      <c r="U22" s="93">
        <v>15.7</v>
      </c>
      <c r="W22" s="92">
        <v>31</v>
      </c>
      <c r="X22" s="93">
        <v>205.5</v>
      </c>
      <c r="Y22" s="93">
        <v>104.8</v>
      </c>
      <c r="Z22" s="93">
        <v>71.3</v>
      </c>
      <c r="AA22" s="93">
        <v>54.5</v>
      </c>
      <c r="AB22" s="93">
        <v>44.5</v>
      </c>
      <c r="AC22" s="93">
        <v>37.799999999999997</v>
      </c>
      <c r="AD22" s="93">
        <v>33</v>
      </c>
      <c r="AE22" s="93">
        <v>29.4</v>
      </c>
      <c r="AF22" s="93">
        <v>26.7</v>
      </c>
      <c r="AG22" s="93">
        <v>24.5</v>
      </c>
      <c r="AH22" s="93">
        <v>22.7</v>
      </c>
      <c r="AI22" s="93">
        <v>21.2</v>
      </c>
      <c r="AJ22" s="93">
        <v>19.899999999999999</v>
      </c>
      <c r="AK22" s="93">
        <v>18.8</v>
      </c>
      <c r="AL22" s="93">
        <v>17.899999999999999</v>
      </c>
      <c r="AM22" s="93">
        <v>17.100000000000001</v>
      </c>
      <c r="AN22" s="93">
        <v>16.399999999999999</v>
      </c>
      <c r="AO22" s="93">
        <v>15.8</v>
      </c>
      <c r="AP22" s="93">
        <v>15.2</v>
      </c>
      <c r="AQ22" s="93">
        <v>14.7</v>
      </c>
    </row>
    <row r="23" spans="1:43" x14ac:dyDescent="0.25">
      <c r="A23" s="92">
        <v>32</v>
      </c>
      <c r="B23" s="93">
        <v>223.5</v>
      </c>
      <c r="C23" s="93">
        <v>114</v>
      </c>
      <c r="D23" s="93">
        <v>77.5</v>
      </c>
      <c r="E23" s="93">
        <v>59.3</v>
      </c>
      <c r="F23" s="93">
        <v>48.4</v>
      </c>
      <c r="G23" s="93">
        <v>41.1</v>
      </c>
      <c r="H23" s="93">
        <v>35.9</v>
      </c>
      <c r="I23" s="93">
        <v>32</v>
      </c>
      <c r="J23" s="93">
        <v>29</v>
      </c>
      <c r="K23" s="93">
        <v>26.6</v>
      </c>
      <c r="L23" s="93">
        <v>24.7</v>
      </c>
      <c r="M23" s="93">
        <v>23</v>
      </c>
      <c r="N23" s="93">
        <v>21.7</v>
      </c>
      <c r="O23" s="93">
        <v>20.5</v>
      </c>
      <c r="P23" s="93">
        <v>19.5</v>
      </c>
      <c r="Q23" s="93">
        <v>18.600000000000001</v>
      </c>
      <c r="R23" s="93">
        <v>17.8</v>
      </c>
      <c r="S23" s="93">
        <v>17.100000000000001</v>
      </c>
      <c r="T23" s="93">
        <v>16.5</v>
      </c>
      <c r="U23" s="93">
        <v>16</v>
      </c>
      <c r="W23" s="92">
        <v>32</v>
      </c>
      <c r="X23" s="93">
        <v>209</v>
      </c>
      <c r="Y23" s="93">
        <v>106.6</v>
      </c>
      <c r="Z23" s="93">
        <v>72.5</v>
      </c>
      <c r="AA23" s="93">
        <v>55.5</v>
      </c>
      <c r="AB23" s="93">
        <v>45.2</v>
      </c>
      <c r="AC23" s="93">
        <v>38.4</v>
      </c>
      <c r="AD23" s="93">
        <v>33.6</v>
      </c>
      <c r="AE23" s="93">
        <v>30</v>
      </c>
      <c r="AF23" s="93">
        <v>27.1</v>
      </c>
      <c r="AG23" s="93">
        <v>24.9</v>
      </c>
      <c r="AH23" s="93">
        <v>23.1</v>
      </c>
      <c r="AI23" s="93">
        <v>21.5</v>
      </c>
      <c r="AJ23" s="93">
        <v>20.3</v>
      </c>
      <c r="AK23" s="93">
        <v>19.2</v>
      </c>
      <c r="AL23" s="93">
        <v>18.2</v>
      </c>
      <c r="AM23" s="93">
        <v>17.399999999999999</v>
      </c>
      <c r="AN23" s="93">
        <v>16.7</v>
      </c>
      <c r="AO23" s="93">
        <v>16</v>
      </c>
      <c r="AP23" s="93">
        <v>15.5</v>
      </c>
      <c r="AQ23" s="93">
        <v>15</v>
      </c>
    </row>
    <row r="24" spans="1:43" x14ac:dyDescent="0.25">
      <c r="A24" s="92">
        <v>33</v>
      </c>
      <c r="B24" s="93">
        <v>227.4</v>
      </c>
      <c r="C24" s="93">
        <v>116</v>
      </c>
      <c r="D24" s="93">
        <v>78.900000000000006</v>
      </c>
      <c r="E24" s="93">
        <v>60.3</v>
      </c>
      <c r="F24" s="93">
        <v>49.2</v>
      </c>
      <c r="G24" s="93">
        <v>41.8</v>
      </c>
      <c r="H24" s="93">
        <v>36.5</v>
      </c>
      <c r="I24" s="93">
        <v>32.6</v>
      </c>
      <c r="J24" s="93">
        <v>29.5</v>
      </c>
      <c r="K24" s="93">
        <v>27.1</v>
      </c>
      <c r="L24" s="93">
        <v>25.1</v>
      </c>
      <c r="M24" s="93">
        <v>23.4</v>
      </c>
      <c r="N24" s="93">
        <v>22</v>
      </c>
      <c r="O24" s="93">
        <v>20.9</v>
      </c>
      <c r="P24" s="93">
        <v>19.8</v>
      </c>
      <c r="Q24" s="93">
        <v>18.899999999999999</v>
      </c>
      <c r="R24" s="93">
        <v>18.100000000000001</v>
      </c>
      <c r="S24" s="93">
        <v>17.5</v>
      </c>
      <c r="T24" s="93">
        <v>16.8</v>
      </c>
      <c r="U24" s="93">
        <v>16.3</v>
      </c>
      <c r="W24" s="92">
        <v>33</v>
      </c>
      <c r="X24" s="93">
        <v>212.7</v>
      </c>
      <c r="Y24" s="93">
        <v>108.5</v>
      </c>
      <c r="Z24" s="93">
        <v>73.8</v>
      </c>
      <c r="AA24" s="93">
        <v>56.4</v>
      </c>
      <c r="AB24" s="93">
        <v>46</v>
      </c>
      <c r="AC24" s="93">
        <v>39.1</v>
      </c>
      <c r="AD24" s="93">
        <v>34.200000000000003</v>
      </c>
      <c r="AE24" s="93">
        <v>30.5</v>
      </c>
      <c r="AF24" s="93">
        <v>27.6</v>
      </c>
      <c r="AG24" s="93">
        <v>25.3</v>
      </c>
      <c r="AH24" s="93">
        <v>23.5</v>
      </c>
      <c r="AI24" s="93">
        <v>21.9</v>
      </c>
      <c r="AJ24" s="93">
        <v>20.6</v>
      </c>
      <c r="AK24" s="93">
        <v>19.5</v>
      </c>
      <c r="AL24" s="93">
        <v>18.5</v>
      </c>
      <c r="AM24" s="93">
        <v>17.7</v>
      </c>
      <c r="AN24" s="93">
        <v>17</v>
      </c>
      <c r="AO24" s="93">
        <v>16.3</v>
      </c>
      <c r="AP24" s="93">
        <v>15.7</v>
      </c>
      <c r="AQ24" s="93">
        <v>15.2</v>
      </c>
    </row>
    <row r="25" spans="1:43" x14ac:dyDescent="0.25">
      <c r="A25" s="92">
        <v>34</v>
      </c>
      <c r="B25" s="93">
        <v>231.3</v>
      </c>
      <c r="C25" s="93">
        <v>118</v>
      </c>
      <c r="D25" s="93">
        <v>80.2</v>
      </c>
      <c r="E25" s="93">
        <v>61.4</v>
      </c>
      <c r="F25" s="93">
        <v>50.1</v>
      </c>
      <c r="G25" s="93">
        <v>42.5</v>
      </c>
      <c r="H25" s="93">
        <v>37.200000000000003</v>
      </c>
      <c r="I25" s="93">
        <v>33.200000000000003</v>
      </c>
      <c r="J25" s="93">
        <v>30.1</v>
      </c>
      <c r="K25" s="93">
        <v>27.6</v>
      </c>
      <c r="L25" s="93">
        <v>25.5</v>
      </c>
      <c r="M25" s="93">
        <v>23.9</v>
      </c>
      <c r="N25" s="93">
        <v>22.4</v>
      </c>
      <c r="O25" s="93">
        <v>21.2</v>
      </c>
      <c r="P25" s="93">
        <v>20.2</v>
      </c>
      <c r="Q25" s="93">
        <v>19.3</v>
      </c>
      <c r="R25" s="93">
        <v>18.5</v>
      </c>
      <c r="S25" s="93">
        <v>17.8</v>
      </c>
      <c r="T25" s="93">
        <v>17.100000000000001</v>
      </c>
      <c r="U25" s="93">
        <v>16.600000000000001</v>
      </c>
      <c r="W25" s="92">
        <v>34</v>
      </c>
      <c r="X25" s="93">
        <v>216.4</v>
      </c>
      <c r="Y25" s="93">
        <v>110.4</v>
      </c>
      <c r="Z25" s="93">
        <v>75.099999999999994</v>
      </c>
      <c r="AA25" s="93">
        <v>57.4</v>
      </c>
      <c r="AB25" s="93">
        <v>46.8</v>
      </c>
      <c r="AC25" s="93">
        <v>39.799999999999997</v>
      </c>
      <c r="AD25" s="93">
        <v>34.799999999999997</v>
      </c>
      <c r="AE25" s="93">
        <v>31</v>
      </c>
      <c r="AF25" s="93">
        <v>28.1</v>
      </c>
      <c r="AG25" s="93">
        <v>25.8</v>
      </c>
      <c r="AH25" s="93">
        <v>23.9</v>
      </c>
      <c r="AI25" s="93">
        <v>22.3</v>
      </c>
      <c r="AJ25" s="93">
        <v>21</v>
      </c>
      <c r="AK25" s="93">
        <v>19.899999999999999</v>
      </c>
      <c r="AL25" s="93">
        <v>18.899999999999999</v>
      </c>
      <c r="AM25" s="93">
        <v>18</v>
      </c>
      <c r="AN25" s="93">
        <v>17.3</v>
      </c>
      <c r="AO25" s="93">
        <v>16.600000000000001</v>
      </c>
      <c r="AP25" s="93">
        <v>16</v>
      </c>
      <c r="AQ25" s="93">
        <v>15.5</v>
      </c>
    </row>
    <row r="26" spans="1:43" x14ac:dyDescent="0.25">
      <c r="A26" s="92">
        <v>35</v>
      </c>
      <c r="B26" s="93">
        <v>235.3</v>
      </c>
      <c r="C26" s="93">
        <v>120</v>
      </c>
      <c r="D26" s="93">
        <v>81.599999999999994</v>
      </c>
      <c r="E26" s="93">
        <v>62.4</v>
      </c>
      <c r="F26" s="93">
        <v>50.9</v>
      </c>
      <c r="G26" s="93">
        <v>43.3</v>
      </c>
      <c r="H26" s="93">
        <v>37.799999999999997</v>
      </c>
      <c r="I26" s="93">
        <v>33.700000000000003</v>
      </c>
      <c r="J26" s="93">
        <v>30.6</v>
      </c>
      <c r="K26" s="93">
        <v>28.1</v>
      </c>
      <c r="L26" s="93">
        <v>26</v>
      </c>
      <c r="M26" s="93">
        <v>24.3</v>
      </c>
      <c r="N26" s="93">
        <v>22.8</v>
      </c>
      <c r="O26" s="93">
        <v>21.6</v>
      </c>
      <c r="P26" s="93">
        <v>20.5</v>
      </c>
      <c r="Q26" s="93">
        <v>19.600000000000001</v>
      </c>
      <c r="R26" s="93">
        <v>18.8</v>
      </c>
      <c r="S26" s="93">
        <v>18.100000000000001</v>
      </c>
      <c r="T26" s="93">
        <v>17.5</v>
      </c>
      <c r="U26" s="93">
        <v>16.899999999999999</v>
      </c>
      <c r="W26" s="92">
        <v>35</v>
      </c>
      <c r="X26" s="93">
        <v>220.2</v>
      </c>
      <c r="Y26" s="93">
        <v>112.3</v>
      </c>
      <c r="Z26" s="93">
        <v>76.400000000000006</v>
      </c>
      <c r="AA26" s="93">
        <v>58.4</v>
      </c>
      <c r="AB26" s="93">
        <v>47.7</v>
      </c>
      <c r="AC26" s="93">
        <v>40.5</v>
      </c>
      <c r="AD26" s="93">
        <v>35.4</v>
      </c>
      <c r="AE26" s="93">
        <v>31.6</v>
      </c>
      <c r="AF26" s="93">
        <v>28.6</v>
      </c>
      <c r="AG26" s="93">
        <v>26.2</v>
      </c>
      <c r="AH26" s="93">
        <v>24.3</v>
      </c>
      <c r="AI26" s="93">
        <v>22.7</v>
      </c>
      <c r="AJ26" s="93">
        <v>21.4</v>
      </c>
      <c r="AK26" s="93">
        <v>20.2</v>
      </c>
      <c r="AL26" s="93">
        <v>19.2</v>
      </c>
      <c r="AM26" s="93">
        <v>18.399999999999999</v>
      </c>
      <c r="AN26" s="93">
        <v>17.600000000000001</v>
      </c>
      <c r="AO26" s="93">
        <v>16.899999999999999</v>
      </c>
      <c r="AP26" s="93">
        <v>16.3</v>
      </c>
      <c r="AQ26" s="93">
        <v>15.8</v>
      </c>
    </row>
    <row r="27" spans="1:43" x14ac:dyDescent="0.25">
      <c r="A27" s="92">
        <v>36</v>
      </c>
      <c r="B27" s="93">
        <v>239.4</v>
      </c>
      <c r="C27" s="93">
        <v>122.1</v>
      </c>
      <c r="D27" s="93">
        <v>83.1</v>
      </c>
      <c r="E27" s="93">
        <v>63.5</v>
      </c>
      <c r="F27" s="93">
        <v>51.8</v>
      </c>
      <c r="G27" s="93">
        <v>44.1</v>
      </c>
      <c r="H27" s="93">
        <v>38.5</v>
      </c>
      <c r="I27" s="93">
        <v>34.299999999999997</v>
      </c>
      <c r="J27" s="93">
        <v>31.1</v>
      </c>
      <c r="K27" s="93">
        <v>28.6</v>
      </c>
      <c r="L27" s="93">
        <v>26.5</v>
      </c>
      <c r="M27" s="93">
        <v>24.7</v>
      </c>
      <c r="N27" s="93">
        <v>23.2</v>
      </c>
      <c r="O27" s="93">
        <v>22</v>
      </c>
      <c r="P27" s="93">
        <v>20.9</v>
      </c>
      <c r="Q27" s="93">
        <v>20</v>
      </c>
      <c r="R27" s="93">
        <v>19.100000000000001</v>
      </c>
      <c r="S27" s="93">
        <v>18.399999999999999</v>
      </c>
      <c r="T27" s="93">
        <v>17.8</v>
      </c>
      <c r="U27" s="93">
        <v>17.2</v>
      </c>
      <c r="W27" s="92">
        <v>36</v>
      </c>
      <c r="X27" s="93">
        <v>224.1</v>
      </c>
      <c r="Y27" s="93">
        <v>114.3</v>
      </c>
      <c r="Z27" s="93">
        <v>77.7</v>
      </c>
      <c r="AA27" s="93">
        <v>59.5</v>
      </c>
      <c r="AB27" s="93">
        <v>48.5</v>
      </c>
      <c r="AC27" s="93">
        <v>41.2</v>
      </c>
      <c r="AD27" s="93">
        <v>36</v>
      </c>
      <c r="AE27" s="93">
        <v>32.1</v>
      </c>
      <c r="AF27" s="93">
        <v>29.1</v>
      </c>
      <c r="AG27" s="93">
        <v>26.7</v>
      </c>
      <c r="AH27" s="93">
        <v>24.8</v>
      </c>
      <c r="AI27" s="93">
        <v>23.1</v>
      </c>
      <c r="AJ27" s="93">
        <v>21.8</v>
      </c>
      <c r="AK27" s="93">
        <v>20.6</v>
      </c>
      <c r="AL27" s="93">
        <v>19.600000000000001</v>
      </c>
      <c r="AM27" s="93">
        <v>18.7</v>
      </c>
      <c r="AN27" s="93">
        <v>17.899999999999999</v>
      </c>
      <c r="AO27" s="93">
        <v>17.2</v>
      </c>
      <c r="AP27" s="93">
        <v>16.600000000000001</v>
      </c>
      <c r="AQ27" s="93">
        <v>16.100000000000001</v>
      </c>
    </row>
    <row r="28" spans="1:43" x14ac:dyDescent="0.25">
      <c r="A28" s="92">
        <v>37</v>
      </c>
      <c r="B28" s="93">
        <v>243.6</v>
      </c>
      <c r="C28" s="93">
        <v>124.3</v>
      </c>
      <c r="D28" s="93">
        <v>84.5</v>
      </c>
      <c r="E28" s="93">
        <v>64.7</v>
      </c>
      <c r="F28" s="93">
        <v>52.8</v>
      </c>
      <c r="G28" s="93">
        <v>44.8</v>
      </c>
      <c r="H28" s="93">
        <v>39.200000000000003</v>
      </c>
      <c r="I28" s="93">
        <v>35</v>
      </c>
      <c r="J28" s="93">
        <v>31.7</v>
      </c>
      <c r="K28" s="93">
        <v>29.1</v>
      </c>
      <c r="L28" s="93">
        <v>26.9</v>
      </c>
      <c r="M28" s="93">
        <v>25.2</v>
      </c>
      <c r="N28" s="93">
        <v>23.7</v>
      </c>
      <c r="O28" s="93">
        <v>22.4</v>
      </c>
      <c r="P28" s="93">
        <v>21.3</v>
      </c>
      <c r="Q28" s="93">
        <v>20.3</v>
      </c>
      <c r="R28" s="93">
        <v>19.5</v>
      </c>
      <c r="S28" s="93">
        <v>18.8</v>
      </c>
      <c r="T28" s="93">
        <v>18.100000000000001</v>
      </c>
      <c r="U28" s="93">
        <v>17.5</v>
      </c>
      <c r="W28" s="92">
        <v>37</v>
      </c>
      <c r="X28" s="93">
        <v>228</v>
      </c>
      <c r="Y28" s="93">
        <v>116.3</v>
      </c>
      <c r="Z28" s="93">
        <v>79.099999999999994</v>
      </c>
      <c r="AA28" s="93">
        <v>60.5</v>
      </c>
      <c r="AB28" s="93">
        <v>49.4</v>
      </c>
      <c r="AC28" s="93">
        <v>42</v>
      </c>
      <c r="AD28" s="93">
        <v>36.700000000000003</v>
      </c>
      <c r="AE28" s="93">
        <v>32.700000000000003</v>
      </c>
      <c r="AF28" s="93">
        <v>29.6</v>
      </c>
      <c r="AG28" s="93">
        <v>27.2</v>
      </c>
      <c r="AH28" s="93">
        <v>25.2</v>
      </c>
      <c r="AI28" s="93">
        <v>23.5</v>
      </c>
      <c r="AJ28" s="93">
        <v>22.1</v>
      </c>
      <c r="AK28" s="93">
        <v>21</v>
      </c>
      <c r="AL28" s="93">
        <v>19.899999999999999</v>
      </c>
      <c r="AM28" s="93">
        <v>19</v>
      </c>
      <c r="AN28" s="93">
        <v>18.2</v>
      </c>
      <c r="AO28" s="93">
        <v>17.600000000000001</v>
      </c>
      <c r="AP28" s="93">
        <v>16.899999999999999</v>
      </c>
      <c r="AQ28" s="93">
        <v>16.399999999999999</v>
      </c>
    </row>
    <row r="29" spans="1:43" x14ac:dyDescent="0.25">
      <c r="A29" s="92">
        <v>38</v>
      </c>
      <c r="B29" s="93">
        <v>247.8</v>
      </c>
      <c r="C29" s="93">
        <v>126.4</v>
      </c>
      <c r="D29" s="93">
        <v>86</v>
      </c>
      <c r="E29" s="93">
        <v>65.8</v>
      </c>
      <c r="F29" s="93">
        <v>53.7</v>
      </c>
      <c r="G29" s="93">
        <v>45.6</v>
      </c>
      <c r="H29" s="93">
        <v>39.9</v>
      </c>
      <c r="I29" s="93">
        <v>35.6</v>
      </c>
      <c r="J29" s="93">
        <v>32.200000000000003</v>
      </c>
      <c r="K29" s="93">
        <v>29.6</v>
      </c>
      <c r="L29" s="93">
        <v>27.4</v>
      </c>
      <c r="M29" s="93">
        <v>25.6</v>
      </c>
      <c r="N29" s="93">
        <v>24.1</v>
      </c>
      <c r="O29" s="93">
        <v>22.8</v>
      </c>
      <c r="P29" s="93">
        <v>21.7</v>
      </c>
      <c r="Q29" s="93">
        <v>20.7</v>
      </c>
      <c r="R29" s="93">
        <v>19.899999999999999</v>
      </c>
      <c r="S29" s="93">
        <v>19.100000000000001</v>
      </c>
      <c r="T29" s="93">
        <v>18.399999999999999</v>
      </c>
      <c r="U29" s="93">
        <v>17.8</v>
      </c>
      <c r="W29" s="92">
        <v>38</v>
      </c>
      <c r="X29" s="93">
        <v>232</v>
      </c>
      <c r="Y29" s="93">
        <v>118.4</v>
      </c>
      <c r="Z29" s="93">
        <v>80.5</v>
      </c>
      <c r="AA29" s="93">
        <v>61.6</v>
      </c>
      <c r="AB29" s="93">
        <v>50.3</v>
      </c>
      <c r="AC29" s="93">
        <v>42.7</v>
      </c>
      <c r="AD29" s="93">
        <v>37.299999999999997</v>
      </c>
      <c r="AE29" s="93">
        <v>33.299999999999997</v>
      </c>
      <c r="AF29" s="93">
        <v>30.2</v>
      </c>
      <c r="AG29" s="93">
        <v>27.7</v>
      </c>
      <c r="AH29" s="93">
        <v>25.7</v>
      </c>
      <c r="AI29" s="93">
        <v>24</v>
      </c>
      <c r="AJ29" s="93">
        <v>22.6</v>
      </c>
      <c r="AK29" s="93">
        <v>21.3</v>
      </c>
      <c r="AL29" s="93">
        <v>20.3</v>
      </c>
      <c r="AM29" s="93">
        <v>19.399999999999999</v>
      </c>
      <c r="AN29" s="93">
        <v>18.600000000000001</v>
      </c>
      <c r="AO29" s="93">
        <v>17.899999999999999</v>
      </c>
      <c r="AP29" s="93">
        <v>17.3</v>
      </c>
      <c r="AQ29" s="93">
        <v>16.7</v>
      </c>
    </row>
    <row r="30" spans="1:43" x14ac:dyDescent="0.25">
      <c r="A30" s="92">
        <v>39</v>
      </c>
      <c r="B30" s="93">
        <v>252.1</v>
      </c>
      <c r="C30" s="93">
        <v>128.6</v>
      </c>
      <c r="D30" s="93">
        <v>87.5</v>
      </c>
      <c r="E30" s="93">
        <v>66.900000000000006</v>
      </c>
      <c r="F30" s="93">
        <v>54.6</v>
      </c>
      <c r="G30" s="93">
        <v>46.4</v>
      </c>
      <c r="H30" s="93">
        <v>40.6</v>
      </c>
      <c r="I30" s="93">
        <v>36.200000000000003</v>
      </c>
      <c r="J30" s="93">
        <v>32.799999999999997</v>
      </c>
      <c r="K30" s="93">
        <v>30.1</v>
      </c>
      <c r="L30" s="93">
        <v>27.9</v>
      </c>
      <c r="M30" s="93">
        <v>26.1</v>
      </c>
      <c r="N30" s="93">
        <v>24.5</v>
      </c>
      <c r="O30" s="93">
        <v>23.2</v>
      </c>
      <c r="P30" s="93">
        <v>22.1</v>
      </c>
      <c r="Q30" s="93">
        <v>21.1</v>
      </c>
      <c r="R30" s="93">
        <v>20.2</v>
      </c>
      <c r="S30" s="93">
        <v>19.5</v>
      </c>
      <c r="T30" s="93">
        <v>18.8</v>
      </c>
      <c r="U30" s="93">
        <v>18.2</v>
      </c>
      <c r="W30" s="92">
        <v>39</v>
      </c>
      <c r="X30" s="93">
        <v>236.1</v>
      </c>
      <c r="Y30" s="93">
        <v>120.4</v>
      </c>
      <c r="Z30" s="93">
        <v>81.900000000000006</v>
      </c>
      <c r="AA30" s="93">
        <v>62.7</v>
      </c>
      <c r="AB30" s="93">
        <v>51.1</v>
      </c>
      <c r="AC30" s="93">
        <v>43.5</v>
      </c>
      <c r="AD30" s="93">
        <v>38</v>
      </c>
      <c r="AE30" s="93">
        <v>33.9</v>
      </c>
      <c r="AF30" s="93">
        <v>30.7</v>
      </c>
      <c r="AG30" s="93">
        <v>28.2</v>
      </c>
      <c r="AH30" s="93">
        <v>26.1</v>
      </c>
      <c r="AI30" s="93">
        <v>24.4</v>
      </c>
      <c r="AJ30" s="93">
        <v>23</v>
      </c>
      <c r="AK30" s="93">
        <v>21.7</v>
      </c>
      <c r="AL30" s="93">
        <v>20.7</v>
      </c>
      <c r="AM30" s="93">
        <v>19.7</v>
      </c>
      <c r="AN30" s="93">
        <v>18.899999999999999</v>
      </c>
      <c r="AO30" s="93">
        <v>18.2</v>
      </c>
      <c r="AP30" s="93">
        <v>17.600000000000001</v>
      </c>
      <c r="AQ30" s="93">
        <v>17</v>
      </c>
    </row>
    <row r="31" spans="1:43" x14ac:dyDescent="0.25">
      <c r="A31" s="92">
        <v>40</v>
      </c>
      <c r="B31" s="93">
        <v>256.39999999999998</v>
      </c>
      <c r="C31" s="93">
        <v>130.80000000000001</v>
      </c>
      <c r="D31" s="93">
        <v>89</v>
      </c>
      <c r="E31" s="93">
        <v>68.099999999999994</v>
      </c>
      <c r="F31" s="93">
        <v>55.6</v>
      </c>
      <c r="G31" s="93">
        <v>47.2</v>
      </c>
      <c r="H31" s="93">
        <v>41.3</v>
      </c>
      <c r="I31" s="93">
        <v>36.799999999999997</v>
      </c>
      <c r="J31" s="93">
        <v>33.4</v>
      </c>
      <c r="K31" s="93">
        <v>30.6</v>
      </c>
      <c r="L31" s="93">
        <v>28.4</v>
      </c>
      <c r="M31" s="93">
        <v>26.5</v>
      </c>
      <c r="N31" s="93">
        <v>25</v>
      </c>
      <c r="O31" s="93">
        <v>23.6</v>
      </c>
      <c r="P31" s="93">
        <v>22.5</v>
      </c>
      <c r="Q31" s="93">
        <v>21.5</v>
      </c>
      <c r="R31" s="93">
        <v>20.6</v>
      </c>
      <c r="S31" s="93">
        <v>19.8</v>
      </c>
      <c r="T31" s="93">
        <v>19.100000000000001</v>
      </c>
      <c r="U31" s="93">
        <v>18.5</v>
      </c>
      <c r="W31" s="92">
        <v>40</v>
      </c>
      <c r="X31" s="93">
        <v>240.2</v>
      </c>
      <c r="Y31" s="93">
        <v>122.5</v>
      </c>
      <c r="Z31" s="93">
        <v>83.3</v>
      </c>
      <c r="AA31" s="93">
        <v>63.8</v>
      </c>
      <c r="AB31" s="93">
        <v>52</v>
      </c>
      <c r="AC31" s="93">
        <v>44.2</v>
      </c>
      <c r="AD31" s="93">
        <v>38.700000000000003</v>
      </c>
      <c r="AE31" s="93">
        <v>34.5</v>
      </c>
      <c r="AF31" s="93">
        <v>31.3</v>
      </c>
      <c r="AG31" s="93">
        <v>28.7</v>
      </c>
      <c r="AH31" s="93">
        <v>26.6</v>
      </c>
      <c r="AI31" s="93">
        <v>24.8</v>
      </c>
      <c r="AJ31" s="93">
        <v>23.4</v>
      </c>
      <c r="AK31" s="93">
        <v>22.1</v>
      </c>
      <c r="AL31" s="93">
        <v>21</v>
      </c>
      <c r="AM31" s="93">
        <v>20.100000000000001</v>
      </c>
      <c r="AN31" s="93">
        <v>19.3</v>
      </c>
      <c r="AO31" s="93">
        <v>18.600000000000001</v>
      </c>
      <c r="AP31" s="93">
        <v>17.899999999999999</v>
      </c>
      <c r="AQ31" s="93">
        <v>17.3</v>
      </c>
    </row>
    <row r="32" spans="1:43" x14ac:dyDescent="0.25">
      <c r="A32" s="92">
        <v>41</v>
      </c>
      <c r="B32" s="93">
        <v>260.8</v>
      </c>
      <c r="C32" s="93">
        <v>133.1</v>
      </c>
      <c r="D32" s="93">
        <v>90.5</v>
      </c>
      <c r="E32" s="93">
        <v>69.3</v>
      </c>
      <c r="F32" s="93">
        <v>56.5</v>
      </c>
      <c r="G32" s="93">
        <v>48</v>
      </c>
      <c r="H32" s="93">
        <v>42</v>
      </c>
      <c r="I32" s="93">
        <v>37.5</v>
      </c>
      <c r="J32" s="93">
        <v>34</v>
      </c>
      <c r="K32" s="93">
        <v>31.2</v>
      </c>
      <c r="L32" s="93">
        <v>28.9</v>
      </c>
      <c r="M32" s="93">
        <v>27</v>
      </c>
      <c r="N32" s="93">
        <v>25.4</v>
      </c>
      <c r="O32" s="93">
        <v>24</v>
      </c>
      <c r="P32" s="93">
        <v>22.9</v>
      </c>
      <c r="Q32" s="93">
        <v>21.9</v>
      </c>
      <c r="R32" s="93">
        <v>21</v>
      </c>
      <c r="S32" s="93">
        <v>20.2</v>
      </c>
      <c r="T32" s="93">
        <v>19.5</v>
      </c>
      <c r="U32" s="93">
        <v>18.899999999999999</v>
      </c>
      <c r="W32" s="92">
        <v>41</v>
      </c>
      <c r="X32" s="93">
        <v>244.4</v>
      </c>
      <c r="Y32" s="93">
        <v>124.7</v>
      </c>
      <c r="Z32" s="93">
        <v>84.8</v>
      </c>
      <c r="AA32" s="93">
        <v>64.900000000000006</v>
      </c>
      <c r="AB32" s="93">
        <v>53</v>
      </c>
      <c r="AC32" s="93">
        <v>45</v>
      </c>
      <c r="AD32" s="93">
        <v>39.299999999999997</v>
      </c>
      <c r="AE32" s="93">
        <v>35.1</v>
      </c>
      <c r="AF32" s="93">
        <v>31.8</v>
      </c>
      <c r="AG32" s="93">
        <v>29.2</v>
      </c>
      <c r="AH32" s="93">
        <v>27.1</v>
      </c>
      <c r="AI32" s="93">
        <v>25.3</v>
      </c>
      <c r="AJ32" s="93">
        <v>23.8</v>
      </c>
      <c r="AK32" s="93">
        <v>22.5</v>
      </c>
      <c r="AL32" s="93">
        <v>21.4</v>
      </c>
      <c r="AM32" s="93">
        <v>20.5</v>
      </c>
      <c r="AN32" s="93">
        <v>19.7</v>
      </c>
      <c r="AO32" s="93">
        <v>18.899999999999999</v>
      </c>
      <c r="AP32" s="93">
        <v>18.3</v>
      </c>
      <c r="AQ32" s="93">
        <v>17.7</v>
      </c>
    </row>
    <row r="33" spans="1:43" x14ac:dyDescent="0.25">
      <c r="A33" s="92">
        <v>42</v>
      </c>
      <c r="B33" s="93">
        <v>265.3</v>
      </c>
      <c r="C33" s="93">
        <v>135.4</v>
      </c>
      <c r="D33" s="93">
        <v>92.1</v>
      </c>
      <c r="E33" s="93">
        <v>70.5</v>
      </c>
      <c r="F33" s="93">
        <v>57.5</v>
      </c>
      <c r="G33" s="93">
        <v>48.9</v>
      </c>
      <c r="H33" s="93">
        <v>42.7</v>
      </c>
      <c r="I33" s="93">
        <v>38.1</v>
      </c>
      <c r="J33" s="93">
        <v>34.6</v>
      </c>
      <c r="K33" s="93">
        <v>31.7</v>
      </c>
      <c r="L33" s="93">
        <v>29.4</v>
      </c>
      <c r="M33" s="93">
        <v>27.5</v>
      </c>
      <c r="N33" s="93">
        <v>25.9</v>
      </c>
      <c r="O33" s="93">
        <v>24.5</v>
      </c>
      <c r="P33" s="93">
        <v>23.3</v>
      </c>
      <c r="Q33" s="93">
        <v>22.3</v>
      </c>
      <c r="R33" s="93">
        <v>21.4</v>
      </c>
      <c r="S33" s="93">
        <v>20.6</v>
      </c>
      <c r="T33" s="93">
        <v>19.899999999999999</v>
      </c>
      <c r="U33" s="93">
        <v>19.2</v>
      </c>
      <c r="W33" s="92">
        <v>42</v>
      </c>
      <c r="X33" s="93">
        <v>248.6</v>
      </c>
      <c r="Y33" s="93">
        <v>126.9</v>
      </c>
      <c r="Z33" s="93">
        <v>86.3</v>
      </c>
      <c r="AA33" s="93">
        <v>66</v>
      </c>
      <c r="AB33" s="93">
        <v>53.9</v>
      </c>
      <c r="AC33" s="93">
        <v>45.8</v>
      </c>
      <c r="AD33" s="93">
        <v>40.1</v>
      </c>
      <c r="AE33" s="93">
        <v>35.700000000000003</v>
      </c>
      <c r="AF33" s="93">
        <v>32.4</v>
      </c>
      <c r="AG33" s="93">
        <v>29.7</v>
      </c>
      <c r="AH33" s="93">
        <v>27.6</v>
      </c>
      <c r="AI33" s="93">
        <v>25.8</v>
      </c>
      <c r="AJ33" s="93">
        <v>24.2</v>
      </c>
      <c r="AK33" s="93">
        <v>23</v>
      </c>
      <c r="AL33" s="93">
        <v>21.8</v>
      </c>
      <c r="AM33" s="93">
        <v>20.9</v>
      </c>
      <c r="AN33" s="93">
        <v>20</v>
      </c>
      <c r="AO33" s="93">
        <v>19.3</v>
      </c>
      <c r="AP33" s="93">
        <v>18.600000000000001</v>
      </c>
      <c r="AQ33" s="93">
        <v>18</v>
      </c>
    </row>
    <row r="34" spans="1:43" x14ac:dyDescent="0.25">
      <c r="A34" s="92">
        <v>43</v>
      </c>
      <c r="B34" s="93">
        <v>270</v>
      </c>
      <c r="C34" s="93">
        <v>137.80000000000001</v>
      </c>
      <c r="D34" s="93">
        <v>93.7</v>
      </c>
      <c r="E34" s="93">
        <v>71.7</v>
      </c>
      <c r="F34" s="93">
        <v>58.5</v>
      </c>
      <c r="G34" s="93">
        <v>49.8</v>
      </c>
      <c r="H34" s="93">
        <v>43.5</v>
      </c>
      <c r="I34" s="93">
        <v>38.799999999999997</v>
      </c>
      <c r="J34" s="93">
        <v>35.200000000000003</v>
      </c>
      <c r="K34" s="93">
        <v>32.299999999999997</v>
      </c>
      <c r="L34" s="93">
        <v>29.9</v>
      </c>
      <c r="M34" s="93">
        <v>28</v>
      </c>
      <c r="N34" s="93">
        <v>26.4</v>
      </c>
      <c r="O34" s="93">
        <v>25</v>
      </c>
      <c r="P34" s="93">
        <v>23.7</v>
      </c>
      <c r="Q34" s="93">
        <v>22.7</v>
      </c>
      <c r="R34" s="93">
        <v>21.8</v>
      </c>
      <c r="S34" s="93">
        <v>21</v>
      </c>
      <c r="T34" s="93">
        <v>20.3</v>
      </c>
      <c r="U34" s="93">
        <v>19.600000000000001</v>
      </c>
      <c r="W34" s="92">
        <v>43</v>
      </c>
      <c r="X34" s="93">
        <v>253.1</v>
      </c>
      <c r="Y34" s="93">
        <v>129.1</v>
      </c>
      <c r="Z34" s="93">
        <v>87.8</v>
      </c>
      <c r="AA34" s="93">
        <v>67.2</v>
      </c>
      <c r="AB34" s="93">
        <v>54.9</v>
      </c>
      <c r="AC34" s="93">
        <v>46.6</v>
      </c>
      <c r="AD34" s="93">
        <v>40.799999999999997</v>
      </c>
      <c r="AE34" s="93">
        <v>36.4</v>
      </c>
      <c r="AF34" s="93">
        <v>33</v>
      </c>
      <c r="AG34" s="93">
        <v>30.3</v>
      </c>
      <c r="AH34" s="93">
        <v>28.1</v>
      </c>
      <c r="AI34" s="93">
        <v>26.2</v>
      </c>
      <c r="AJ34" s="93">
        <v>24.7</v>
      </c>
      <c r="AK34" s="93">
        <v>23.4</v>
      </c>
      <c r="AL34" s="93">
        <v>22.3</v>
      </c>
      <c r="AM34" s="93">
        <v>21.3</v>
      </c>
      <c r="AN34" s="93">
        <v>20.399999999999999</v>
      </c>
      <c r="AO34" s="93">
        <v>19.7</v>
      </c>
      <c r="AP34" s="93">
        <v>19</v>
      </c>
      <c r="AQ34" s="93">
        <v>18.399999999999999</v>
      </c>
    </row>
    <row r="35" spans="1:43" x14ac:dyDescent="0.25">
      <c r="A35" s="92">
        <v>44</v>
      </c>
      <c r="B35" s="93">
        <v>274.7</v>
      </c>
      <c r="C35" s="93">
        <v>140.19999999999999</v>
      </c>
      <c r="D35" s="93">
        <v>95.4</v>
      </c>
      <c r="E35" s="93">
        <v>73</v>
      </c>
      <c r="F35" s="93">
        <v>59.6</v>
      </c>
      <c r="G35" s="93">
        <v>50.7</v>
      </c>
      <c r="H35" s="93">
        <v>44.3</v>
      </c>
      <c r="I35" s="93">
        <v>39.5</v>
      </c>
      <c r="J35" s="93">
        <v>35.799999999999997</v>
      </c>
      <c r="K35" s="93">
        <v>32.9</v>
      </c>
      <c r="L35" s="93">
        <v>30.5</v>
      </c>
      <c r="M35" s="93">
        <v>28.5</v>
      </c>
      <c r="N35" s="93">
        <v>26.9</v>
      </c>
      <c r="O35" s="93">
        <v>25.4</v>
      </c>
      <c r="P35" s="93">
        <v>24.2</v>
      </c>
      <c r="Q35" s="93">
        <v>23.1</v>
      </c>
      <c r="R35" s="93">
        <v>22.2</v>
      </c>
      <c r="S35" s="93">
        <v>21.4</v>
      </c>
      <c r="T35" s="93">
        <v>20.7</v>
      </c>
      <c r="U35" s="93">
        <v>20</v>
      </c>
      <c r="W35" s="92">
        <v>44</v>
      </c>
      <c r="X35" s="93">
        <v>257.60000000000002</v>
      </c>
      <c r="Y35" s="93">
        <v>131.5</v>
      </c>
      <c r="Z35" s="93">
        <v>89.4</v>
      </c>
      <c r="AA35" s="93">
        <v>68.400000000000006</v>
      </c>
      <c r="AB35" s="93">
        <v>55.9</v>
      </c>
      <c r="AC35" s="93">
        <v>47.5</v>
      </c>
      <c r="AD35" s="93">
        <v>41.5</v>
      </c>
      <c r="AE35" s="93">
        <v>37.1</v>
      </c>
      <c r="AF35" s="93">
        <v>33.6</v>
      </c>
      <c r="AG35" s="93">
        <v>30.9</v>
      </c>
      <c r="AH35" s="93">
        <v>28.6</v>
      </c>
      <c r="AI35" s="93">
        <v>26.7</v>
      </c>
      <c r="AJ35" s="93">
        <v>25.2</v>
      </c>
      <c r="AK35" s="93">
        <v>23.8</v>
      </c>
      <c r="AL35" s="93">
        <v>22.7</v>
      </c>
      <c r="AM35" s="93">
        <v>21.7</v>
      </c>
      <c r="AN35" s="93">
        <v>20.8</v>
      </c>
      <c r="AO35" s="93">
        <v>20.100000000000001</v>
      </c>
      <c r="AP35" s="93">
        <v>19.399999999999999</v>
      </c>
      <c r="AQ35" s="93">
        <v>18.8</v>
      </c>
    </row>
    <row r="36" spans="1:43" x14ac:dyDescent="0.25">
      <c r="A36" s="92">
        <v>45</v>
      </c>
      <c r="B36" s="93">
        <v>279.7</v>
      </c>
      <c r="C36" s="93">
        <v>142.69999999999999</v>
      </c>
      <c r="D36" s="93">
        <v>97.1</v>
      </c>
      <c r="E36" s="93">
        <v>74.3</v>
      </c>
      <c r="F36" s="93">
        <v>60.7</v>
      </c>
      <c r="G36" s="93">
        <v>51.6</v>
      </c>
      <c r="H36" s="93">
        <v>45.1</v>
      </c>
      <c r="I36" s="93">
        <v>40.299999999999997</v>
      </c>
      <c r="J36" s="93">
        <v>36.5</v>
      </c>
      <c r="K36" s="93">
        <v>33.5</v>
      </c>
      <c r="L36" s="93">
        <v>31.1</v>
      </c>
      <c r="M36" s="93">
        <v>29.1</v>
      </c>
      <c r="N36" s="93">
        <v>27.4</v>
      </c>
      <c r="O36" s="93">
        <v>25.9</v>
      </c>
      <c r="P36" s="93">
        <v>24.7</v>
      </c>
      <c r="Q36" s="93">
        <v>23.6</v>
      </c>
      <c r="R36" s="93">
        <v>22.7</v>
      </c>
      <c r="S36" s="93">
        <v>21.8</v>
      </c>
      <c r="T36" s="93">
        <v>21.1</v>
      </c>
      <c r="U36" s="93"/>
      <c r="W36" s="92">
        <v>45</v>
      </c>
      <c r="X36" s="93">
        <v>262.3</v>
      </c>
      <c r="Y36" s="93">
        <v>133.9</v>
      </c>
      <c r="Z36" s="93">
        <v>91.1</v>
      </c>
      <c r="AA36" s="93">
        <v>69.7</v>
      </c>
      <c r="AB36" s="93">
        <v>56.9</v>
      </c>
      <c r="AC36" s="93">
        <v>48.4</v>
      </c>
      <c r="AD36" s="93">
        <v>42.3</v>
      </c>
      <c r="AE36" s="93">
        <v>37.799999999999997</v>
      </c>
      <c r="AF36" s="93">
        <v>34.200000000000003</v>
      </c>
      <c r="AG36" s="93">
        <v>31.4</v>
      </c>
      <c r="AH36" s="93">
        <v>29.2</v>
      </c>
      <c r="AI36" s="93">
        <v>27.3</v>
      </c>
      <c r="AJ36" s="93">
        <v>25.7</v>
      </c>
      <c r="AK36" s="93">
        <v>24.3</v>
      </c>
      <c r="AL36" s="93">
        <v>23.2</v>
      </c>
      <c r="AM36" s="93">
        <v>22.1</v>
      </c>
      <c r="AN36" s="93">
        <v>21.3</v>
      </c>
      <c r="AO36" s="93">
        <v>20.5</v>
      </c>
      <c r="AP36" s="93">
        <v>19.8</v>
      </c>
      <c r="AQ36" s="93"/>
    </row>
    <row r="37" spans="1:43" x14ac:dyDescent="0.25">
      <c r="A37" s="92">
        <v>46</v>
      </c>
      <c r="B37" s="93">
        <v>284.60000000000002</v>
      </c>
      <c r="C37" s="93">
        <v>145.30000000000001</v>
      </c>
      <c r="D37" s="93">
        <v>98.8</v>
      </c>
      <c r="E37" s="93">
        <v>75.7</v>
      </c>
      <c r="F37" s="93">
        <v>61.8</v>
      </c>
      <c r="G37" s="93">
        <v>52.5</v>
      </c>
      <c r="H37" s="93">
        <v>45.9</v>
      </c>
      <c r="I37" s="93">
        <v>41</v>
      </c>
      <c r="J37" s="93">
        <v>37.200000000000003</v>
      </c>
      <c r="K37" s="93">
        <v>34.200000000000003</v>
      </c>
      <c r="L37" s="93">
        <v>31.7</v>
      </c>
      <c r="M37" s="93">
        <v>29.6</v>
      </c>
      <c r="N37" s="93">
        <v>27.9</v>
      </c>
      <c r="O37" s="93">
        <v>26.4</v>
      </c>
      <c r="P37" s="93">
        <v>25.2</v>
      </c>
      <c r="Q37" s="93">
        <v>24.1</v>
      </c>
      <c r="R37" s="93">
        <v>23.1</v>
      </c>
      <c r="S37" s="93">
        <v>22.3</v>
      </c>
      <c r="T37" s="93"/>
      <c r="U37" s="93"/>
      <c r="W37" s="92">
        <v>46</v>
      </c>
      <c r="X37" s="93">
        <v>267.10000000000002</v>
      </c>
      <c r="Y37" s="93">
        <v>136.30000000000001</v>
      </c>
      <c r="Z37" s="93">
        <v>92.8</v>
      </c>
      <c r="AA37" s="93">
        <v>71</v>
      </c>
      <c r="AB37" s="93">
        <v>58</v>
      </c>
      <c r="AC37" s="93">
        <v>49.3</v>
      </c>
      <c r="AD37" s="93">
        <v>43.1</v>
      </c>
      <c r="AE37" s="93">
        <v>38.5</v>
      </c>
      <c r="AF37" s="93">
        <v>34.9</v>
      </c>
      <c r="AG37" s="93">
        <v>32.1</v>
      </c>
      <c r="AH37" s="93">
        <v>29.7</v>
      </c>
      <c r="AI37" s="93">
        <v>27.8</v>
      </c>
      <c r="AJ37" s="93">
        <v>26.2</v>
      </c>
      <c r="AK37" s="93">
        <v>24.8</v>
      </c>
      <c r="AL37" s="93">
        <v>23.6</v>
      </c>
      <c r="AM37" s="93">
        <v>22.6</v>
      </c>
      <c r="AN37" s="93">
        <v>21.7</v>
      </c>
      <c r="AO37" s="93">
        <v>20.9</v>
      </c>
      <c r="AP37" s="93"/>
      <c r="AQ37" s="93"/>
    </row>
    <row r="38" spans="1:43" x14ac:dyDescent="0.25">
      <c r="A38" s="92">
        <v>47</v>
      </c>
      <c r="B38" s="93">
        <v>289.7</v>
      </c>
      <c r="C38" s="93">
        <v>147.9</v>
      </c>
      <c r="D38" s="93">
        <v>100.6</v>
      </c>
      <c r="E38" s="93">
        <v>77</v>
      </c>
      <c r="F38" s="93">
        <v>62.9</v>
      </c>
      <c r="G38" s="93">
        <v>53.5</v>
      </c>
      <c r="H38" s="93">
        <v>46.8</v>
      </c>
      <c r="I38" s="93">
        <v>41.8</v>
      </c>
      <c r="J38" s="93">
        <v>37.9</v>
      </c>
      <c r="K38" s="93">
        <v>34.799999999999997</v>
      </c>
      <c r="L38" s="93">
        <v>32.299999999999997</v>
      </c>
      <c r="M38" s="93">
        <v>30.2</v>
      </c>
      <c r="N38" s="93">
        <v>28.5</v>
      </c>
      <c r="O38" s="93">
        <v>27</v>
      </c>
      <c r="P38" s="93">
        <v>25.7</v>
      </c>
      <c r="Q38" s="93">
        <v>24.6</v>
      </c>
      <c r="R38" s="93">
        <v>23.6</v>
      </c>
      <c r="S38" s="93"/>
      <c r="T38" s="93"/>
      <c r="U38" s="93"/>
      <c r="W38" s="92">
        <v>47</v>
      </c>
      <c r="X38" s="93">
        <v>272</v>
      </c>
      <c r="Y38" s="93">
        <v>138.80000000000001</v>
      </c>
      <c r="Z38" s="93">
        <v>94.5</v>
      </c>
      <c r="AA38" s="93">
        <v>72.3</v>
      </c>
      <c r="AB38" s="93">
        <v>59</v>
      </c>
      <c r="AC38" s="93">
        <v>50.2</v>
      </c>
      <c r="AD38" s="93">
        <v>43.9</v>
      </c>
      <c r="AE38" s="93">
        <v>39.200000000000003</v>
      </c>
      <c r="AF38" s="93">
        <v>35.6</v>
      </c>
      <c r="AG38" s="93">
        <v>32.700000000000003</v>
      </c>
      <c r="AH38" s="93">
        <v>30.3</v>
      </c>
      <c r="AI38" s="93">
        <v>28.4</v>
      </c>
      <c r="AJ38" s="93">
        <v>26.7</v>
      </c>
      <c r="AK38" s="93">
        <v>25.3</v>
      </c>
      <c r="AL38" s="93">
        <v>24.1</v>
      </c>
      <c r="AM38" s="93">
        <v>23.1</v>
      </c>
      <c r="AN38" s="93">
        <v>22.2</v>
      </c>
      <c r="AO38" s="93"/>
      <c r="AP38" s="93"/>
      <c r="AQ38" s="93"/>
    </row>
    <row r="39" spans="1:43" x14ac:dyDescent="0.25">
      <c r="A39" s="92">
        <v>48</v>
      </c>
      <c r="B39" s="93">
        <v>295</v>
      </c>
      <c r="C39" s="93">
        <v>150.6</v>
      </c>
      <c r="D39" s="93">
        <v>102.5</v>
      </c>
      <c r="E39" s="93">
        <v>78.400000000000006</v>
      </c>
      <c r="F39" s="93">
        <v>64.099999999999994</v>
      </c>
      <c r="G39" s="93">
        <v>54.5</v>
      </c>
      <c r="H39" s="93">
        <v>47.7</v>
      </c>
      <c r="I39" s="93">
        <v>42.6</v>
      </c>
      <c r="J39" s="93">
        <v>38.700000000000003</v>
      </c>
      <c r="K39" s="93">
        <v>35.5</v>
      </c>
      <c r="L39" s="93">
        <v>33</v>
      </c>
      <c r="M39" s="93">
        <v>30.8</v>
      </c>
      <c r="N39" s="93">
        <v>29.1</v>
      </c>
      <c r="O39" s="93">
        <v>27.5</v>
      </c>
      <c r="P39" s="93">
        <v>26.2</v>
      </c>
      <c r="Q39" s="93">
        <v>25.1</v>
      </c>
      <c r="R39" s="93"/>
      <c r="S39" s="93"/>
      <c r="T39" s="93"/>
      <c r="U39" s="93"/>
      <c r="W39" s="92">
        <v>48</v>
      </c>
      <c r="X39" s="93">
        <v>277</v>
      </c>
      <c r="Y39" s="93">
        <v>141.4</v>
      </c>
      <c r="Z39" s="93">
        <v>96.2</v>
      </c>
      <c r="AA39" s="93">
        <v>73.7</v>
      </c>
      <c r="AB39" s="93">
        <v>60.2</v>
      </c>
      <c r="AC39" s="93">
        <v>51.2</v>
      </c>
      <c r="AD39" s="93">
        <v>44.8</v>
      </c>
      <c r="AE39" s="93">
        <v>40</v>
      </c>
      <c r="AF39" s="93">
        <v>36.299999999999997</v>
      </c>
      <c r="AG39" s="93">
        <v>33.299999999999997</v>
      </c>
      <c r="AH39" s="93">
        <v>30.9</v>
      </c>
      <c r="AI39" s="93">
        <v>29</v>
      </c>
      <c r="AJ39" s="93">
        <v>27.3</v>
      </c>
      <c r="AK39" s="93">
        <v>25.9</v>
      </c>
      <c r="AL39" s="93">
        <v>24.6</v>
      </c>
      <c r="AM39" s="93">
        <v>23.6</v>
      </c>
      <c r="AN39" s="93"/>
      <c r="AO39" s="93"/>
      <c r="AP39" s="93"/>
      <c r="AQ39" s="93"/>
    </row>
    <row r="40" spans="1:43" x14ac:dyDescent="0.25">
      <c r="A40" s="92">
        <v>49</v>
      </c>
      <c r="B40" s="93">
        <v>300.39999999999998</v>
      </c>
      <c r="C40" s="93">
        <v>153.30000000000001</v>
      </c>
      <c r="D40" s="93">
        <v>104.4</v>
      </c>
      <c r="E40" s="93">
        <v>79.900000000000006</v>
      </c>
      <c r="F40" s="93">
        <v>65.3</v>
      </c>
      <c r="G40" s="93">
        <v>55.6</v>
      </c>
      <c r="H40" s="93">
        <v>48.6</v>
      </c>
      <c r="I40" s="93">
        <v>43.4</v>
      </c>
      <c r="J40" s="93">
        <v>39.4</v>
      </c>
      <c r="K40" s="93">
        <v>36.200000000000003</v>
      </c>
      <c r="L40" s="93">
        <v>33.6</v>
      </c>
      <c r="M40" s="93">
        <v>31.5</v>
      </c>
      <c r="N40" s="93">
        <v>29.7</v>
      </c>
      <c r="O40" s="93">
        <v>28.1</v>
      </c>
      <c r="P40" s="93">
        <v>26.8</v>
      </c>
      <c r="Q40" s="93"/>
      <c r="R40" s="93"/>
      <c r="S40" s="93"/>
      <c r="T40" s="93"/>
      <c r="U40" s="93"/>
      <c r="W40" s="92">
        <v>49</v>
      </c>
      <c r="X40" s="93">
        <v>282.2</v>
      </c>
      <c r="Y40" s="93">
        <v>144.1</v>
      </c>
      <c r="Z40" s="93">
        <v>98.1</v>
      </c>
      <c r="AA40" s="93">
        <v>75.099999999999994</v>
      </c>
      <c r="AB40" s="93">
        <v>61.3</v>
      </c>
      <c r="AC40" s="93">
        <v>52.2</v>
      </c>
      <c r="AD40" s="93">
        <v>45.7</v>
      </c>
      <c r="AE40" s="93">
        <v>40.799999999999997</v>
      </c>
      <c r="AF40" s="93">
        <v>37</v>
      </c>
      <c r="AG40" s="93">
        <v>34</v>
      </c>
      <c r="AH40" s="93">
        <v>31.6</v>
      </c>
      <c r="AI40" s="93">
        <v>29.6</v>
      </c>
      <c r="AJ40" s="93">
        <v>27.9</v>
      </c>
      <c r="AK40" s="93">
        <v>26.4</v>
      </c>
      <c r="AL40" s="93">
        <v>25.2</v>
      </c>
      <c r="AM40" s="93"/>
      <c r="AN40" s="93"/>
      <c r="AO40" s="93"/>
      <c r="AP40" s="93"/>
      <c r="AQ40" s="93"/>
    </row>
    <row r="41" spans="1:43" x14ac:dyDescent="0.25">
      <c r="A41" s="92">
        <v>50</v>
      </c>
      <c r="B41" s="93">
        <v>305.89999999999998</v>
      </c>
      <c r="C41" s="93">
        <v>156.19999999999999</v>
      </c>
      <c r="D41" s="93">
        <v>106.4</v>
      </c>
      <c r="E41" s="93">
        <v>81.5</v>
      </c>
      <c r="F41" s="93">
        <v>66.599999999999994</v>
      </c>
      <c r="G41" s="93">
        <v>56.7</v>
      </c>
      <c r="H41" s="93">
        <v>49.6</v>
      </c>
      <c r="I41" s="93">
        <v>44.3</v>
      </c>
      <c r="J41" s="93">
        <v>40.200000000000003</v>
      </c>
      <c r="K41" s="93">
        <v>37</v>
      </c>
      <c r="L41" s="93">
        <v>34.299999999999997</v>
      </c>
      <c r="M41" s="93">
        <v>32.200000000000003</v>
      </c>
      <c r="N41" s="93">
        <v>30.3</v>
      </c>
      <c r="O41" s="93">
        <v>28.7</v>
      </c>
      <c r="P41" s="93"/>
      <c r="Q41" s="93"/>
      <c r="R41" s="93"/>
      <c r="S41" s="93"/>
      <c r="T41" s="93"/>
      <c r="U41" s="93"/>
      <c r="W41" s="92">
        <v>50</v>
      </c>
      <c r="X41" s="93">
        <v>287.60000000000002</v>
      </c>
      <c r="Y41" s="93">
        <v>146.80000000000001</v>
      </c>
      <c r="Z41" s="93">
        <v>100</v>
      </c>
      <c r="AA41" s="93">
        <v>76.599999999999994</v>
      </c>
      <c r="AB41" s="93">
        <v>62.6</v>
      </c>
      <c r="AC41" s="93">
        <v>53.3</v>
      </c>
      <c r="AD41" s="93">
        <v>46.6</v>
      </c>
      <c r="AE41" s="93">
        <v>41.7</v>
      </c>
      <c r="AF41" s="93">
        <v>37.799999999999997</v>
      </c>
      <c r="AG41" s="93">
        <v>34.799999999999997</v>
      </c>
      <c r="AH41" s="93">
        <v>32.299999999999997</v>
      </c>
      <c r="AI41" s="93">
        <v>30.2</v>
      </c>
      <c r="AJ41" s="93">
        <v>28.5</v>
      </c>
      <c r="AK41" s="93">
        <v>27</v>
      </c>
      <c r="AL41" s="93"/>
      <c r="AM41" s="93"/>
      <c r="AN41" s="93"/>
      <c r="AO41" s="93"/>
      <c r="AP41" s="93"/>
      <c r="AQ41" s="93"/>
    </row>
    <row r="42" spans="1:43" x14ac:dyDescent="0.25">
      <c r="A42" s="92">
        <v>51</v>
      </c>
      <c r="B42" s="93">
        <v>311.60000000000002</v>
      </c>
      <c r="C42" s="93">
        <v>159.19999999999999</v>
      </c>
      <c r="D42" s="93">
        <v>108.4</v>
      </c>
      <c r="E42" s="93">
        <v>83.1</v>
      </c>
      <c r="F42" s="93">
        <v>67.900000000000006</v>
      </c>
      <c r="G42" s="93">
        <v>57.8</v>
      </c>
      <c r="H42" s="93">
        <v>50.6</v>
      </c>
      <c r="I42" s="93">
        <v>45.2</v>
      </c>
      <c r="J42" s="93">
        <v>41.1</v>
      </c>
      <c r="K42" s="93">
        <v>37.799999999999997</v>
      </c>
      <c r="L42" s="93">
        <v>35.1</v>
      </c>
      <c r="M42" s="93">
        <v>32.799999999999997</v>
      </c>
      <c r="N42" s="93">
        <v>31</v>
      </c>
      <c r="O42" s="93"/>
      <c r="P42" s="93"/>
      <c r="Q42" s="93"/>
      <c r="R42" s="93"/>
      <c r="S42" s="93"/>
      <c r="T42" s="93"/>
      <c r="U42" s="93"/>
      <c r="W42" s="92">
        <v>51</v>
      </c>
      <c r="X42" s="93">
        <v>293.10000000000002</v>
      </c>
      <c r="Y42" s="93">
        <v>149.69999999999999</v>
      </c>
      <c r="Z42" s="93">
        <v>101.9</v>
      </c>
      <c r="AA42" s="93">
        <v>78.099999999999994</v>
      </c>
      <c r="AB42" s="93">
        <v>63.8</v>
      </c>
      <c r="AC42" s="93">
        <v>54.3</v>
      </c>
      <c r="AD42" s="93">
        <v>47.6</v>
      </c>
      <c r="AE42" s="93">
        <v>42.5</v>
      </c>
      <c r="AF42" s="93">
        <v>38.6</v>
      </c>
      <c r="AG42" s="93">
        <v>35.5</v>
      </c>
      <c r="AH42" s="93">
        <v>33</v>
      </c>
      <c r="AI42" s="93">
        <v>30.9</v>
      </c>
      <c r="AJ42" s="93">
        <v>29.1</v>
      </c>
      <c r="AK42" s="93"/>
      <c r="AL42" s="93"/>
      <c r="AM42" s="93"/>
      <c r="AN42" s="93"/>
      <c r="AO42" s="93"/>
      <c r="AP42" s="93"/>
      <c r="AQ42" s="93"/>
    </row>
    <row r="43" spans="1:43" x14ac:dyDescent="0.25">
      <c r="A43" s="92">
        <v>52</v>
      </c>
      <c r="B43" s="93">
        <v>317.39999999999998</v>
      </c>
      <c r="C43" s="93">
        <v>162.19999999999999</v>
      </c>
      <c r="D43" s="93">
        <v>110.5</v>
      </c>
      <c r="E43" s="93">
        <v>84.7</v>
      </c>
      <c r="F43" s="93">
        <v>69.2</v>
      </c>
      <c r="G43" s="93">
        <v>58.9</v>
      </c>
      <c r="H43" s="93">
        <v>51.6</v>
      </c>
      <c r="I43" s="93">
        <v>46.2</v>
      </c>
      <c r="J43" s="93">
        <v>41.9</v>
      </c>
      <c r="K43" s="93">
        <v>38.6</v>
      </c>
      <c r="L43" s="93">
        <v>35.799999999999997</v>
      </c>
      <c r="M43" s="93">
        <v>33.6</v>
      </c>
      <c r="N43" s="93"/>
      <c r="O43" s="93"/>
      <c r="P43" s="93"/>
      <c r="Q43" s="93"/>
      <c r="R43" s="93"/>
      <c r="S43" s="93"/>
      <c r="T43" s="93"/>
      <c r="U43" s="93"/>
      <c r="W43" s="92">
        <v>52</v>
      </c>
      <c r="X43" s="93">
        <v>298.7</v>
      </c>
      <c r="Y43" s="93">
        <v>152.6</v>
      </c>
      <c r="Z43" s="93">
        <v>103.9</v>
      </c>
      <c r="AA43" s="93">
        <v>79.7</v>
      </c>
      <c r="AB43" s="93">
        <v>65.099999999999994</v>
      </c>
      <c r="AC43" s="93">
        <v>55.4</v>
      </c>
      <c r="AD43" s="93">
        <v>48.6</v>
      </c>
      <c r="AE43" s="93">
        <v>43.4</v>
      </c>
      <c r="AF43" s="93">
        <v>39.4</v>
      </c>
      <c r="AG43" s="93">
        <v>36.299999999999997</v>
      </c>
      <c r="AH43" s="93">
        <v>33.700000000000003</v>
      </c>
      <c r="AI43" s="93">
        <v>31.6</v>
      </c>
      <c r="AJ43" s="93"/>
      <c r="AK43" s="93"/>
      <c r="AL43" s="93"/>
      <c r="AM43" s="93"/>
      <c r="AN43" s="93"/>
      <c r="AO43" s="93"/>
      <c r="AP43" s="93"/>
      <c r="AQ43" s="93"/>
    </row>
    <row r="44" spans="1:43" x14ac:dyDescent="0.25">
      <c r="A44" s="92">
        <v>53</v>
      </c>
      <c r="B44" s="93">
        <v>323.2</v>
      </c>
      <c r="C44" s="93">
        <v>165.2</v>
      </c>
      <c r="D44" s="93">
        <v>112.5</v>
      </c>
      <c r="E44" s="93">
        <v>86.3</v>
      </c>
      <c r="F44" s="93">
        <v>70.5</v>
      </c>
      <c r="G44" s="93">
        <v>60.1</v>
      </c>
      <c r="H44" s="93">
        <v>52.6</v>
      </c>
      <c r="I44" s="93">
        <v>47.1</v>
      </c>
      <c r="J44" s="93">
        <v>42.8</v>
      </c>
      <c r="K44" s="93">
        <v>39.4</v>
      </c>
      <c r="L44" s="93">
        <v>36.6</v>
      </c>
      <c r="M44" s="93"/>
      <c r="N44" s="93"/>
      <c r="O44" s="93"/>
      <c r="P44" s="93"/>
      <c r="Q44" s="93"/>
      <c r="R44" s="93"/>
      <c r="S44" s="93"/>
      <c r="T44" s="93"/>
      <c r="U44" s="93"/>
      <c r="W44" s="92">
        <v>53</v>
      </c>
      <c r="X44" s="93">
        <v>304.3</v>
      </c>
      <c r="Y44" s="93">
        <v>155.5</v>
      </c>
      <c r="Z44" s="93">
        <v>106</v>
      </c>
      <c r="AA44" s="93">
        <v>81.2</v>
      </c>
      <c r="AB44" s="93">
        <v>66.400000000000006</v>
      </c>
      <c r="AC44" s="93">
        <v>56.6</v>
      </c>
      <c r="AD44" s="93">
        <v>49.6</v>
      </c>
      <c r="AE44" s="93">
        <v>44.3</v>
      </c>
      <c r="AF44" s="93">
        <v>40.299999999999997</v>
      </c>
      <c r="AG44" s="93">
        <v>37.1</v>
      </c>
      <c r="AH44" s="93">
        <v>34.4</v>
      </c>
      <c r="AI44" s="93"/>
      <c r="AJ44" s="93"/>
      <c r="AK44" s="93"/>
      <c r="AL44" s="93"/>
      <c r="AM44" s="93"/>
      <c r="AN44" s="93"/>
      <c r="AO44" s="93"/>
      <c r="AP44" s="93"/>
      <c r="AQ44" s="93"/>
    </row>
    <row r="45" spans="1:43" x14ac:dyDescent="0.25">
      <c r="A45" s="92">
        <v>54</v>
      </c>
      <c r="B45" s="93">
        <v>329</v>
      </c>
      <c r="C45" s="93">
        <v>168.2</v>
      </c>
      <c r="D45" s="93">
        <v>114.6</v>
      </c>
      <c r="E45" s="93">
        <v>87.9</v>
      </c>
      <c r="F45" s="93">
        <v>71.900000000000006</v>
      </c>
      <c r="G45" s="93">
        <v>61.3</v>
      </c>
      <c r="H45" s="93">
        <v>53.7</v>
      </c>
      <c r="I45" s="93">
        <v>48</v>
      </c>
      <c r="J45" s="93">
        <v>43.7</v>
      </c>
      <c r="K45" s="93">
        <v>40.200000000000003</v>
      </c>
      <c r="L45" s="93"/>
      <c r="M45" s="93"/>
      <c r="N45" s="93"/>
      <c r="O45" s="93"/>
      <c r="P45" s="93"/>
      <c r="Q45" s="93"/>
      <c r="R45" s="93"/>
      <c r="S45" s="93"/>
      <c r="T45" s="93"/>
      <c r="U45" s="93"/>
      <c r="W45" s="92">
        <v>54</v>
      </c>
      <c r="X45" s="93">
        <v>309.89999999999998</v>
      </c>
      <c r="Y45" s="93">
        <v>158.4</v>
      </c>
      <c r="Z45" s="93">
        <v>108</v>
      </c>
      <c r="AA45" s="93">
        <v>82.8</v>
      </c>
      <c r="AB45" s="93">
        <v>67.7</v>
      </c>
      <c r="AC45" s="93">
        <v>57.7</v>
      </c>
      <c r="AD45" s="93">
        <v>50.6</v>
      </c>
      <c r="AE45" s="93">
        <v>45.2</v>
      </c>
      <c r="AF45" s="93">
        <v>41.1</v>
      </c>
      <c r="AG45" s="93">
        <v>37.799999999999997</v>
      </c>
      <c r="AH45" s="93"/>
      <c r="AI45" s="93"/>
      <c r="AJ45" s="93"/>
      <c r="AK45" s="93"/>
      <c r="AL45" s="93"/>
      <c r="AM45" s="93"/>
      <c r="AN45" s="93"/>
      <c r="AO45" s="93"/>
      <c r="AP45" s="93"/>
      <c r="AQ45" s="93"/>
    </row>
    <row r="46" spans="1:43" x14ac:dyDescent="0.25">
      <c r="A46" s="92">
        <v>55</v>
      </c>
      <c r="B46" s="93">
        <v>334.8</v>
      </c>
      <c r="C46" s="93">
        <v>171.2</v>
      </c>
      <c r="D46" s="93">
        <v>116.7</v>
      </c>
      <c r="E46" s="93">
        <v>89.5</v>
      </c>
      <c r="F46" s="93">
        <v>73.2</v>
      </c>
      <c r="G46" s="93">
        <v>62.4</v>
      </c>
      <c r="H46" s="93">
        <v>54.7</v>
      </c>
      <c r="I46" s="93">
        <v>49</v>
      </c>
      <c r="J46" s="93">
        <v>44.5</v>
      </c>
      <c r="K46" s="93"/>
      <c r="L46" s="93"/>
      <c r="M46" s="93"/>
      <c r="N46" s="93"/>
      <c r="O46" s="93"/>
      <c r="P46" s="93"/>
      <c r="Q46" s="93"/>
      <c r="R46" s="93"/>
      <c r="S46" s="93"/>
      <c r="T46" s="93"/>
      <c r="U46" s="93"/>
      <c r="W46" s="92">
        <v>55</v>
      </c>
      <c r="X46" s="93">
        <v>315.60000000000002</v>
      </c>
      <c r="Y46" s="93">
        <v>161.4</v>
      </c>
      <c r="Z46" s="93">
        <v>110</v>
      </c>
      <c r="AA46" s="93">
        <v>84.4</v>
      </c>
      <c r="AB46" s="93">
        <v>69</v>
      </c>
      <c r="AC46" s="93">
        <v>58.9</v>
      </c>
      <c r="AD46" s="93">
        <v>51.6</v>
      </c>
      <c r="AE46" s="93">
        <v>46.2</v>
      </c>
      <c r="AF46" s="93">
        <v>42</v>
      </c>
      <c r="AG46" s="93"/>
      <c r="AH46" s="93"/>
      <c r="AI46" s="93"/>
      <c r="AJ46" s="93"/>
      <c r="AK46" s="93"/>
      <c r="AL46" s="93"/>
      <c r="AM46" s="93"/>
      <c r="AN46" s="93"/>
      <c r="AO46" s="93"/>
      <c r="AP46" s="93"/>
      <c r="AQ46" s="93"/>
    </row>
    <row r="47" spans="1:43" x14ac:dyDescent="0.25">
      <c r="A47" s="92">
        <v>56</v>
      </c>
      <c r="B47" s="93">
        <v>340.6</v>
      </c>
      <c r="C47" s="93">
        <v>174.2</v>
      </c>
      <c r="D47" s="93">
        <v>118.8</v>
      </c>
      <c r="E47" s="93">
        <v>91.2</v>
      </c>
      <c r="F47" s="93">
        <v>74.599999999999994</v>
      </c>
      <c r="G47" s="93">
        <v>63.6</v>
      </c>
      <c r="H47" s="93">
        <v>55.8</v>
      </c>
      <c r="I47" s="93">
        <v>49.9</v>
      </c>
      <c r="J47" s="93"/>
      <c r="K47" s="93"/>
      <c r="L47" s="93"/>
      <c r="M47" s="93"/>
      <c r="N47" s="93"/>
      <c r="O47" s="93"/>
      <c r="P47" s="93"/>
      <c r="Q47" s="93"/>
      <c r="R47" s="93"/>
      <c r="S47" s="93"/>
      <c r="T47" s="93"/>
      <c r="U47" s="93"/>
      <c r="W47" s="92">
        <v>56</v>
      </c>
      <c r="X47" s="93">
        <v>321.3</v>
      </c>
      <c r="Y47" s="93">
        <v>164.3</v>
      </c>
      <c r="Z47" s="93">
        <v>112.1</v>
      </c>
      <c r="AA47" s="93">
        <v>86</v>
      </c>
      <c r="AB47" s="93">
        <v>70.400000000000006</v>
      </c>
      <c r="AC47" s="93">
        <v>60</v>
      </c>
      <c r="AD47" s="93">
        <v>52.6</v>
      </c>
      <c r="AE47" s="93">
        <v>47.1</v>
      </c>
      <c r="AF47" s="93"/>
      <c r="AG47" s="93"/>
      <c r="AH47" s="93"/>
      <c r="AI47" s="93"/>
      <c r="AJ47" s="93"/>
      <c r="AK47" s="93"/>
      <c r="AL47" s="93"/>
      <c r="AM47" s="93"/>
      <c r="AN47" s="93"/>
      <c r="AO47" s="93"/>
      <c r="AP47" s="93"/>
      <c r="AQ47" s="93"/>
    </row>
    <row r="48" spans="1:43" x14ac:dyDescent="0.25">
      <c r="A48" s="92">
        <v>57</v>
      </c>
      <c r="B48" s="93">
        <v>346.4</v>
      </c>
      <c r="C48" s="93">
        <v>177.3</v>
      </c>
      <c r="D48" s="93">
        <v>120.9</v>
      </c>
      <c r="E48" s="93">
        <v>92.8</v>
      </c>
      <c r="F48" s="93">
        <v>76</v>
      </c>
      <c r="G48" s="93">
        <v>64.8</v>
      </c>
      <c r="H48" s="93">
        <v>56.8</v>
      </c>
      <c r="I48" s="93"/>
      <c r="J48" s="93"/>
      <c r="K48" s="93"/>
      <c r="L48" s="93"/>
      <c r="M48" s="93"/>
      <c r="N48" s="93"/>
      <c r="O48" s="93"/>
      <c r="P48" s="93"/>
      <c r="Q48" s="93"/>
      <c r="R48" s="93"/>
      <c r="S48" s="93"/>
      <c r="T48" s="93"/>
      <c r="U48" s="93"/>
      <c r="W48" s="92">
        <v>57</v>
      </c>
      <c r="X48" s="93">
        <v>327.10000000000002</v>
      </c>
      <c r="Y48" s="93">
        <v>167.4</v>
      </c>
      <c r="Z48" s="93">
        <v>114.2</v>
      </c>
      <c r="AA48" s="93">
        <v>87.6</v>
      </c>
      <c r="AB48" s="93">
        <v>71.7</v>
      </c>
      <c r="AC48" s="93">
        <v>61.2</v>
      </c>
      <c r="AD48" s="93">
        <v>53.7</v>
      </c>
      <c r="AE48" s="93"/>
      <c r="AF48" s="93"/>
      <c r="AG48" s="93"/>
      <c r="AH48" s="93"/>
      <c r="AI48" s="93"/>
      <c r="AJ48" s="93"/>
      <c r="AK48" s="93"/>
      <c r="AL48" s="93"/>
      <c r="AM48" s="93"/>
      <c r="AN48" s="93"/>
      <c r="AO48" s="93"/>
      <c r="AP48" s="93"/>
      <c r="AQ48" s="93"/>
    </row>
    <row r="49" spans="1:43" x14ac:dyDescent="0.25">
      <c r="A49" s="92">
        <v>58</v>
      </c>
      <c r="B49" s="93">
        <v>352.5</v>
      </c>
      <c r="C49" s="93">
        <v>180.4</v>
      </c>
      <c r="D49" s="93">
        <v>123.1</v>
      </c>
      <c r="E49" s="93">
        <v>94.5</v>
      </c>
      <c r="F49" s="93">
        <v>77.400000000000006</v>
      </c>
      <c r="G49" s="93">
        <v>66</v>
      </c>
      <c r="H49" s="93"/>
      <c r="I49" s="93"/>
      <c r="J49" s="93"/>
      <c r="K49" s="93"/>
      <c r="L49" s="93"/>
      <c r="M49" s="93"/>
      <c r="N49" s="93"/>
      <c r="O49" s="93"/>
      <c r="P49" s="93"/>
      <c r="Q49" s="93"/>
      <c r="R49" s="93"/>
      <c r="S49" s="93"/>
      <c r="T49" s="93"/>
      <c r="U49" s="93"/>
      <c r="W49" s="92">
        <v>58</v>
      </c>
      <c r="X49" s="93">
        <v>333.1</v>
      </c>
      <c r="Y49" s="93">
        <v>170.5</v>
      </c>
      <c r="Z49" s="93">
        <v>116.3</v>
      </c>
      <c r="AA49" s="93">
        <v>89.3</v>
      </c>
      <c r="AB49" s="93">
        <v>73.2</v>
      </c>
      <c r="AC49" s="93">
        <v>62.4</v>
      </c>
      <c r="AD49" s="93"/>
      <c r="AE49" s="93"/>
      <c r="AF49" s="93"/>
      <c r="AG49" s="93"/>
      <c r="AH49" s="93"/>
      <c r="AI49" s="93"/>
      <c r="AJ49" s="93"/>
      <c r="AK49" s="93"/>
      <c r="AL49" s="93"/>
      <c r="AM49" s="93"/>
      <c r="AN49" s="93"/>
      <c r="AO49" s="93"/>
      <c r="AP49" s="93"/>
      <c r="AQ49" s="93"/>
    </row>
    <row r="50" spans="1:43" x14ac:dyDescent="0.25">
      <c r="A50" s="92">
        <v>59</v>
      </c>
      <c r="B50" s="93">
        <v>358.7</v>
      </c>
      <c r="C50" s="93">
        <v>183.7</v>
      </c>
      <c r="D50" s="93">
        <v>125.4</v>
      </c>
      <c r="E50" s="93">
        <v>96.3</v>
      </c>
      <c r="F50" s="93">
        <v>78.900000000000006</v>
      </c>
      <c r="G50" s="93"/>
      <c r="H50" s="93"/>
      <c r="I50" s="93"/>
      <c r="J50" s="93"/>
      <c r="K50" s="93"/>
      <c r="L50" s="93"/>
      <c r="M50" s="93"/>
      <c r="N50" s="93"/>
      <c r="O50" s="93"/>
      <c r="P50" s="93"/>
      <c r="Q50" s="93"/>
      <c r="R50" s="93"/>
      <c r="S50" s="93"/>
      <c r="T50" s="93"/>
      <c r="U50" s="93"/>
      <c r="W50" s="92">
        <v>59</v>
      </c>
      <c r="X50" s="93">
        <v>339.3</v>
      </c>
      <c r="Y50" s="93">
        <v>173.7</v>
      </c>
      <c r="Z50" s="93">
        <v>118.6</v>
      </c>
      <c r="AA50" s="93">
        <v>91.1</v>
      </c>
      <c r="AB50" s="93">
        <v>74.599999999999994</v>
      </c>
      <c r="AC50" s="93"/>
      <c r="AD50" s="93"/>
      <c r="AE50" s="93"/>
      <c r="AF50" s="93"/>
      <c r="AG50" s="93"/>
      <c r="AH50" s="93"/>
      <c r="AI50" s="93"/>
      <c r="AJ50" s="93"/>
      <c r="AK50" s="93"/>
      <c r="AL50" s="93"/>
      <c r="AM50" s="93"/>
      <c r="AN50" s="93"/>
      <c r="AO50" s="93"/>
      <c r="AP50" s="93"/>
      <c r="AQ50" s="93"/>
    </row>
    <row r="51" spans="1:43" x14ac:dyDescent="0.25">
      <c r="A51" s="92">
        <v>60</v>
      </c>
      <c r="B51" s="93">
        <v>365.2</v>
      </c>
      <c r="C51" s="93">
        <v>187.1</v>
      </c>
      <c r="D51" s="93">
        <v>127.7</v>
      </c>
      <c r="E51" s="93">
        <v>98.1</v>
      </c>
      <c r="F51" s="93"/>
      <c r="G51" s="93"/>
      <c r="H51" s="93"/>
      <c r="I51" s="93"/>
      <c r="J51" s="93"/>
      <c r="K51" s="93"/>
      <c r="L51" s="93"/>
      <c r="M51" s="93"/>
      <c r="N51" s="93"/>
      <c r="O51" s="93"/>
      <c r="P51" s="93"/>
      <c r="Q51" s="93"/>
      <c r="R51" s="93"/>
      <c r="S51" s="93"/>
      <c r="T51" s="93"/>
      <c r="U51" s="93"/>
      <c r="W51" s="92">
        <v>60</v>
      </c>
      <c r="X51" s="93">
        <v>345.8</v>
      </c>
      <c r="Y51" s="93">
        <v>177.1</v>
      </c>
      <c r="Z51" s="93">
        <v>120.9</v>
      </c>
      <c r="AA51" s="93">
        <v>92.9</v>
      </c>
      <c r="AB51" s="93"/>
      <c r="AC51" s="93"/>
      <c r="AD51" s="93"/>
      <c r="AE51" s="93"/>
      <c r="AF51" s="93"/>
      <c r="AG51" s="93"/>
      <c r="AH51" s="93"/>
      <c r="AI51" s="93"/>
      <c r="AJ51" s="93"/>
      <c r="AK51" s="93"/>
      <c r="AL51" s="93"/>
      <c r="AM51" s="93"/>
      <c r="AN51" s="93"/>
      <c r="AO51" s="93"/>
      <c r="AP51" s="93"/>
      <c r="AQ51" s="93"/>
    </row>
    <row r="52" spans="1:43" x14ac:dyDescent="0.25">
      <c r="A52" s="92">
        <v>61</v>
      </c>
      <c r="B52" s="93">
        <v>372.1</v>
      </c>
      <c r="C52" s="93">
        <v>190.6</v>
      </c>
      <c r="D52" s="93">
        <v>130.19999999999999</v>
      </c>
      <c r="E52" s="93"/>
      <c r="F52" s="93"/>
      <c r="G52" s="93"/>
      <c r="H52" s="93"/>
      <c r="I52" s="93"/>
      <c r="J52" s="93"/>
      <c r="K52" s="93"/>
      <c r="L52" s="93"/>
      <c r="M52" s="93"/>
      <c r="N52" s="93"/>
      <c r="O52" s="93"/>
      <c r="P52" s="93"/>
      <c r="Q52" s="93"/>
      <c r="R52" s="93"/>
      <c r="S52" s="93"/>
      <c r="T52" s="93"/>
      <c r="U52" s="93"/>
      <c r="W52" s="92">
        <v>61</v>
      </c>
      <c r="X52" s="93">
        <v>352.6</v>
      </c>
      <c r="Y52" s="93">
        <v>180.7</v>
      </c>
      <c r="Z52" s="93">
        <v>123.4</v>
      </c>
      <c r="AA52" s="93"/>
      <c r="AB52" s="93"/>
      <c r="AC52" s="93"/>
      <c r="AD52" s="93"/>
      <c r="AE52" s="93"/>
      <c r="AF52" s="93"/>
      <c r="AG52" s="93"/>
      <c r="AH52" s="93"/>
      <c r="AI52" s="93"/>
      <c r="AJ52" s="93"/>
      <c r="AK52" s="93"/>
      <c r="AL52" s="93"/>
      <c r="AM52" s="93"/>
      <c r="AN52" s="93"/>
      <c r="AO52" s="93"/>
      <c r="AP52" s="93"/>
      <c r="AQ52" s="93"/>
    </row>
    <row r="53" spans="1:43" x14ac:dyDescent="0.25">
      <c r="A53" s="92">
        <v>62</v>
      </c>
      <c r="B53" s="93">
        <v>379.3</v>
      </c>
      <c r="C53" s="93">
        <v>194.4</v>
      </c>
      <c r="D53" s="93"/>
      <c r="E53" s="93"/>
      <c r="F53" s="93"/>
      <c r="G53" s="93"/>
      <c r="H53" s="93"/>
      <c r="I53" s="93"/>
      <c r="J53" s="93"/>
      <c r="K53" s="93"/>
      <c r="L53" s="93"/>
      <c r="M53" s="93"/>
      <c r="N53" s="93"/>
      <c r="O53" s="93"/>
      <c r="P53" s="93"/>
      <c r="Q53" s="93"/>
      <c r="R53" s="93"/>
      <c r="S53" s="93"/>
      <c r="T53" s="93"/>
      <c r="U53" s="93"/>
      <c r="W53" s="92">
        <v>62</v>
      </c>
      <c r="X53" s="93">
        <v>359.9</v>
      </c>
      <c r="Y53" s="93">
        <v>184.4</v>
      </c>
      <c r="Z53" s="93"/>
      <c r="AA53" s="93"/>
      <c r="AB53" s="93"/>
      <c r="AC53" s="93"/>
      <c r="AD53" s="93"/>
      <c r="AE53" s="93"/>
      <c r="AF53" s="93"/>
      <c r="AG53" s="93"/>
      <c r="AH53" s="93"/>
      <c r="AI53" s="93"/>
      <c r="AJ53" s="93"/>
      <c r="AK53" s="93"/>
      <c r="AL53" s="93"/>
      <c r="AM53" s="93"/>
      <c r="AN53" s="93"/>
      <c r="AO53" s="93"/>
      <c r="AP53" s="93"/>
      <c r="AQ53" s="93"/>
    </row>
    <row r="54" spans="1:43" x14ac:dyDescent="0.25">
      <c r="A54" s="92">
        <v>63</v>
      </c>
      <c r="B54" s="93">
        <v>387.1</v>
      </c>
      <c r="C54" s="93"/>
      <c r="D54" s="93"/>
      <c r="E54" s="93"/>
      <c r="F54" s="93"/>
      <c r="G54" s="93"/>
      <c r="H54" s="93"/>
      <c r="I54" s="93"/>
      <c r="J54" s="93"/>
      <c r="K54" s="93"/>
      <c r="L54" s="93"/>
      <c r="M54" s="93"/>
      <c r="N54" s="93"/>
      <c r="O54" s="93"/>
      <c r="P54" s="93"/>
      <c r="Q54" s="93"/>
      <c r="R54" s="93"/>
      <c r="S54" s="93"/>
      <c r="T54" s="93"/>
      <c r="U54" s="93"/>
      <c r="W54" s="92">
        <v>63</v>
      </c>
      <c r="X54" s="93">
        <v>367.7</v>
      </c>
      <c r="Y54" s="93"/>
      <c r="Z54" s="93"/>
      <c r="AA54" s="93"/>
      <c r="AB54" s="93"/>
      <c r="AC54" s="93"/>
      <c r="AD54" s="93"/>
      <c r="AE54" s="93"/>
      <c r="AF54" s="93"/>
      <c r="AG54" s="93"/>
      <c r="AH54" s="93"/>
      <c r="AI54" s="93"/>
      <c r="AJ54" s="93"/>
      <c r="AK54" s="93"/>
      <c r="AL54" s="93"/>
      <c r="AM54" s="93"/>
      <c r="AN54" s="93"/>
      <c r="AO54" s="93"/>
      <c r="AP54" s="93"/>
      <c r="AQ54" s="93"/>
    </row>
    <row r="55" spans="1:43" x14ac:dyDescent="0.25">
      <c r="A55" s="18"/>
      <c r="B55" s="21"/>
      <c r="C55" s="21"/>
      <c r="D55" s="21"/>
      <c r="E55" s="21"/>
      <c r="F55" s="21"/>
      <c r="G55" s="21"/>
      <c r="H55" s="21"/>
      <c r="I55" s="21"/>
      <c r="J55" s="21"/>
      <c r="K55" s="21"/>
      <c r="L55" s="21"/>
      <c r="M55" s="21"/>
      <c r="N55" s="21"/>
      <c r="O55" s="21"/>
      <c r="P55" s="21"/>
      <c r="Q55" s="21"/>
      <c r="R55" s="21"/>
      <c r="S55" s="21"/>
      <c r="T55" s="21"/>
      <c r="U55" s="21"/>
      <c r="W55" s="18"/>
      <c r="X55" s="21"/>
      <c r="Y55" s="21"/>
      <c r="Z55" s="21"/>
      <c r="AA55" s="21"/>
      <c r="AB55" s="21"/>
      <c r="AC55" s="21"/>
      <c r="AD55" s="21"/>
      <c r="AE55" s="21"/>
      <c r="AF55" s="21"/>
      <c r="AG55" s="21"/>
      <c r="AH55" s="21"/>
      <c r="AI55" s="21"/>
      <c r="AJ55" s="21"/>
      <c r="AK55" s="21"/>
      <c r="AL55" s="21"/>
      <c r="AM55" s="21"/>
      <c r="AN55" s="21"/>
      <c r="AO55" s="21"/>
      <c r="AP55" s="21"/>
      <c r="AQ55" s="21"/>
    </row>
    <row r="56" spans="1:43" x14ac:dyDescent="0.25">
      <c r="A56" s="18"/>
      <c r="B56" s="21"/>
      <c r="C56" s="21"/>
      <c r="D56" s="21"/>
      <c r="E56" s="21"/>
      <c r="F56" s="21"/>
      <c r="G56" s="21"/>
      <c r="H56" s="21"/>
      <c r="I56" s="21"/>
      <c r="J56" s="21"/>
      <c r="K56" s="21"/>
      <c r="L56" s="21"/>
      <c r="M56" s="21"/>
      <c r="N56" s="21"/>
      <c r="O56" s="21"/>
      <c r="P56" s="21"/>
      <c r="Q56" s="21"/>
      <c r="R56" s="21"/>
      <c r="S56" s="21"/>
      <c r="T56" s="21"/>
      <c r="U56" s="21"/>
    </row>
    <row r="57" spans="1:43" x14ac:dyDescent="0.25">
      <c r="A57" s="18"/>
      <c r="B57" s="21"/>
      <c r="C57" s="21"/>
      <c r="D57" s="21"/>
      <c r="E57" s="21"/>
      <c r="F57" s="21"/>
      <c r="G57" s="21"/>
      <c r="H57" s="21"/>
      <c r="I57" s="21"/>
      <c r="J57" s="21"/>
      <c r="K57" s="21"/>
      <c r="L57" s="21"/>
      <c r="M57" s="21"/>
      <c r="N57" s="21"/>
      <c r="O57" s="21"/>
      <c r="P57" s="21"/>
      <c r="Q57" s="21"/>
      <c r="R57" s="21"/>
      <c r="S57" s="21"/>
      <c r="T57" s="21"/>
      <c r="U57" s="21"/>
    </row>
  </sheetData>
  <mergeCells count="2">
    <mergeCell ref="B5:U5"/>
    <mergeCell ref="X5:AQ5"/>
  </mergeCells>
  <conditionalFormatting sqref="A7:A54">
    <cfRule type="expression" dxfId="39" priority="1" stopIfTrue="1">
      <formula>MOD(ROW(),2)=0</formula>
    </cfRule>
    <cfRule type="expression" dxfId="38" priority="2" stopIfTrue="1">
      <formula>MOD(ROW(),2)&lt;&gt;0</formula>
    </cfRule>
  </conditionalFormatting>
  <conditionalFormatting sqref="B7:U54">
    <cfRule type="expression" dxfId="37" priority="3" stopIfTrue="1">
      <formula>MOD(ROW(),2)=0</formula>
    </cfRule>
    <cfRule type="expression" dxfId="36" priority="4" stopIfTrue="1">
      <formula>MOD(ROW(),2)&lt;&gt;0</formula>
    </cfRule>
  </conditionalFormatting>
  <conditionalFormatting sqref="W7:W54">
    <cfRule type="expression" dxfId="35" priority="5" stopIfTrue="1">
      <formula>MOD(ROW(),2)=0</formula>
    </cfRule>
    <cfRule type="expression" dxfId="34" priority="6" stopIfTrue="1">
      <formula>MOD(ROW(),2)&lt;&gt;0</formula>
    </cfRule>
  </conditionalFormatting>
  <conditionalFormatting sqref="X7:AQ54">
    <cfRule type="expression" dxfId="33" priority="7" stopIfTrue="1">
      <formula>MOD(ROW(),2)=0</formula>
    </cfRule>
    <cfRule type="expression" dxfId="32" priority="8" stopIfTrue="1">
      <formula>MOD(ROW(),2)&lt;&gt;0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BB300-B042-468B-9A95-8EF166F4C5A8}">
  <sheetPr codeName="Sheet3"/>
  <dimension ref="A2:AQ57"/>
  <sheetViews>
    <sheetView topLeftCell="R1" zoomScaleNormal="100" workbookViewId="0">
      <selection activeCell="C16" sqref="C16"/>
    </sheetView>
  </sheetViews>
  <sheetFormatPr defaultColWidth="9.140625" defaultRowHeight="15" x14ac:dyDescent="0.25"/>
  <cols>
    <col min="1" max="1" width="14.28515625" style="16" customWidth="1"/>
    <col min="2" max="3" width="8.85546875" style="16" customWidth="1"/>
    <col min="4" max="4" width="9.140625" style="16"/>
    <col min="5" max="5" width="8.85546875" style="16" customWidth="1"/>
    <col min="6" max="22" width="9.140625" style="16"/>
    <col min="23" max="23" width="14.28515625" style="16" customWidth="1"/>
    <col min="24" max="16384" width="9.140625" style="16"/>
  </cols>
  <sheetData>
    <row r="2" spans="1:43" x14ac:dyDescent="0.25">
      <c r="A2" s="17" t="s">
        <v>161</v>
      </c>
      <c r="W2" s="17" t="s">
        <v>161</v>
      </c>
    </row>
    <row r="3" spans="1:43" ht="21" x14ac:dyDescent="0.35">
      <c r="A3" s="17" t="s">
        <v>164</v>
      </c>
      <c r="J3" s="16" t="s">
        <v>67</v>
      </c>
      <c r="W3" s="17" t="s">
        <v>165</v>
      </c>
      <c r="AE3" s="16" t="s">
        <v>51</v>
      </c>
    </row>
    <row r="4" spans="1:43" ht="15.75" thickBot="1" x14ac:dyDescent="0.3"/>
    <row r="5" spans="1:43" ht="51" customHeight="1" thickBot="1" x14ac:dyDescent="0.3">
      <c r="A5" s="19" t="s">
        <v>157</v>
      </c>
      <c r="B5" s="212" t="s">
        <v>158</v>
      </c>
      <c r="C5" s="212"/>
      <c r="D5" s="212"/>
      <c r="E5" s="212"/>
      <c r="F5" s="212"/>
      <c r="G5" s="212"/>
      <c r="H5" s="212"/>
      <c r="I5" s="212"/>
      <c r="J5" s="212"/>
      <c r="K5" s="212"/>
      <c r="L5" s="212"/>
      <c r="M5" s="212"/>
      <c r="N5" s="212"/>
      <c r="O5" s="212"/>
      <c r="P5" s="212"/>
      <c r="Q5" s="212"/>
      <c r="R5" s="212"/>
      <c r="S5" s="212"/>
      <c r="T5" s="212"/>
      <c r="U5" s="212"/>
      <c r="W5" s="19" t="s">
        <v>157</v>
      </c>
      <c r="X5" s="212" t="s">
        <v>158</v>
      </c>
      <c r="Y5" s="212"/>
      <c r="Z5" s="212"/>
      <c r="AA5" s="212"/>
      <c r="AB5" s="212"/>
      <c r="AC5" s="212"/>
      <c r="AD5" s="212"/>
      <c r="AE5" s="212"/>
      <c r="AF5" s="212"/>
      <c r="AG5" s="212"/>
      <c r="AH5" s="212"/>
      <c r="AI5" s="212"/>
      <c r="AJ5" s="212"/>
      <c r="AK5" s="212"/>
      <c r="AL5" s="212"/>
      <c r="AM5" s="212"/>
      <c r="AN5" s="212"/>
      <c r="AO5" s="212"/>
      <c r="AP5" s="212"/>
      <c r="AQ5" s="212"/>
    </row>
    <row r="6" spans="1:43" ht="39" customHeight="1" thickBot="1" x14ac:dyDescent="0.3">
      <c r="A6" s="68" t="s">
        <v>159</v>
      </c>
      <c r="B6" s="20">
        <v>1</v>
      </c>
      <c r="C6" s="20">
        <v>2</v>
      </c>
      <c r="D6" s="20">
        <v>3</v>
      </c>
      <c r="E6" s="20">
        <v>4</v>
      </c>
      <c r="F6" s="20">
        <v>5</v>
      </c>
      <c r="G6" s="20">
        <v>6</v>
      </c>
      <c r="H6" s="20">
        <v>7</v>
      </c>
      <c r="I6" s="20">
        <v>8</v>
      </c>
      <c r="J6" s="20">
        <v>9</v>
      </c>
      <c r="K6" s="20">
        <v>10</v>
      </c>
      <c r="L6" s="20">
        <v>11</v>
      </c>
      <c r="M6" s="20">
        <v>12</v>
      </c>
      <c r="N6" s="20">
        <v>13</v>
      </c>
      <c r="O6" s="20">
        <v>14</v>
      </c>
      <c r="P6" s="20">
        <v>15</v>
      </c>
      <c r="Q6" s="20">
        <v>16</v>
      </c>
      <c r="R6" s="20">
        <v>17</v>
      </c>
      <c r="S6" s="20">
        <v>18</v>
      </c>
      <c r="T6" s="20">
        <v>19</v>
      </c>
      <c r="U6" s="20">
        <v>20</v>
      </c>
      <c r="W6" s="68" t="s">
        <v>159</v>
      </c>
      <c r="X6" s="20">
        <v>1</v>
      </c>
      <c r="Y6" s="20">
        <v>2</v>
      </c>
      <c r="Z6" s="20">
        <v>3</v>
      </c>
      <c r="AA6" s="20">
        <v>4</v>
      </c>
      <c r="AB6" s="20">
        <v>5</v>
      </c>
      <c r="AC6" s="20">
        <v>6</v>
      </c>
      <c r="AD6" s="20">
        <v>7</v>
      </c>
      <c r="AE6" s="20">
        <v>8</v>
      </c>
      <c r="AF6" s="20">
        <v>9</v>
      </c>
      <c r="AG6" s="20">
        <v>10</v>
      </c>
      <c r="AH6" s="20">
        <v>11</v>
      </c>
      <c r="AI6" s="20">
        <v>12</v>
      </c>
      <c r="AJ6" s="20">
        <v>13</v>
      </c>
      <c r="AK6" s="20">
        <v>14</v>
      </c>
      <c r="AL6" s="20">
        <v>15</v>
      </c>
      <c r="AM6" s="20">
        <v>16</v>
      </c>
      <c r="AN6" s="20">
        <v>17</v>
      </c>
      <c r="AO6" s="20">
        <v>18</v>
      </c>
      <c r="AP6" s="20">
        <v>19</v>
      </c>
      <c r="AQ6" s="20">
        <v>20</v>
      </c>
    </row>
    <row r="7" spans="1:43" x14ac:dyDescent="0.25">
      <c r="A7" s="92">
        <v>16</v>
      </c>
      <c r="B7" s="93">
        <v>171.9</v>
      </c>
      <c r="C7" s="93">
        <v>87.7</v>
      </c>
      <c r="D7" s="93">
        <v>59.6</v>
      </c>
      <c r="E7" s="93">
        <v>45.6</v>
      </c>
      <c r="F7" s="93">
        <v>37.200000000000003</v>
      </c>
      <c r="G7" s="93">
        <v>31.6</v>
      </c>
      <c r="H7" s="93">
        <v>27.6</v>
      </c>
      <c r="I7" s="93">
        <v>24.6</v>
      </c>
      <c r="J7" s="93">
        <v>22.3</v>
      </c>
      <c r="K7" s="93">
        <v>20.399999999999999</v>
      </c>
      <c r="L7" s="93">
        <v>18.899999999999999</v>
      </c>
      <c r="M7" s="93">
        <v>17.7</v>
      </c>
      <c r="N7" s="93">
        <v>16.600000000000001</v>
      </c>
      <c r="O7" s="93">
        <v>15.7</v>
      </c>
      <c r="P7" s="93">
        <v>14.9</v>
      </c>
      <c r="Q7" s="93">
        <v>14.3</v>
      </c>
      <c r="R7" s="93">
        <v>13.7</v>
      </c>
      <c r="S7" s="93">
        <v>13.1</v>
      </c>
      <c r="T7" s="93">
        <v>12.7</v>
      </c>
      <c r="U7" s="93">
        <v>12.2</v>
      </c>
      <c r="W7" s="92">
        <v>16</v>
      </c>
      <c r="X7" s="93">
        <v>161.19999999999999</v>
      </c>
      <c r="Y7" s="93">
        <v>82.2</v>
      </c>
      <c r="Z7" s="93">
        <v>55.9</v>
      </c>
      <c r="AA7" s="93">
        <v>42.7</v>
      </c>
      <c r="AB7" s="93">
        <v>34.9</v>
      </c>
      <c r="AC7" s="93">
        <v>29.6</v>
      </c>
      <c r="AD7" s="93">
        <v>25.9</v>
      </c>
      <c r="AE7" s="93">
        <v>23.1</v>
      </c>
      <c r="AF7" s="93">
        <v>20.9</v>
      </c>
      <c r="AG7" s="93">
        <v>19.2</v>
      </c>
      <c r="AH7" s="93">
        <v>17.7</v>
      </c>
      <c r="AI7" s="93">
        <v>16.600000000000001</v>
      </c>
      <c r="AJ7" s="93">
        <v>15.6</v>
      </c>
      <c r="AK7" s="93">
        <v>14.7</v>
      </c>
      <c r="AL7" s="93">
        <v>14</v>
      </c>
      <c r="AM7" s="93">
        <v>13.4</v>
      </c>
      <c r="AN7" s="93">
        <v>12.8</v>
      </c>
      <c r="AO7" s="93">
        <v>12.3</v>
      </c>
      <c r="AP7" s="93">
        <v>11.9</v>
      </c>
      <c r="AQ7" s="93">
        <v>11.5</v>
      </c>
    </row>
    <row r="8" spans="1:43" x14ac:dyDescent="0.25">
      <c r="A8" s="92">
        <v>17</v>
      </c>
      <c r="B8" s="93">
        <v>175.2</v>
      </c>
      <c r="C8" s="93">
        <v>89.4</v>
      </c>
      <c r="D8" s="93">
        <v>60.8</v>
      </c>
      <c r="E8" s="93">
        <v>46.5</v>
      </c>
      <c r="F8" s="93">
        <v>37.9</v>
      </c>
      <c r="G8" s="93">
        <v>32.200000000000003</v>
      </c>
      <c r="H8" s="93">
        <v>28.1</v>
      </c>
      <c r="I8" s="93">
        <v>25.1</v>
      </c>
      <c r="J8" s="93">
        <v>22.7</v>
      </c>
      <c r="K8" s="93">
        <v>20.8</v>
      </c>
      <c r="L8" s="93">
        <v>19.3</v>
      </c>
      <c r="M8" s="93">
        <v>18</v>
      </c>
      <c r="N8" s="93">
        <v>16.899999999999999</v>
      </c>
      <c r="O8" s="93">
        <v>16</v>
      </c>
      <c r="P8" s="93">
        <v>15.2</v>
      </c>
      <c r="Q8" s="93">
        <v>14.5</v>
      </c>
      <c r="R8" s="93">
        <v>13.9</v>
      </c>
      <c r="S8" s="93">
        <v>13.4</v>
      </c>
      <c r="T8" s="93">
        <v>12.9</v>
      </c>
      <c r="U8" s="93">
        <v>12.5</v>
      </c>
      <c r="W8" s="92">
        <v>17</v>
      </c>
      <c r="X8" s="93">
        <v>164.1</v>
      </c>
      <c r="Y8" s="93">
        <v>83.7</v>
      </c>
      <c r="Z8" s="93">
        <v>56.9</v>
      </c>
      <c r="AA8" s="93">
        <v>43.5</v>
      </c>
      <c r="AB8" s="93">
        <v>35.5</v>
      </c>
      <c r="AC8" s="93">
        <v>30.1</v>
      </c>
      <c r="AD8" s="93">
        <v>26.3</v>
      </c>
      <c r="AE8" s="93">
        <v>23.5</v>
      </c>
      <c r="AF8" s="93">
        <v>21.3</v>
      </c>
      <c r="AG8" s="93">
        <v>19.5</v>
      </c>
      <c r="AH8" s="93">
        <v>18.100000000000001</v>
      </c>
      <c r="AI8" s="93">
        <v>16.899999999999999</v>
      </c>
      <c r="AJ8" s="93">
        <v>15.9</v>
      </c>
      <c r="AK8" s="93">
        <v>15</v>
      </c>
      <c r="AL8" s="93">
        <v>14.3</v>
      </c>
      <c r="AM8" s="93">
        <v>13.6</v>
      </c>
      <c r="AN8" s="93">
        <v>13</v>
      </c>
      <c r="AO8" s="93">
        <v>12.5</v>
      </c>
      <c r="AP8" s="93">
        <v>12.1</v>
      </c>
      <c r="AQ8" s="93">
        <v>11.7</v>
      </c>
    </row>
    <row r="9" spans="1:43" x14ac:dyDescent="0.25">
      <c r="A9" s="92">
        <v>18</v>
      </c>
      <c r="B9" s="93">
        <v>178.7</v>
      </c>
      <c r="C9" s="93">
        <v>91.1</v>
      </c>
      <c r="D9" s="93">
        <v>62</v>
      </c>
      <c r="E9" s="93">
        <v>47.4</v>
      </c>
      <c r="F9" s="93">
        <v>38.700000000000003</v>
      </c>
      <c r="G9" s="93">
        <v>32.799999999999997</v>
      </c>
      <c r="H9" s="93">
        <v>28.7</v>
      </c>
      <c r="I9" s="93">
        <v>25.6</v>
      </c>
      <c r="J9" s="93">
        <v>23.2</v>
      </c>
      <c r="K9" s="93">
        <v>21.3</v>
      </c>
      <c r="L9" s="93">
        <v>19.7</v>
      </c>
      <c r="M9" s="93">
        <v>18.399999999999999</v>
      </c>
      <c r="N9" s="93">
        <v>17.3</v>
      </c>
      <c r="O9" s="93">
        <v>16.3</v>
      </c>
      <c r="P9" s="93">
        <v>15.5</v>
      </c>
      <c r="Q9" s="93">
        <v>14.8</v>
      </c>
      <c r="R9" s="93">
        <v>14.2</v>
      </c>
      <c r="S9" s="93">
        <v>13.7</v>
      </c>
      <c r="T9" s="93">
        <v>13.2</v>
      </c>
      <c r="U9" s="93">
        <v>12.7</v>
      </c>
      <c r="W9" s="92">
        <v>18</v>
      </c>
      <c r="X9" s="93">
        <v>167</v>
      </c>
      <c r="Y9" s="93">
        <v>85.2</v>
      </c>
      <c r="Z9" s="93">
        <v>57.9</v>
      </c>
      <c r="AA9" s="93">
        <v>44.3</v>
      </c>
      <c r="AB9" s="93">
        <v>36.1</v>
      </c>
      <c r="AC9" s="93">
        <v>30.7</v>
      </c>
      <c r="AD9" s="93">
        <v>26.8</v>
      </c>
      <c r="AE9" s="93">
        <v>23.9</v>
      </c>
      <c r="AF9" s="93">
        <v>21.7</v>
      </c>
      <c r="AG9" s="93">
        <v>19.899999999999999</v>
      </c>
      <c r="AH9" s="93">
        <v>18.399999999999999</v>
      </c>
      <c r="AI9" s="93">
        <v>17.2</v>
      </c>
      <c r="AJ9" s="93">
        <v>16.100000000000001</v>
      </c>
      <c r="AK9" s="93">
        <v>15.3</v>
      </c>
      <c r="AL9" s="93">
        <v>14.5</v>
      </c>
      <c r="AM9" s="93">
        <v>13.9</v>
      </c>
      <c r="AN9" s="93">
        <v>13.3</v>
      </c>
      <c r="AO9" s="93">
        <v>12.8</v>
      </c>
      <c r="AP9" s="93">
        <v>12.3</v>
      </c>
      <c r="AQ9" s="93">
        <v>11.9</v>
      </c>
    </row>
    <row r="10" spans="1:43" x14ac:dyDescent="0.25">
      <c r="A10" s="92">
        <v>19</v>
      </c>
      <c r="B10" s="93">
        <v>182.1</v>
      </c>
      <c r="C10" s="93">
        <v>92.9</v>
      </c>
      <c r="D10" s="93">
        <v>63.2</v>
      </c>
      <c r="E10" s="93">
        <v>48.3</v>
      </c>
      <c r="F10" s="93">
        <v>39.4</v>
      </c>
      <c r="G10" s="93">
        <v>33.5</v>
      </c>
      <c r="H10" s="93">
        <v>29.2</v>
      </c>
      <c r="I10" s="93">
        <v>26.1</v>
      </c>
      <c r="J10" s="93">
        <v>23.6</v>
      </c>
      <c r="K10" s="93">
        <v>21.7</v>
      </c>
      <c r="L10" s="93">
        <v>20.100000000000001</v>
      </c>
      <c r="M10" s="93">
        <v>18.7</v>
      </c>
      <c r="N10" s="93">
        <v>17.600000000000001</v>
      </c>
      <c r="O10" s="93">
        <v>16.7</v>
      </c>
      <c r="P10" s="93">
        <v>15.8</v>
      </c>
      <c r="Q10" s="93">
        <v>15.1</v>
      </c>
      <c r="R10" s="93">
        <v>14.5</v>
      </c>
      <c r="S10" s="93">
        <v>13.9</v>
      </c>
      <c r="T10" s="93">
        <v>13.4</v>
      </c>
      <c r="U10" s="93">
        <v>13</v>
      </c>
      <c r="W10" s="92">
        <v>19</v>
      </c>
      <c r="X10" s="93">
        <v>170</v>
      </c>
      <c r="Y10" s="93">
        <v>86.7</v>
      </c>
      <c r="Z10" s="93">
        <v>59</v>
      </c>
      <c r="AA10" s="93">
        <v>45.1</v>
      </c>
      <c r="AB10" s="93">
        <v>36.799999999999997</v>
      </c>
      <c r="AC10" s="93">
        <v>31.2</v>
      </c>
      <c r="AD10" s="93">
        <v>27.3</v>
      </c>
      <c r="AE10" s="93">
        <v>24.3</v>
      </c>
      <c r="AF10" s="93">
        <v>22</v>
      </c>
      <c r="AG10" s="93">
        <v>20.2</v>
      </c>
      <c r="AH10" s="93">
        <v>18.7</v>
      </c>
      <c r="AI10" s="93">
        <v>17.5</v>
      </c>
      <c r="AJ10" s="93">
        <v>16.399999999999999</v>
      </c>
      <c r="AK10" s="93">
        <v>15.5</v>
      </c>
      <c r="AL10" s="93">
        <v>14.8</v>
      </c>
      <c r="AM10" s="93">
        <v>14.1</v>
      </c>
      <c r="AN10" s="93">
        <v>13.5</v>
      </c>
      <c r="AO10" s="93">
        <v>13</v>
      </c>
      <c r="AP10" s="93">
        <v>12.5</v>
      </c>
      <c r="AQ10" s="93">
        <v>12.1</v>
      </c>
    </row>
    <row r="11" spans="1:43" x14ac:dyDescent="0.25">
      <c r="A11" s="92">
        <v>20</v>
      </c>
      <c r="B11" s="93">
        <v>185.4</v>
      </c>
      <c r="C11" s="93">
        <v>94.5</v>
      </c>
      <c r="D11" s="93">
        <v>64.3</v>
      </c>
      <c r="E11" s="93">
        <v>49.2</v>
      </c>
      <c r="F11" s="93">
        <v>40.1</v>
      </c>
      <c r="G11" s="93">
        <v>34.1</v>
      </c>
      <c r="H11" s="93">
        <v>29.8</v>
      </c>
      <c r="I11" s="93">
        <v>26.5</v>
      </c>
      <c r="J11" s="93">
        <v>24</v>
      </c>
      <c r="K11" s="93">
        <v>22</v>
      </c>
      <c r="L11" s="93">
        <v>20.399999999999999</v>
      </c>
      <c r="M11" s="93">
        <v>19.100000000000001</v>
      </c>
      <c r="N11" s="93">
        <v>17.899999999999999</v>
      </c>
      <c r="O11" s="93">
        <v>16.899999999999999</v>
      </c>
      <c r="P11" s="93">
        <v>16.100000000000001</v>
      </c>
      <c r="Q11" s="93">
        <v>15.4</v>
      </c>
      <c r="R11" s="93">
        <v>14.7</v>
      </c>
      <c r="S11" s="93">
        <v>14.2</v>
      </c>
      <c r="T11" s="93">
        <v>13.7</v>
      </c>
      <c r="U11" s="93">
        <v>13.2</v>
      </c>
      <c r="W11" s="92">
        <v>20</v>
      </c>
      <c r="X11" s="93">
        <v>173.1</v>
      </c>
      <c r="Y11" s="93">
        <v>88.3</v>
      </c>
      <c r="Z11" s="93">
        <v>60</v>
      </c>
      <c r="AA11" s="93">
        <v>45.9</v>
      </c>
      <c r="AB11" s="93">
        <v>37.4</v>
      </c>
      <c r="AC11" s="93">
        <v>31.8</v>
      </c>
      <c r="AD11" s="93">
        <v>27.8</v>
      </c>
      <c r="AE11" s="93">
        <v>24.8</v>
      </c>
      <c r="AF11" s="93">
        <v>22.4</v>
      </c>
      <c r="AG11" s="93">
        <v>20.6</v>
      </c>
      <c r="AH11" s="93">
        <v>19.100000000000001</v>
      </c>
      <c r="AI11" s="93">
        <v>17.8</v>
      </c>
      <c r="AJ11" s="93">
        <v>16.7</v>
      </c>
      <c r="AK11" s="93">
        <v>15.8</v>
      </c>
      <c r="AL11" s="93">
        <v>15</v>
      </c>
      <c r="AM11" s="93">
        <v>14.4</v>
      </c>
      <c r="AN11" s="93">
        <v>13.8</v>
      </c>
      <c r="AO11" s="93">
        <v>13.2</v>
      </c>
      <c r="AP11" s="93">
        <v>12.8</v>
      </c>
      <c r="AQ11" s="93">
        <v>12.3</v>
      </c>
    </row>
    <row r="12" spans="1:43" x14ac:dyDescent="0.25">
      <c r="A12" s="92">
        <v>21</v>
      </c>
      <c r="B12" s="93">
        <v>188.7</v>
      </c>
      <c r="C12" s="93">
        <v>96.2</v>
      </c>
      <c r="D12" s="93">
        <v>65.400000000000006</v>
      </c>
      <c r="E12" s="93">
        <v>50</v>
      </c>
      <c r="F12" s="93">
        <v>40.799999999999997</v>
      </c>
      <c r="G12" s="93">
        <v>34.700000000000003</v>
      </c>
      <c r="H12" s="93">
        <v>30.3</v>
      </c>
      <c r="I12" s="93">
        <v>27</v>
      </c>
      <c r="J12" s="93">
        <v>24.5</v>
      </c>
      <c r="K12" s="93">
        <v>22.4</v>
      </c>
      <c r="L12" s="93">
        <v>20.8</v>
      </c>
      <c r="M12" s="93">
        <v>19.399999999999999</v>
      </c>
      <c r="N12" s="93">
        <v>18.2</v>
      </c>
      <c r="O12" s="93">
        <v>17.3</v>
      </c>
      <c r="P12" s="93">
        <v>16.399999999999999</v>
      </c>
      <c r="Q12" s="93">
        <v>15.6</v>
      </c>
      <c r="R12" s="93">
        <v>15</v>
      </c>
      <c r="S12" s="93">
        <v>14.4</v>
      </c>
      <c r="T12" s="93">
        <v>13.9</v>
      </c>
      <c r="U12" s="93">
        <v>13.4</v>
      </c>
      <c r="W12" s="92">
        <v>21</v>
      </c>
      <c r="X12" s="93">
        <v>176.2</v>
      </c>
      <c r="Y12" s="93">
        <v>89.8</v>
      </c>
      <c r="Z12" s="93">
        <v>61.1</v>
      </c>
      <c r="AA12" s="93">
        <v>46.7</v>
      </c>
      <c r="AB12" s="93">
        <v>38.1</v>
      </c>
      <c r="AC12" s="93">
        <v>32.4</v>
      </c>
      <c r="AD12" s="93">
        <v>28.3</v>
      </c>
      <c r="AE12" s="93">
        <v>25.2</v>
      </c>
      <c r="AF12" s="93">
        <v>22.8</v>
      </c>
      <c r="AG12" s="93">
        <v>21</v>
      </c>
      <c r="AH12" s="93">
        <v>19.399999999999999</v>
      </c>
      <c r="AI12" s="93">
        <v>18.100000000000001</v>
      </c>
      <c r="AJ12" s="93">
        <v>17</v>
      </c>
      <c r="AK12" s="93">
        <v>16.100000000000001</v>
      </c>
      <c r="AL12" s="93">
        <v>15.3</v>
      </c>
      <c r="AM12" s="93">
        <v>14.6</v>
      </c>
      <c r="AN12" s="93">
        <v>14</v>
      </c>
      <c r="AO12" s="93">
        <v>13.5</v>
      </c>
      <c r="AP12" s="93">
        <v>13</v>
      </c>
      <c r="AQ12" s="93">
        <v>12.5</v>
      </c>
    </row>
    <row r="13" spans="1:43" x14ac:dyDescent="0.25">
      <c r="A13" s="92">
        <v>22</v>
      </c>
      <c r="B13" s="93">
        <v>192</v>
      </c>
      <c r="C13" s="93">
        <v>97.9</v>
      </c>
      <c r="D13" s="93">
        <v>66.599999999999994</v>
      </c>
      <c r="E13" s="93">
        <v>50.9</v>
      </c>
      <c r="F13" s="93">
        <v>41.5</v>
      </c>
      <c r="G13" s="93">
        <v>35.299999999999997</v>
      </c>
      <c r="H13" s="93">
        <v>30.8</v>
      </c>
      <c r="I13" s="93">
        <v>27.5</v>
      </c>
      <c r="J13" s="93">
        <v>24.9</v>
      </c>
      <c r="K13" s="93">
        <v>22.8</v>
      </c>
      <c r="L13" s="93">
        <v>21.1</v>
      </c>
      <c r="M13" s="93">
        <v>19.7</v>
      </c>
      <c r="N13" s="93">
        <v>18.600000000000001</v>
      </c>
      <c r="O13" s="93">
        <v>17.600000000000001</v>
      </c>
      <c r="P13" s="93">
        <v>16.7</v>
      </c>
      <c r="Q13" s="93">
        <v>15.9</v>
      </c>
      <c r="R13" s="93">
        <v>15.3</v>
      </c>
      <c r="S13" s="93">
        <v>14.7</v>
      </c>
      <c r="T13" s="93">
        <v>14.1</v>
      </c>
      <c r="U13" s="93">
        <v>13.7</v>
      </c>
      <c r="W13" s="92">
        <v>22</v>
      </c>
      <c r="X13" s="93">
        <v>179.3</v>
      </c>
      <c r="Y13" s="93">
        <v>91.5</v>
      </c>
      <c r="Z13" s="93">
        <v>62.2</v>
      </c>
      <c r="AA13" s="93">
        <v>47.6</v>
      </c>
      <c r="AB13" s="93">
        <v>38.799999999999997</v>
      </c>
      <c r="AC13" s="93">
        <v>33</v>
      </c>
      <c r="AD13" s="93">
        <v>28.8</v>
      </c>
      <c r="AE13" s="93">
        <v>25.7</v>
      </c>
      <c r="AF13" s="93">
        <v>23.3</v>
      </c>
      <c r="AG13" s="93">
        <v>21.3</v>
      </c>
      <c r="AH13" s="93">
        <v>19.8</v>
      </c>
      <c r="AI13" s="93">
        <v>18.399999999999999</v>
      </c>
      <c r="AJ13" s="93">
        <v>17.3</v>
      </c>
      <c r="AK13" s="93">
        <v>16.399999999999999</v>
      </c>
      <c r="AL13" s="93">
        <v>15.6</v>
      </c>
      <c r="AM13" s="93">
        <v>14.9</v>
      </c>
      <c r="AN13" s="93">
        <v>14.3</v>
      </c>
      <c r="AO13" s="93">
        <v>13.7</v>
      </c>
      <c r="AP13" s="93">
        <v>13.2</v>
      </c>
      <c r="AQ13" s="93">
        <v>12.8</v>
      </c>
    </row>
    <row r="14" spans="1:43" x14ac:dyDescent="0.25">
      <c r="A14" s="92">
        <v>23</v>
      </c>
      <c r="B14" s="93">
        <v>195.4</v>
      </c>
      <c r="C14" s="93">
        <v>99.6</v>
      </c>
      <c r="D14" s="93">
        <v>67.7</v>
      </c>
      <c r="E14" s="93">
        <v>51.8</v>
      </c>
      <c r="F14" s="93">
        <v>42.3</v>
      </c>
      <c r="G14" s="93">
        <v>35.9</v>
      </c>
      <c r="H14" s="93">
        <v>31.4</v>
      </c>
      <c r="I14" s="93">
        <v>28</v>
      </c>
      <c r="J14" s="93">
        <v>25.3</v>
      </c>
      <c r="K14" s="93">
        <v>23.2</v>
      </c>
      <c r="L14" s="93">
        <v>21.5</v>
      </c>
      <c r="M14" s="93">
        <v>20.100000000000001</v>
      </c>
      <c r="N14" s="93">
        <v>18.899999999999999</v>
      </c>
      <c r="O14" s="93">
        <v>17.899999999999999</v>
      </c>
      <c r="P14" s="93">
        <v>17</v>
      </c>
      <c r="Q14" s="93">
        <v>16.2</v>
      </c>
      <c r="R14" s="93">
        <v>15.5</v>
      </c>
      <c r="S14" s="93">
        <v>14.9</v>
      </c>
      <c r="T14" s="93">
        <v>14.4</v>
      </c>
      <c r="U14" s="93">
        <v>13.9</v>
      </c>
      <c r="W14" s="92">
        <v>23</v>
      </c>
      <c r="X14" s="93">
        <v>182.5</v>
      </c>
      <c r="Y14" s="93">
        <v>93.1</v>
      </c>
      <c r="Z14" s="93">
        <v>63.3</v>
      </c>
      <c r="AA14" s="93">
        <v>48.4</v>
      </c>
      <c r="AB14" s="93">
        <v>39.5</v>
      </c>
      <c r="AC14" s="93">
        <v>33.5</v>
      </c>
      <c r="AD14" s="93">
        <v>29.3</v>
      </c>
      <c r="AE14" s="93">
        <v>26.1</v>
      </c>
      <c r="AF14" s="93">
        <v>23.7</v>
      </c>
      <c r="AG14" s="93">
        <v>21.7</v>
      </c>
      <c r="AH14" s="93">
        <v>20.100000000000001</v>
      </c>
      <c r="AI14" s="93">
        <v>18.8</v>
      </c>
      <c r="AJ14" s="93">
        <v>17.7</v>
      </c>
      <c r="AK14" s="93">
        <v>16.7</v>
      </c>
      <c r="AL14" s="93">
        <v>15.9</v>
      </c>
      <c r="AM14" s="93">
        <v>15.1</v>
      </c>
      <c r="AN14" s="93">
        <v>14.5</v>
      </c>
      <c r="AO14" s="93">
        <v>14</v>
      </c>
      <c r="AP14" s="93">
        <v>13.5</v>
      </c>
      <c r="AQ14" s="93">
        <v>13</v>
      </c>
    </row>
    <row r="15" spans="1:43" x14ac:dyDescent="0.25">
      <c r="A15" s="92">
        <v>24</v>
      </c>
      <c r="B15" s="93">
        <v>198.8</v>
      </c>
      <c r="C15" s="93">
        <v>101.4</v>
      </c>
      <c r="D15" s="93">
        <v>68.900000000000006</v>
      </c>
      <c r="E15" s="93">
        <v>52.7</v>
      </c>
      <c r="F15" s="93">
        <v>43</v>
      </c>
      <c r="G15" s="93">
        <v>36.5</v>
      </c>
      <c r="H15" s="93">
        <v>31.9</v>
      </c>
      <c r="I15" s="93">
        <v>28.5</v>
      </c>
      <c r="J15" s="93">
        <v>25.8</v>
      </c>
      <c r="K15" s="93">
        <v>23.6</v>
      </c>
      <c r="L15" s="93">
        <v>21.9</v>
      </c>
      <c r="M15" s="93">
        <v>20.5</v>
      </c>
      <c r="N15" s="93">
        <v>19.2</v>
      </c>
      <c r="O15" s="93">
        <v>18.2</v>
      </c>
      <c r="P15" s="93">
        <v>17.3</v>
      </c>
      <c r="Q15" s="93">
        <v>16.5</v>
      </c>
      <c r="R15" s="93">
        <v>15.8</v>
      </c>
      <c r="S15" s="93">
        <v>15.2</v>
      </c>
      <c r="T15" s="93">
        <v>14.7</v>
      </c>
      <c r="U15" s="93">
        <v>14.2</v>
      </c>
      <c r="W15" s="92">
        <v>24</v>
      </c>
      <c r="X15" s="93">
        <v>185.8</v>
      </c>
      <c r="Y15" s="93">
        <v>94.7</v>
      </c>
      <c r="Z15" s="93">
        <v>64.400000000000006</v>
      </c>
      <c r="AA15" s="93">
        <v>49.3</v>
      </c>
      <c r="AB15" s="93">
        <v>40.200000000000003</v>
      </c>
      <c r="AC15" s="93">
        <v>34.1</v>
      </c>
      <c r="AD15" s="93">
        <v>29.8</v>
      </c>
      <c r="AE15" s="93">
        <v>26.6</v>
      </c>
      <c r="AF15" s="93">
        <v>24.1</v>
      </c>
      <c r="AG15" s="93">
        <v>22.1</v>
      </c>
      <c r="AH15" s="93">
        <v>20.5</v>
      </c>
      <c r="AI15" s="93">
        <v>19.100000000000001</v>
      </c>
      <c r="AJ15" s="93">
        <v>18</v>
      </c>
      <c r="AK15" s="93">
        <v>17</v>
      </c>
      <c r="AL15" s="93">
        <v>16.100000000000001</v>
      </c>
      <c r="AM15" s="93">
        <v>15.4</v>
      </c>
      <c r="AN15" s="93">
        <v>14.8</v>
      </c>
      <c r="AO15" s="93">
        <v>14.2</v>
      </c>
      <c r="AP15" s="93">
        <v>13.7</v>
      </c>
      <c r="AQ15" s="93">
        <v>13.2</v>
      </c>
    </row>
    <row r="16" spans="1:43" x14ac:dyDescent="0.25">
      <c r="A16" s="92">
        <v>25</v>
      </c>
      <c r="B16" s="93">
        <v>202.3</v>
      </c>
      <c r="C16" s="93">
        <v>103.2</v>
      </c>
      <c r="D16" s="93">
        <v>70.2</v>
      </c>
      <c r="E16" s="93">
        <v>53.7</v>
      </c>
      <c r="F16" s="93">
        <v>43.8</v>
      </c>
      <c r="G16" s="93">
        <v>37.200000000000003</v>
      </c>
      <c r="H16" s="93">
        <v>32.5</v>
      </c>
      <c r="I16" s="93">
        <v>29</v>
      </c>
      <c r="J16" s="93">
        <v>26.2</v>
      </c>
      <c r="K16" s="93">
        <v>24.1</v>
      </c>
      <c r="L16" s="93">
        <v>22.3</v>
      </c>
      <c r="M16" s="93">
        <v>20.8</v>
      </c>
      <c r="N16" s="93">
        <v>19.600000000000001</v>
      </c>
      <c r="O16" s="93">
        <v>18.5</v>
      </c>
      <c r="P16" s="93">
        <v>17.600000000000001</v>
      </c>
      <c r="Q16" s="93">
        <v>16.8</v>
      </c>
      <c r="R16" s="93">
        <v>16.100000000000001</v>
      </c>
      <c r="S16" s="93">
        <v>15.5</v>
      </c>
      <c r="T16" s="93">
        <v>14.9</v>
      </c>
      <c r="U16" s="93">
        <v>14.4</v>
      </c>
      <c r="W16" s="92">
        <v>25</v>
      </c>
      <c r="X16" s="93">
        <v>189</v>
      </c>
      <c r="Y16" s="93">
        <v>96.4</v>
      </c>
      <c r="Z16" s="93">
        <v>65.599999999999994</v>
      </c>
      <c r="AA16" s="93">
        <v>50.1</v>
      </c>
      <c r="AB16" s="93">
        <v>40.9</v>
      </c>
      <c r="AC16" s="93">
        <v>34.700000000000003</v>
      </c>
      <c r="AD16" s="93">
        <v>30.4</v>
      </c>
      <c r="AE16" s="93">
        <v>27.1</v>
      </c>
      <c r="AF16" s="93">
        <v>24.5</v>
      </c>
      <c r="AG16" s="93">
        <v>22.5</v>
      </c>
      <c r="AH16" s="93">
        <v>20.8</v>
      </c>
      <c r="AI16" s="93">
        <v>19.399999999999999</v>
      </c>
      <c r="AJ16" s="93">
        <v>18.3</v>
      </c>
      <c r="AK16" s="93">
        <v>17.3</v>
      </c>
      <c r="AL16" s="93">
        <v>16.399999999999999</v>
      </c>
      <c r="AM16" s="93">
        <v>15.7</v>
      </c>
      <c r="AN16" s="93">
        <v>15</v>
      </c>
      <c r="AO16" s="93">
        <v>14.5</v>
      </c>
      <c r="AP16" s="93">
        <v>13.9</v>
      </c>
      <c r="AQ16" s="93">
        <v>13.5</v>
      </c>
    </row>
    <row r="17" spans="1:43" x14ac:dyDescent="0.25">
      <c r="A17" s="92">
        <v>26</v>
      </c>
      <c r="B17" s="93">
        <v>205.9</v>
      </c>
      <c r="C17" s="93">
        <v>105</v>
      </c>
      <c r="D17" s="93">
        <v>71.400000000000006</v>
      </c>
      <c r="E17" s="93">
        <v>54.6</v>
      </c>
      <c r="F17" s="93">
        <v>44.5</v>
      </c>
      <c r="G17" s="93">
        <v>37.799999999999997</v>
      </c>
      <c r="H17" s="93">
        <v>33.1</v>
      </c>
      <c r="I17" s="93">
        <v>29.5</v>
      </c>
      <c r="J17" s="93">
        <v>26.7</v>
      </c>
      <c r="K17" s="93">
        <v>24.5</v>
      </c>
      <c r="L17" s="93">
        <v>22.7</v>
      </c>
      <c r="M17" s="93">
        <v>21.2</v>
      </c>
      <c r="N17" s="93">
        <v>19.899999999999999</v>
      </c>
      <c r="O17" s="93">
        <v>18.8</v>
      </c>
      <c r="P17" s="93">
        <v>17.899999999999999</v>
      </c>
      <c r="Q17" s="93">
        <v>17.100000000000001</v>
      </c>
      <c r="R17" s="93">
        <v>16.399999999999999</v>
      </c>
      <c r="S17" s="93">
        <v>15.7</v>
      </c>
      <c r="T17" s="93">
        <v>15.2</v>
      </c>
      <c r="U17" s="93">
        <v>14.7</v>
      </c>
      <c r="W17" s="92">
        <v>26</v>
      </c>
      <c r="X17" s="93">
        <v>192.4</v>
      </c>
      <c r="Y17" s="93">
        <v>98.1</v>
      </c>
      <c r="Z17" s="93">
        <v>66.7</v>
      </c>
      <c r="AA17" s="93">
        <v>51</v>
      </c>
      <c r="AB17" s="93">
        <v>41.6</v>
      </c>
      <c r="AC17" s="93">
        <v>35.4</v>
      </c>
      <c r="AD17" s="93">
        <v>30.9</v>
      </c>
      <c r="AE17" s="93">
        <v>27.5</v>
      </c>
      <c r="AF17" s="93">
        <v>25</v>
      </c>
      <c r="AG17" s="93">
        <v>22.9</v>
      </c>
      <c r="AH17" s="93">
        <v>21.2</v>
      </c>
      <c r="AI17" s="93">
        <v>19.8</v>
      </c>
      <c r="AJ17" s="93">
        <v>18.600000000000001</v>
      </c>
      <c r="AK17" s="93">
        <v>17.600000000000001</v>
      </c>
      <c r="AL17" s="93">
        <v>16.7</v>
      </c>
      <c r="AM17" s="93">
        <v>16</v>
      </c>
      <c r="AN17" s="93">
        <v>15.3</v>
      </c>
      <c r="AO17" s="93">
        <v>14.7</v>
      </c>
      <c r="AP17" s="93">
        <v>14.2</v>
      </c>
      <c r="AQ17" s="93">
        <v>13.7</v>
      </c>
    </row>
    <row r="18" spans="1:43" x14ac:dyDescent="0.25">
      <c r="A18" s="92">
        <v>27</v>
      </c>
      <c r="B18" s="93">
        <v>209.5</v>
      </c>
      <c r="C18" s="93">
        <v>106.8</v>
      </c>
      <c r="D18" s="93">
        <v>72.599999999999994</v>
      </c>
      <c r="E18" s="93">
        <v>55.6</v>
      </c>
      <c r="F18" s="93">
        <v>45.3</v>
      </c>
      <c r="G18" s="93">
        <v>38.5</v>
      </c>
      <c r="H18" s="93">
        <v>33.6</v>
      </c>
      <c r="I18" s="93">
        <v>30</v>
      </c>
      <c r="J18" s="93">
        <v>27.2</v>
      </c>
      <c r="K18" s="93">
        <v>24.9</v>
      </c>
      <c r="L18" s="93">
        <v>23.1</v>
      </c>
      <c r="M18" s="93">
        <v>21.6</v>
      </c>
      <c r="N18" s="93">
        <v>20.3</v>
      </c>
      <c r="O18" s="93">
        <v>19.2</v>
      </c>
      <c r="P18" s="93">
        <v>18.2</v>
      </c>
      <c r="Q18" s="93">
        <v>17.399999999999999</v>
      </c>
      <c r="R18" s="93">
        <v>16.7</v>
      </c>
      <c r="S18" s="93">
        <v>16</v>
      </c>
      <c r="T18" s="93">
        <v>15.5</v>
      </c>
      <c r="U18" s="93">
        <v>14.9</v>
      </c>
      <c r="W18" s="92">
        <v>27</v>
      </c>
      <c r="X18" s="93">
        <v>195.8</v>
      </c>
      <c r="Y18" s="93">
        <v>99.8</v>
      </c>
      <c r="Z18" s="93">
        <v>67.900000000000006</v>
      </c>
      <c r="AA18" s="93">
        <v>51.9</v>
      </c>
      <c r="AB18" s="93">
        <v>42.4</v>
      </c>
      <c r="AC18" s="93">
        <v>36</v>
      </c>
      <c r="AD18" s="93">
        <v>31.4</v>
      </c>
      <c r="AE18" s="93">
        <v>28</v>
      </c>
      <c r="AF18" s="93">
        <v>25.4</v>
      </c>
      <c r="AG18" s="93">
        <v>23.3</v>
      </c>
      <c r="AH18" s="93">
        <v>21.6</v>
      </c>
      <c r="AI18" s="93">
        <v>20.2</v>
      </c>
      <c r="AJ18" s="93">
        <v>18.899999999999999</v>
      </c>
      <c r="AK18" s="93">
        <v>17.899999999999999</v>
      </c>
      <c r="AL18" s="93">
        <v>17</v>
      </c>
      <c r="AM18" s="93">
        <v>16.3</v>
      </c>
      <c r="AN18" s="93">
        <v>15.6</v>
      </c>
      <c r="AO18" s="93">
        <v>15</v>
      </c>
      <c r="AP18" s="93">
        <v>14.4</v>
      </c>
      <c r="AQ18" s="93">
        <v>14</v>
      </c>
    </row>
    <row r="19" spans="1:43" x14ac:dyDescent="0.25">
      <c r="A19" s="92">
        <v>28</v>
      </c>
      <c r="B19" s="93">
        <v>213.1</v>
      </c>
      <c r="C19" s="93">
        <v>108.7</v>
      </c>
      <c r="D19" s="93">
        <v>73.900000000000006</v>
      </c>
      <c r="E19" s="93">
        <v>56.5</v>
      </c>
      <c r="F19" s="93">
        <v>46.1</v>
      </c>
      <c r="G19" s="93">
        <v>39.200000000000003</v>
      </c>
      <c r="H19" s="93">
        <v>34.200000000000003</v>
      </c>
      <c r="I19" s="93">
        <v>30.5</v>
      </c>
      <c r="J19" s="93">
        <v>27.7</v>
      </c>
      <c r="K19" s="93">
        <v>25.4</v>
      </c>
      <c r="L19" s="93">
        <v>23.5</v>
      </c>
      <c r="M19" s="93">
        <v>21.9</v>
      </c>
      <c r="N19" s="93">
        <v>20.6</v>
      </c>
      <c r="O19" s="93">
        <v>19.5</v>
      </c>
      <c r="P19" s="93">
        <v>18.5</v>
      </c>
      <c r="Q19" s="93">
        <v>17.7</v>
      </c>
      <c r="R19" s="93">
        <v>17</v>
      </c>
      <c r="S19" s="93">
        <v>16.3</v>
      </c>
      <c r="T19" s="93">
        <v>15.7</v>
      </c>
      <c r="U19" s="93">
        <v>15.2</v>
      </c>
      <c r="W19" s="92">
        <v>28</v>
      </c>
      <c r="X19" s="93">
        <v>199.2</v>
      </c>
      <c r="Y19" s="93">
        <v>101.6</v>
      </c>
      <c r="Z19" s="93">
        <v>69.099999999999994</v>
      </c>
      <c r="AA19" s="93">
        <v>52.8</v>
      </c>
      <c r="AB19" s="93">
        <v>43.1</v>
      </c>
      <c r="AC19" s="93">
        <v>36.6</v>
      </c>
      <c r="AD19" s="93">
        <v>32</v>
      </c>
      <c r="AE19" s="93">
        <v>28.5</v>
      </c>
      <c r="AF19" s="93">
        <v>25.9</v>
      </c>
      <c r="AG19" s="93">
        <v>23.7</v>
      </c>
      <c r="AH19" s="93">
        <v>22</v>
      </c>
      <c r="AI19" s="93">
        <v>20.5</v>
      </c>
      <c r="AJ19" s="93">
        <v>19.3</v>
      </c>
      <c r="AK19" s="93">
        <v>18.2</v>
      </c>
      <c r="AL19" s="93">
        <v>17.3</v>
      </c>
      <c r="AM19" s="93">
        <v>16.600000000000001</v>
      </c>
      <c r="AN19" s="93">
        <v>15.9</v>
      </c>
      <c r="AO19" s="93">
        <v>15.3</v>
      </c>
      <c r="AP19" s="93">
        <v>14.7</v>
      </c>
      <c r="AQ19" s="93">
        <v>14.2</v>
      </c>
    </row>
    <row r="20" spans="1:43" x14ac:dyDescent="0.25">
      <c r="A20" s="92">
        <v>29</v>
      </c>
      <c r="B20" s="93">
        <v>216.9</v>
      </c>
      <c r="C20" s="93">
        <v>110.6</v>
      </c>
      <c r="D20" s="93">
        <v>75.2</v>
      </c>
      <c r="E20" s="93">
        <v>57.5</v>
      </c>
      <c r="F20" s="93">
        <v>46.9</v>
      </c>
      <c r="G20" s="93">
        <v>39.9</v>
      </c>
      <c r="H20" s="93">
        <v>34.799999999999997</v>
      </c>
      <c r="I20" s="93">
        <v>31.1</v>
      </c>
      <c r="J20" s="93">
        <v>28.1</v>
      </c>
      <c r="K20" s="93">
        <v>25.8</v>
      </c>
      <c r="L20" s="93">
        <v>23.9</v>
      </c>
      <c r="M20" s="93">
        <v>22.3</v>
      </c>
      <c r="N20" s="93">
        <v>21</v>
      </c>
      <c r="O20" s="93">
        <v>19.899999999999999</v>
      </c>
      <c r="P20" s="93">
        <v>18.899999999999999</v>
      </c>
      <c r="Q20" s="93">
        <v>18</v>
      </c>
      <c r="R20" s="93">
        <v>17.3</v>
      </c>
      <c r="S20" s="93">
        <v>16.600000000000001</v>
      </c>
      <c r="T20" s="93">
        <v>16</v>
      </c>
      <c r="U20" s="93">
        <v>15.5</v>
      </c>
      <c r="W20" s="92">
        <v>29</v>
      </c>
      <c r="X20" s="93">
        <v>202.7</v>
      </c>
      <c r="Y20" s="93">
        <v>103.4</v>
      </c>
      <c r="Z20" s="93">
        <v>70.3</v>
      </c>
      <c r="AA20" s="93">
        <v>53.8</v>
      </c>
      <c r="AB20" s="93">
        <v>43.9</v>
      </c>
      <c r="AC20" s="93">
        <v>37.299999999999997</v>
      </c>
      <c r="AD20" s="93">
        <v>32.6</v>
      </c>
      <c r="AE20" s="93">
        <v>29</v>
      </c>
      <c r="AF20" s="93">
        <v>26.3</v>
      </c>
      <c r="AG20" s="93">
        <v>24.1</v>
      </c>
      <c r="AH20" s="93">
        <v>22.4</v>
      </c>
      <c r="AI20" s="93">
        <v>20.9</v>
      </c>
      <c r="AJ20" s="93">
        <v>19.600000000000001</v>
      </c>
      <c r="AK20" s="93">
        <v>18.600000000000001</v>
      </c>
      <c r="AL20" s="93">
        <v>17.600000000000001</v>
      </c>
      <c r="AM20" s="93">
        <v>16.8</v>
      </c>
      <c r="AN20" s="93">
        <v>16.100000000000001</v>
      </c>
      <c r="AO20" s="93">
        <v>15.5</v>
      </c>
      <c r="AP20" s="93">
        <v>15</v>
      </c>
      <c r="AQ20" s="93">
        <v>14.5</v>
      </c>
    </row>
    <row r="21" spans="1:43" x14ac:dyDescent="0.25">
      <c r="A21" s="92">
        <v>30</v>
      </c>
      <c r="B21" s="93">
        <v>220.6</v>
      </c>
      <c r="C21" s="93">
        <v>112.5</v>
      </c>
      <c r="D21" s="93">
        <v>76.5</v>
      </c>
      <c r="E21" s="93">
        <v>58.5</v>
      </c>
      <c r="F21" s="93">
        <v>47.7</v>
      </c>
      <c r="G21" s="93">
        <v>40.6</v>
      </c>
      <c r="H21" s="93">
        <v>35.4</v>
      </c>
      <c r="I21" s="93">
        <v>31.6</v>
      </c>
      <c r="J21" s="93">
        <v>28.6</v>
      </c>
      <c r="K21" s="93">
        <v>26.3</v>
      </c>
      <c r="L21" s="93">
        <v>24.3</v>
      </c>
      <c r="M21" s="93">
        <v>22.7</v>
      </c>
      <c r="N21" s="93">
        <v>21.4</v>
      </c>
      <c r="O21" s="93">
        <v>20.2</v>
      </c>
      <c r="P21" s="93">
        <v>19.2</v>
      </c>
      <c r="Q21" s="93">
        <v>18.3</v>
      </c>
      <c r="R21" s="93">
        <v>17.600000000000001</v>
      </c>
      <c r="S21" s="93">
        <v>16.899999999999999</v>
      </c>
      <c r="T21" s="93">
        <v>16.3</v>
      </c>
      <c r="U21" s="93">
        <v>15.8</v>
      </c>
      <c r="W21" s="92">
        <v>30</v>
      </c>
      <c r="X21" s="93">
        <v>206.3</v>
      </c>
      <c r="Y21" s="93">
        <v>105.2</v>
      </c>
      <c r="Z21" s="93">
        <v>71.5</v>
      </c>
      <c r="AA21" s="93">
        <v>54.7</v>
      </c>
      <c r="AB21" s="93">
        <v>44.6</v>
      </c>
      <c r="AC21" s="93">
        <v>37.9</v>
      </c>
      <c r="AD21" s="93">
        <v>33.1</v>
      </c>
      <c r="AE21" s="93">
        <v>29.6</v>
      </c>
      <c r="AF21" s="93">
        <v>26.8</v>
      </c>
      <c r="AG21" s="93">
        <v>24.6</v>
      </c>
      <c r="AH21" s="93">
        <v>22.8</v>
      </c>
      <c r="AI21" s="93">
        <v>21.2</v>
      </c>
      <c r="AJ21" s="93">
        <v>20</v>
      </c>
      <c r="AK21" s="93">
        <v>18.899999999999999</v>
      </c>
      <c r="AL21" s="93">
        <v>18</v>
      </c>
      <c r="AM21" s="93">
        <v>17.2</v>
      </c>
      <c r="AN21" s="93">
        <v>16.399999999999999</v>
      </c>
      <c r="AO21" s="93">
        <v>15.8</v>
      </c>
      <c r="AP21" s="93">
        <v>15.2</v>
      </c>
      <c r="AQ21" s="93">
        <v>14.7</v>
      </c>
    </row>
    <row r="22" spans="1:43" x14ac:dyDescent="0.25">
      <c r="A22" s="92">
        <v>31</v>
      </c>
      <c r="B22" s="93">
        <v>224.5</v>
      </c>
      <c r="C22" s="93">
        <v>114.5</v>
      </c>
      <c r="D22" s="93">
        <v>77.900000000000006</v>
      </c>
      <c r="E22" s="93">
        <v>59.6</v>
      </c>
      <c r="F22" s="93">
        <v>48.6</v>
      </c>
      <c r="G22" s="93">
        <v>41.3</v>
      </c>
      <c r="H22" s="93">
        <v>36.1</v>
      </c>
      <c r="I22" s="93">
        <v>32.200000000000003</v>
      </c>
      <c r="J22" s="93">
        <v>29.1</v>
      </c>
      <c r="K22" s="93">
        <v>26.7</v>
      </c>
      <c r="L22" s="93">
        <v>24.8</v>
      </c>
      <c r="M22" s="93">
        <v>23.1</v>
      </c>
      <c r="N22" s="93">
        <v>21.8</v>
      </c>
      <c r="O22" s="93">
        <v>20.6</v>
      </c>
      <c r="P22" s="93">
        <v>19.600000000000001</v>
      </c>
      <c r="Q22" s="93">
        <v>18.7</v>
      </c>
      <c r="R22" s="93">
        <v>17.899999999999999</v>
      </c>
      <c r="S22" s="93">
        <v>17.2</v>
      </c>
      <c r="T22" s="93">
        <v>16.600000000000001</v>
      </c>
      <c r="U22" s="93">
        <v>16.100000000000001</v>
      </c>
      <c r="W22" s="92">
        <v>31</v>
      </c>
      <c r="X22" s="93">
        <v>209.9</v>
      </c>
      <c r="Y22" s="93">
        <v>107.1</v>
      </c>
      <c r="Z22" s="93">
        <v>72.8</v>
      </c>
      <c r="AA22" s="93">
        <v>55.7</v>
      </c>
      <c r="AB22" s="93">
        <v>45.4</v>
      </c>
      <c r="AC22" s="93">
        <v>38.6</v>
      </c>
      <c r="AD22" s="93">
        <v>33.700000000000003</v>
      </c>
      <c r="AE22" s="93">
        <v>30.1</v>
      </c>
      <c r="AF22" s="93">
        <v>27.3</v>
      </c>
      <c r="AG22" s="93">
        <v>25</v>
      </c>
      <c r="AH22" s="93">
        <v>23.2</v>
      </c>
      <c r="AI22" s="93">
        <v>21.6</v>
      </c>
      <c r="AJ22" s="93">
        <v>20.3</v>
      </c>
      <c r="AK22" s="93">
        <v>19.2</v>
      </c>
      <c r="AL22" s="93">
        <v>18.3</v>
      </c>
      <c r="AM22" s="93">
        <v>17.5</v>
      </c>
      <c r="AN22" s="93">
        <v>16.7</v>
      </c>
      <c r="AO22" s="93">
        <v>16.100000000000001</v>
      </c>
      <c r="AP22" s="93">
        <v>15.5</v>
      </c>
      <c r="AQ22" s="93">
        <v>15</v>
      </c>
    </row>
    <row r="23" spans="1:43" x14ac:dyDescent="0.25">
      <c r="A23" s="92">
        <v>32</v>
      </c>
      <c r="B23" s="93">
        <v>228.4</v>
      </c>
      <c r="C23" s="93">
        <v>116.5</v>
      </c>
      <c r="D23" s="93">
        <v>79.2</v>
      </c>
      <c r="E23" s="93">
        <v>60.6</v>
      </c>
      <c r="F23" s="93">
        <v>49.4</v>
      </c>
      <c r="G23" s="93">
        <v>42</v>
      </c>
      <c r="H23" s="93">
        <v>36.700000000000003</v>
      </c>
      <c r="I23" s="93">
        <v>32.700000000000003</v>
      </c>
      <c r="J23" s="93">
        <v>29.7</v>
      </c>
      <c r="K23" s="93">
        <v>27.2</v>
      </c>
      <c r="L23" s="93">
        <v>25.2</v>
      </c>
      <c r="M23" s="93">
        <v>23.5</v>
      </c>
      <c r="N23" s="93">
        <v>22.1</v>
      </c>
      <c r="O23" s="93">
        <v>20.9</v>
      </c>
      <c r="P23" s="93">
        <v>19.899999999999999</v>
      </c>
      <c r="Q23" s="93">
        <v>19</v>
      </c>
      <c r="R23" s="93">
        <v>18.2</v>
      </c>
      <c r="S23" s="93">
        <v>17.5</v>
      </c>
      <c r="T23" s="93">
        <v>16.899999999999999</v>
      </c>
      <c r="U23" s="93">
        <v>16.3</v>
      </c>
      <c r="W23" s="92">
        <v>32</v>
      </c>
      <c r="X23" s="93">
        <v>213.6</v>
      </c>
      <c r="Y23" s="93">
        <v>108.9</v>
      </c>
      <c r="Z23" s="93">
        <v>74.099999999999994</v>
      </c>
      <c r="AA23" s="93">
        <v>56.7</v>
      </c>
      <c r="AB23" s="93">
        <v>46.2</v>
      </c>
      <c r="AC23" s="93">
        <v>39.299999999999997</v>
      </c>
      <c r="AD23" s="93">
        <v>34.299999999999997</v>
      </c>
      <c r="AE23" s="93">
        <v>30.6</v>
      </c>
      <c r="AF23" s="93">
        <v>27.7</v>
      </c>
      <c r="AG23" s="93">
        <v>25.4</v>
      </c>
      <c r="AH23" s="93">
        <v>23.6</v>
      </c>
      <c r="AI23" s="93">
        <v>22</v>
      </c>
      <c r="AJ23" s="93">
        <v>20.7</v>
      </c>
      <c r="AK23" s="93">
        <v>19.600000000000001</v>
      </c>
      <c r="AL23" s="93">
        <v>18.600000000000001</v>
      </c>
      <c r="AM23" s="93">
        <v>17.8</v>
      </c>
      <c r="AN23" s="93">
        <v>17</v>
      </c>
      <c r="AO23" s="93">
        <v>16.399999999999999</v>
      </c>
      <c r="AP23" s="93">
        <v>15.8</v>
      </c>
      <c r="AQ23" s="93">
        <v>15.3</v>
      </c>
    </row>
    <row r="24" spans="1:43" x14ac:dyDescent="0.25">
      <c r="A24" s="92">
        <v>33</v>
      </c>
      <c r="B24" s="93">
        <v>232.4</v>
      </c>
      <c r="C24" s="93">
        <v>118.5</v>
      </c>
      <c r="D24" s="93">
        <v>80.599999999999994</v>
      </c>
      <c r="E24" s="93">
        <v>61.6</v>
      </c>
      <c r="F24" s="93">
        <v>50.3</v>
      </c>
      <c r="G24" s="93">
        <v>42.7</v>
      </c>
      <c r="H24" s="93">
        <v>37.299999999999997</v>
      </c>
      <c r="I24" s="93">
        <v>33.299999999999997</v>
      </c>
      <c r="J24" s="93">
        <v>30.2</v>
      </c>
      <c r="K24" s="93">
        <v>27.7</v>
      </c>
      <c r="L24" s="93">
        <v>25.6</v>
      </c>
      <c r="M24" s="93">
        <v>24</v>
      </c>
      <c r="N24" s="93">
        <v>22.5</v>
      </c>
      <c r="O24" s="93">
        <v>21.3</v>
      </c>
      <c r="P24" s="93">
        <v>20.3</v>
      </c>
      <c r="Q24" s="93">
        <v>19.3</v>
      </c>
      <c r="R24" s="93">
        <v>18.5</v>
      </c>
      <c r="S24" s="93">
        <v>17.8</v>
      </c>
      <c r="T24" s="93">
        <v>17.2</v>
      </c>
      <c r="U24" s="93">
        <v>16.600000000000001</v>
      </c>
      <c r="W24" s="92">
        <v>33</v>
      </c>
      <c r="X24" s="93">
        <v>217.3</v>
      </c>
      <c r="Y24" s="93">
        <v>110.8</v>
      </c>
      <c r="Z24" s="93">
        <v>75.400000000000006</v>
      </c>
      <c r="AA24" s="93">
        <v>57.7</v>
      </c>
      <c r="AB24" s="93">
        <v>47</v>
      </c>
      <c r="AC24" s="93">
        <v>40</v>
      </c>
      <c r="AD24" s="93">
        <v>34.9</v>
      </c>
      <c r="AE24" s="93">
        <v>31.2</v>
      </c>
      <c r="AF24" s="93">
        <v>28.2</v>
      </c>
      <c r="AG24" s="93">
        <v>25.9</v>
      </c>
      <c r="AH24" s="93">
        <v>24</v>
      </c>
      <c r="AI24" s="93">
        <v>22.4</v>
      </c>
      <c r="AJ24" s="93">
        <v>21.1</v>
      </c>
      <c r="AK24" s="93">
        <v>19.899999999999999</v>
      </c>
      <c r="AL24" s="93">
        <v>18.899999999999999</v>
      </c>
      <c r="AM24" s="93">
        <v>18.100000000000001</v>
      </c>
      <c r="AN24" s="93">
        <v>17.3</v>
      </c>
      <c r="AO24" s="93">
        <v>16.7</v>
      </c>
      <c r="AP24" s="93">
        <v>16.100000000000001</v>
      </c>
      <c r="AQ24" s="93">
        <v>15.6</v>
      </c>
    </row>
    <row r="25" spans="1:43" x14ac:dyDescent="0.25">
      <c r="A25" s="92">
        <v>34</v>
      </c>
      <c r="B25" s="93">
        <v>236.4</v>
      </c>
      <c r="C25" s="93">
        <v>120.6</v>
      </c>
      <c r="D25" s="93">
        <v>82</v>
      </c>
      <c r="E25" s="93">
        <v>62.7</v>
      </c>
      <c r="F25" s="93">
        <v>51.2</v>
      </c>
      <c r="G25" s="93">
        <v>43.5</v>
      </c>
      <c r="H25" s="93">
        <v>38</v>
      </c>
      <c r="I25" s="93">
        <v>33.9</v>
      </c>
      <c r="J25" s="93">
        <v>30.7</v>
      </c>
      <c r="K25" s="93">
        <v>28.2</v>
      </c>
      <c r="L25" s="93">
        <v>26.1</v>
      </c>
      <c r="M25" s="93">
        <v>24.4</v>
      </c>
      <c r="N25" s="93">
        <v>22.9</v>
      </c>
      <c r="O25" s="93">
        <v>21.7</v>
      </c>
      <c r="P25" s="93">
        <v>20.6</v>
      </c>
      <c r="Q25" s="93">
        <v>19.7</v>
      </c>
      <c r="R25" s="93">
        <v>18.899999999999999</v>
      </c>
      <c r="S25" s="93">
        <v>18.2</v>
      </c>
      <c r="T25" s="93">
        <v>17.5</v>
      </c>
      <c r="U25" s="93">
        <v>16.899999999999999</v>
      </c>
      <c r="W25" s="92">
        <v>34</v>
      </c>
      <c r="X25" s="93">
        <v>221.1</v>
      </c>
      <c r="Y25" s="93">
        <v>112.8</v>
      </c>
      <c r="Z25" s="93">
        <v>76.7</v>
      </c>
      <c r="AA25" s="93">
        <v>58.7</v>
      </c>
      <c r="AB25" s="93">
        <v>47.9</v>
      </c>
      <c r="AC25" s="93">
        <v>40.700000000000003</v>
      </c>
      <c r="AD25" s="93">
        <v>35.5</v>
      </c>
      <c r="AE25" s="93">
        <v>31.7</v>
      </c>
      <c r="AF25" s="93">
        <v>28.7</v>
      </c>
      <c r="AG25" s="93">
        <v>26.4</v>
      </c>
      <c r="AH25" s="93">
        <v>24.4</v>
      </c>
      <c r="AI25" s="93">
        <v>22.8</v>
      </c>
      <c r="AJ25" s="93">
        <v>21.4</v>
      </c>
      <c r="AK25" s="93">
        <v>20.3</v>
      </c>
      <c r="AL25" s="93">
        <v>19.3</v>
      </c>
      <c r="AM25" s="93">
        <v>18.399999999999999</v>
      </c>
      <c r="AN25" s="93">
        <v>17.7</v>
      </c>
      <c r="AO25" s="93">
        <v>17</v>
      </c>
      <c r="AP25" s="93">
        <v>16.399999999999999</v>
      </c>
      <c r="AQ25" s="93">
        <v>15.8</v>
      </c>
    </row>
    <row r="26" spans="1:43" x14ac:dyDescent="0.25">
      <c r="A26" s="92">
        <v>35</v>
      </c>
      <c r="B26" s="93">
        <v>240.5</v>
      </c>
      <c r="C26" s="93">
        <v>122.7</v>
      </c>
      <c r="D26" s="93">
        <v>83.4</v>
      </c>
      <c r="E26" s="93">
        <v>63.8</v>
      </c>
      <c r="F26" s="93">
        <v>52.1</v>
      </c>
      <c r="G26" s="93">
        <v>44.2</v>
      </c>
      <c r="H26" s="93">
        <v>38.700000000000003</v>
      </c>
      <c r="I26" s="93">
        <v>34.5</v>
      </c>
      <c r="J26" s="93">
        <v>31.2</v>
      </c>
      <c r="K26" s="93">
        <v>28.7</v>
      </c>
      <c r="L26" s="93">
        <v>26.6</v>
      </c>
      <c r="M26" s="93">
        <v>24.8</v>
      </c>
      <c r="N26" s="93">
        <v>23.3</v>
      </c>
      <c r="O26" s="93">
        <v>22.1</v>
      </c>
      <c r="P26" s="93">
        <v>21</v>
      </c>
      <c r="Q26" s="93">
        <v>20</v>
      </c>
      <c r="R26" s="93">
        <v>19.2</v>
      </c>
      <c r="S26" s="93">
        <v>18.5</v>
      </c>
      <c r="T26" s="93">
        <v>17.8</v>
      </c>
      <c r="U26" s="93">
        <v>17.2</v>
      </c>
      <c r="W26" s="92">
        <v>35</v>
      </c>
      <c r="X26" s="93">
        <v>225</v>
      </c>
      <c r="Y26" s="93">
        <v>114.8</v>
      </c>
      <c r="Z26" s="93">
        <v>78</v>
      </c>
      <c r="AA26" s="93">
        <v>59.7</v>
      </c>
      <c r="AB26" s="93">
        <v>48.7</v>
      </c>
      <c r="AC26" s="93">
        <v>41.4</v>
      </c>
      <c r="AD26" s="93">
        <v>36.200000000000003</v>
      </c>
      <c r="AE26" s="93">
        <v>32.299999999999997</v>
      </c>
      <c r="AF26" s="93">
        <v>29.2</v>
      </c>
      <c r="AG26" s="93">
        <v>26.8</v>
      </c>
      <c r="AH26" s="93">
        <v>24.8</v>
      </c>
      <c r="AI26" s="93">
        <v>23.2</v>
      </c>
      <c r="AJ26" s="93">
        <v>21.8</v>
      </c>
      <c r="AK26" s="93">
        <v>20.7</v>
      </c>
      <c r="AL26" s="93">
        <v>19.600000000000001</v>
      </c>
      <c r="AM26" s="93">
        <v>18.8</v>
      </c>
      <c r="AN26" s="93">
        <v>18</v>
      </c>
      <c r="AO26" s="93">
        <v>17.3</v>
      </c>
      <c r="AP26" s="93">
        <v>16.7</v>
      </c>
      <c r="AQ26" s="93">
        <v>16.100000000000001</v>
      </c>
    </row>
    <row r="27" spans="1:43" x14ac:dyDescent="0.25">
      <c r="A27" s="92">
        <v>36</v>
      </c>
      <c r="B27" s="93">
        <v>244.6</v>
      </c>
      <c r="C27" s="93">
        <v>124.8</v>
      </c>
      <c r="D27" s="93">
        <v>84.9</v>
      </c>
      <c r="E27" s="93">
        <v>64.900000000000006</v>
      </c>
      <c r="F27" s="93">
        <v>53</v>
      </c>
      <c r="G27" s="93">
        <v>45</v>
      </c>
      <c r="H27" s="93">
        <v>39.299999999999997</v>
      </c>
      <c r="I27" s="93">
        <v>35.1</v>
      </c>
      <c r="J27" s="93">
        <v>31.8</v>
      </c>
      <c r="K27" s="93">
        <v>29.2</v>
      </c>
      <c r="L27" s="93">
        <v>27</v>
      </c>
      <c r="M27" s="93">
        <v>25.2</v>
      </c>
      <c r="N27" s="93">
        <v>23.7</v>
      </c>
      <c r="O27" s="93">
        <v>22.5</v>
      </c>
      <c r="P27" s="93">
        <v>21.4</v>
      </c>
      <c r="Q27" s="93">
        <v>20.399999999999999</v>
      </c>
      <c r="R27" s="93">
        <v>19.600000000000001</v>
      </c>
      <c r="S27" s="93">
        <v>18.8</v>
      </c>
      <c r="T27" s="93">
        <v>18.2</v>
      </c>
      <c r="U27" s="93">
        <v>17.600000000000001</v>
      </c>
      <c r="W27" s="92">
        <v>36</v>
      </c>
      <c r="X27" s="93">
        <v>228.9</v>
      </c>
      <c r="Y27" s="93">
        <v>116.8</v>
      </c>
      <c r="Z27" s="93">
        <v>79.400000000000006</v>
      </c>
      <c r="AA27" s="93">
        <v>60.7</v>
      </c>
      <c r="AB27" s="93">
        <v>49.6</v>
      </c>
      <c r="AC27" s="93">
        <v>42.1</v>
      </c>
      <c r="AD27" s="93">
        <v>36.799999999999997</v>
      </c>
      <c r="AE27" s="93">
        <v>32.799999999999997</v>
      </c>
      <c r="AF27" s="93">
        <v>29.8</v>
      </c>
      <c r="AG27" s="93">
        <v>27.3</v>
      </c>
      <c r="AH27" s="93">
        <v>25.3</v>
      </c>
      <c r="AI27" s="93">
        <v>23.6</v>
      </c>
      <c r="AJ27" s="93">
        <v>22.2</v>
      </c>
      <c r="AK27" s="93">
        <v>21</v>
      </c>
      <c r="AL27" s="93">
        <v>20</v>
      </c>
      <c r="AM27" s="93">
        <v>19.100000000000001</v>
      </c>
      <c r="AN27" s="93">
        <v>18.3</v>
      </c>
      <c r="AO27" s="93">
        <v>17.600000000000001</v>
      </c>
      <c r="AP27" s="93">
        <v>17</v>
      </c>
      <c r="AQ27" s="93">
        <v>16.399999999999999</v>
      </c>
    </row>
    <row r="28" spans="1:43" x14ac:dyDescent="0.25">
      <c r="A28" s="92">
        <v>37</v>
      </c>
      <c r="B28" s="93">
        <v>248.9</v>
      </c>
      <c r="C28" s="93">
        <v>126.9</v>
      </c>
      <c r="D28" s="93">
        <v>86.3</v>
      </c>
      <c r="E28" s="93">
        <v>66</v>
      </c>
      <c r="F28" s="93">
        <v>53.9</v>
      </c>
      <c r="G28" s="93">
        <v>45.8</v>
      </c>
      <c r="H28" s="93">
        <v>40</v>
      </c>
      <c r="I28" s="93">
        <v>35.700000000000003</v>
      </c>
      <c r="J28" s="93">
        <v>32.4</v>
      </c>
      <c r="K28" s="93">
        <v>29.7</v>
      </c>
      <c r="L28" s="93">
        <v>27.5</v>
      </c>
      <c r="M28" s="93">
        <v>25.7</v>
      </c>
      <c r="N28" s="93">
        <v>24.2</v>
      </c>
      <c r="O28" s="93">
        <v>22.9</v>
      </c>
      <c r="P28" s="93">
        <v>21.7</v>
      </c>
      <c r="Q28" s="93">
        <v>20.8</v>
      </c>
      <c r="R28" s="93">
        <v>19.899999999999999</v>
      </c>
      <c r="S28" s="93">
        <v>19.2</v>
      </c>
      <c r="T28" s="93">
        <v>18.5</v>
      </c>
      <c r="U28" s="93">
        <v>17.899999999999999</v>
      </c>
      <c r="W28" s="92">
        <v>37</v>
      </c>
      <c r="X28" s="93">
        <v>232.9</v>
      </c>
      <c r="Y28" s="93">
        <v>118.8</v>
      </c>
      <c r="Z28" s="93">
        <v>80.8</v>
      </c>
      <c r="AA28" s="93">
        <v>61.8</v>
      </c>
      <c r="AB28" s="93">
        <v>50.4</v>
      </c>
      <c r="AC28" s="93">
        <v>42.9</v>
      </c>
      <c r="AD28" s="93">
        <v>37.5</v>
      </c>
      <c r="AE28" s="93">
        <v>33.4</v>
      </c>
      <c r="AF28" s="93">
        <v>30.3</v>
      </c>
      <c r="AG28" s="93">
        <v>27.8</v>
      </c>
      <c r="AH28" s="93">
        <v>25.7</v>
      </c>
      <c r="AI28" s="93">
        <v>24.1</v>
      </c>
      <c r="AJ28" s="93">
        <v>22.6</v>
      </c>
      <c r="AK28" s="93">
        <v>21.4</v>
      </c>
      <c r="AL28" s="93">
        <v>20.399999999999999</v>
      </c>
      <c r="AM28" s="93">
        <v>19.399999999999999</v>
      </c>
      <c r="AN28" s="93">
        <v>18.600000000000001</v>
      </c>
      <c r="AO28" s="93">
        <v>17.899999999999999</v>
      </c>
      <c r="AP28" s="93">
        <v>17.3</v>
      </c>
      <c r="AQ28" s="93">
        <v>16.7</v>
      </c>
    </row>
    <row r="29" spans="1:43" x14ac:dyDescent="0.25">
      <c r="A29" s="92">
        <v>38</v>
      </c>
      <c r="B29" s="93">
        <v>253.1</v>
      </c>
      <c r="C29" s="93">
        <v>129.1</v>
      </c>
      <c r="D29" s="93">
        <v>87.8</v>
      </c>
      <c r="E29" s="93">
        <v>67.2</v>
      </c>
      <c r="F29" s="93">
        <v>54.8</v>
      </c>
      <c r="G29" s="93">
        <v>46.6</v>
      </c>
      <c r="H29" s="93">
        <v>40.700000000000003</v>
      </c>
      <c r="I29" s="93">
        <v>36.299999999999997</v>
      </c>
      <c r="J29" s="93">
        <v>32.9</v>
      </c>
      <c r="K29" s="93">
        <v>30.2</v>
      </c>
      <c r="L29" s="93">
        <v>28</v>
      </c>
      <c r="M29" s="93">
        <v>26.2</v>
      </c>
      <c r="N29" s="93">
        <v>24.6</v>
      </c>
      <c r="O29" s="93">
        <v>23.3</v>
      </c>
      <c r="P29" s="93">
        <v>22.1</v>
      </c>
      <c r="Q29" s="93">
        <v>21.1</v>
      </c>
      <c r="R29" s="93">
        <v>20.3</v>
      </c>
      <c r="S29" s="93">
        <v>19.5</v>
      </c>
      <c r="T29" s="93">
        <v>18.8</v>
      </c>
      <c r="U29" s="93">
        <v>18.2</v>
      </c>
      <c r="W29" s="92">
        <v>38</v>
      </c>
      <c r="X29" s="93">
        <v>237</v>
      </c>
      <c r="Y29" s="93">
        <v>120.9</v>
      </c>
      <c r="Z29" s="93">
        <v>82.2</v>
      </c>
      <c r="AA29" s="93">
        <v>62.9</v>
      </c>
      <c r="AB29" s="93">
        <v>51.3</v>
      </c>
      <c r="AC29" s="93">
        <v>43.6</v>
      </c>
      <c r="AD29" s="93">
        <v>38.1</v>
      </c>
      <c r="AE29" s="93">
        <v>34</v>
      </c>
      <c r="AF29" s="93">
        <v>30.8</v>
      </c>
      <c r="AG29" s="93">
        <v>28.3</v>
      </c>
      <c r="AH29" s="93">
        <v>26.2</v>
      </c>
      <c r="AI29" s="93">
        <v>24.5</v>
      </c>
      <c r="AJ29" s="93">
        <v>23</v>
      </c>
      <c r="AK29" s="93">
        <v>21.8</v>
      </c>
      <c r="AL29" s="93">
        <v>20.7</v>
      </c>
      <c r="AM29" s="93">
        <v>19.8</v>
      </c>
      <c r="AN29" s="93">
        <v>19</v>
      </c>
      <c r="AO29" s="93">
        <v>18.3</v>
      </c>
      <c r="AP29" s="93">
        <v>17.600000000000001</v>
      </c>
      <c r="AQ29" s="93">
        <v>17.100000000000001</v>
      </c>
    </row>
    <row r="30" spans="1:43" x14ac:dyDescent="0.25">
      <c r="A30" s="92">
        <v>39</v>
      </c>
      <c r="B30" s="93">
        <v>257.5</v>
      </c>
      <c r="C30" s="93">
        <v>131.4</v>
      </c>
      <c r="D30" s="93">
        <v>89.4</v>
      </c>
      <c r="E30" s="93">
        <v>68.400000000000006</v>
      </c>
      <c r="F30" s="93">
        <v>55.8</v>
      </c>
      <c r="G30" s="93">
        <v>47.4</v>
      </c>
      <c r="H30" s="93">
        <v>41.4</v>
      </c>
      <c r="I30" s="93">
        <v>37</v>
      </c>
      <c r="J30" s="93">
        <v>33.5</v>
      </c>
      <c r="K30" s="93">
        <v>30.7</v>
      </c>
      <c r="L30" s="93">
        <v>28.5</v>
      </c>
      <c r="M30" s="93">
        <v>26.6</v>
      </c>
      <c r="N30" s="93">
        <v>25</v>
      </c>
      <c r="O30" s="93">
        <v>23.7</v>
      </c>
      <c r="P30" s="93">
        <v>22.5</v>
      </c>
      <c r="Q30" s="93">
        <v>21.5</v>
      </c>
      <c r="R30" s="93">
        <v>20.7</v>
      </c>
      <c r="S30" s="93">
        <v>19.899999999999999</v>
      </c>
      <c r="T30" s="93">
        <v>19.2</v>
      </c>
      <c r="U30" s="93">
        <v>18.600000000000001</v>
      </c>
      <c r="W30" s="92">
        <v>39</v>
      </c>
      <c r="X30" s="93">
        <v>241.1</v>
      </c>
      <c r="Y30" s="93">
        <v>123</v>
      </c>
      <c r="Z30" s="93">
        <v>83.7</v>
      </c>
      <c r="AA30" s="93">
        <v>64</v>
      </c>
      <c r="AB30" s="93">
        <v>52.2</v>
      </c>
      <c r="AC30" s="93">
        <v>44.4</v>
      </c>
      <c r="AD30" s="93">
        <v>38.799999999999997</v>
      </c>
      <c r="AE30" s="93">
        <v>34.6</v>
      </c>
      <c r="AF30" s="93">
        <v>31.4</v>
      </c>
      <c r="AG30" s="93">
        <v>28.8</v>
      </c>
      <c r="AH30" s="93">
        <v>26.7</v>
      </c>
      <c r="AI30" s="93">
        <v>24.9</v>
      </c>
      <c r="AJ30" s="93">
        <v>23.5</v>
      </c>
      <c r="AK30" s="93">
        <v>22.2</v>
      </c>
      <c r="AL30" s="93">
        <v>21.1</v>
      </c>
      <c r="AM30" s="93">
        <v>20.2</v>
      </c>
      <c r="AN30" s="93">
        <v>19.3</v>
      </c>
      <c r="AO30" s="93">
        <v>18.600000000000001</v>
      </c>
      <c r="AP30" s="93">
        <v>18</v>
      </c>
      <c r="AQ30" s="93">
        <v>17.399999999999999</v>
      </c>
    </row>
    <row r="31" spans="1:43" x14ac:dyDescent="0.25">
      <c r="A31" s="92">
        <v>40</v>
      </c>
      <c r="B31" s="93">
        <v>262</v>
      </c>
      <c r="C31" s="93">
        <v>133.69999999999999</v>
      </c>
      <c r="D31" s="93">
        <v>90.9</v>
      </c>
      <c r="E31" s="93">
        <v>69.599999999999994</v>
      </c>
      <c r="F31" s="93">
        <v>56.8</v>
      </c>
      <c r="G31" s="93">
        <v>48.2</v>
      </c>
      <c r="H31" s="93">
        <v>42.2</v>
      </c>
      <c r="I31" s="93">
        <v>37.6</v>
      </c>
      <c r="J31" s="93">
        <v>34.1</v>
      </c>
      <c r="K31" s="93">
        <v>31.3</v>
      </c>
      <c r="L31" s="93">
        <v>29</v>
      </c>
      <c r="M31" s="93">
        <v>27.1</v>
      </c>
      <c r="N31" s="93">
        <v>25.5</v>
      </c>
      <c r="O31" s="93">
        <v>24.1</v>
      </c>
      <c r="P31" s="93">
        <v>23</v>
      </c>
      <c r="Q31" s="93">
        <v>21.9</v>
      </c>
      <c r="R31" s="93">
        <v>21</v>
      </c>
      <c r="S31" s="93">
        <v>20.3</v>
      </c>
      <c r="T31" s="93">
        <v>19.5</v>
      </c>
      <c r="U31" s="93">
        <v>18.899999999999999</v>
      </c>
      <c r="W31" s="92">
        <v>40</v>
      </c>
      <c r="X31" s="93">
        <v>245.4</v>
      </c>
      <c r="Y31" s="93">
        <v>125.2</v>
      </c>
      <c r="Z31" s="93">
        <v>85.2</v>
      </c>
      <c r="AA31" s="93">
        <v>65.2</v>
      </c>
      <c r="AB31" s="93">
        <v>53.2</v>
      </c>
      <c r="AC31" s="93">
        <v>45.2</v>
      </c>
      <c r="AD31" s="93">
        <v>39.5</v>
      </c>
      <c r="AE31" s="93">
        <v>35.200000000000003</v>
      </c>
      <c r="AF31" s="93">
        <v>31.9</v>
      </c>
      <c r="AG31" s="93">
        <v>29.3</v>
      </c>
      <c r="AH31" s="93">
        <v>27.2</v>
      </c>
      <c r="AI31" s="93">
        <v>25.4</v>
      </c>
      <c r="AJ31" s="93">
        <v>23.9</v>
      </c>
      <c r="AK31" s="93">
        <v>22.6</v>
      </c>
      <c r="AL31" s="93">
        <v>21.5</v>
      </c>
      <c r="AM31" s="93">
        <v>20.5</v>
      </c>
      <c r="AN31" s="93">
        <v>19.7</v>
      </c>
      <c r="AO31" s="93">
        <v>19</v>
      </c>
      <c r="AP31" s="93">
        <v>18.3</v>
      </c>
      <c r="AQ31" s="93">
        <v>17.7</v>
      </c>
    </row>
    <row r="32" spans="1:43" x14ac:dyDescent="0.25">
      <c r="A32" s="92">
        <v>41</v>
      </c>
      <c r="B32" s="93">
        <v>266.60000000000002</v>
      </c>
      <c r="C32" s="93">
        <v>136</v>
      </c>
      <c r="D32" s="93">
        <v>92.5</v>
      </c>
      <c r="E32" s="93">
        <v>70.8</v>
      </c>
      <c r="F32" s="93">
        <v>57.8</v>
      </c>
      <c r="G32" s="93">
        <v>49.1</v>
      </c>
      <c r="H32" s="93">
        <v>42.9</v>
      </c>
      <c r="I32" s="93">
        <v>38.299999999999997</v>
      </c>
      <c r="J32" s="93">
        <v>34.700000000000003</v>
      </c>
      <c r="K32" s="93">
        <v>31.9</v>
      </c>
      <c r="L32" s="93">
        <v>29.5</v>
      </c>
      <c r="M32" s="93">
        <v>27.6</v>
      </c>
      <c r="N32" s="93">
        <v>26</v>
      </c>
      <c r="O32" s="93">
        <v>24.6</v>
      </c>
      <c r="P32" s="93">
        <v>23.4</v>
      </c>
      <c r="Q32" s="93">
        <v>22.3</v>
      </c>
      <c r="R32" s="93">
        <v>21.4</v>
      </c>
      <c r="S32" s="93">
        <v>20.6</v>
      </c>
      <c r="T32" s="93">
        <v>19.899999999999999</v>
      </c>
      <c r="U32" s="93">
        <v>19.3</v>
      </c>
      <c r="W32" s="92">
        <v>41</v>
      </c>
      <c r="X32" s="93">
        <v>249.7</v>
      </c>
      <c r="Y32" s="93">
        <v>127.4</v>
      </c>
      <c r="Z32" s="93">
        <v>86.7</v>
      </c>
      <c r="AA32" s="93">
        <v>66.3</v>
      </c>
      <c r="AB32" s="93">
        <v>54.1</v>
      </c>
      <c r="AC32" s="93">
        <v>46</v>
      </c>
      <c r="AD32" s="93">
        <v>40.200000000000003</v>
      </c>
      <c r="AE32" s="93">
        <v>35.9</v>
      </c>
      <c r="AF32" s="93">
        <v>32.5</v>
      </c>
      <c r="AG32" s="93">
        <v>29.8</v>
      </c>
      <c r="AH32" s="93">
        <v>27.7</v>
      </c>
      <c r="AI32" s="93">
        <v>25.9</v>
      </c>
      <c r="AJ32" s="93">
        <v>24.3</v>
      </c>
      <c r="AK32" s="93">
        <v>23</v>
      </c>
      <c r="AL32" s="93">
        <v>21.9</v>
      </c>
      <c r="AM32" s="93">
        <v>20.9</v>
      </c>
      <c r="AN32" s="93">
        <v>20.100000000000001</v>
      </c>
      <c r="AO32" s="93">
        <v>19.3</v>
      </c>
      <c r="AP32" s="93">
        <v>18.7</v>
      </c>
      <c r="AQ32" s="93">
        <v>18.100000000000001</v>
      </c>
    </row>
    <row r="33" spans="1:43" x14ac:dyDescent="0.25">
      <c r="A33" s="92">
        <v>42</v>
      </c>
      <c r="B33" s="93">
        <v>271.2</v>
      </c>
      <c r="C33" s="93">
        <v>138.4</v>
      </c>
      <c r="D33" s="93">
        <v>94.1</v>
      </c>
      <c r="E33" s="93">
        <v>72</v>
      </c>
      <c r="F33" s="93">
        <v>58.8</v>
      </c>
      <c r="G33" s="93">
        <v>50</v>
      </c>
      <c r="H33" s="93">
        <v>43.7</v>
      </c>
      <c r="I33" s="93">
        <v>39</v>
      </c>
      <c r="J33" s="93">
        <v>35.299999999999997</v>
      </c>
      <c r="K33" s="93">
        <v>32.4</v>
      </c>
      <c r="L33" s="93">
        <v>30.1</v>
      </c>
      <c r="M33" s="93">
        <v>28.1</v>
      </c>
      <c r="N33" s="93">
        <v>26.4</v>
      </c>
      <c r="O33" s="93">
        <v>25</v>
      </c>
      <c r="P33" s="93">
        <v>23.8</v>
      </c>
      <c r="Q33" s="93">
        <v>22.8</v>
      </c>
      <c r="R33" s="93">
        <v>21.8</v>
      </c>
      <c r="S33" s="93">
        <v>21</v>
      </c>
      <c r="T33" s="93">
        <v>20.3</v>
      </c>
      <c r="U33" s="93">
        <v>19.7</v>
      </c>
      <c r="W33" s="92">
        <v>42</v>
      </c>
      <c r="X33" s="93">
        <v>254.2</v>
      </c>
      <c r="Y33" s="93">
        <v>129.69999999999999</v>
      </c>
      <c r="Z33" s="93">
        <v>88.2</v>
      </c>
      <c r="AA33" s="93">
        <v>67.5</v>
      </c>
      <c r="AB33" s="93">
        <v>55.1</v>
      </c>
      <c r="AC33" s="93">
        <v>46.8</v>
      </c>
      <c r="AD33" s="93">
        <v>40.9</v>
      </c>
      <c r="AE33" s="93">
        <v>36.5</v>
      </c>
      <c r="AF33" s="93">
        <v>33.1</v>
      </c>
      <c r="AG33" s="93">
        <v>30.4</v>
      </c>
      <c r="AH33" s="93">
        <v>28.2</v>
      </c>
      <c r="AI33" s="93">
        <v>26.3</v>
      </c>
      <c r="AJ33" s="93">
        <v>24.8</v>
      </c>
      <c r="AK33" s="93">
        <v>23.5</v>
      </c>
      <c r="AL33" s="93">
        <v>22.3</v>
      </c>
      <c r="AM33" s="93">
        <v>21.3</v>
      </c>
      <c r="AN33" s="93">
        <v>20.5</v>
      </c>
      <c r="AO33" s="93">
        <v>19.7</v>
      </c>
      <c r="AP33" s="93">
        <v>19</v>
      </c>
      <c r="AQ33" s="93">
        <v>18.399999999999999</v>
      </c>
    </row>
    <row r="34" spans="1:43" x14ac:dyDescent="0.25">
      <c r="A34" s="92">
        <v>43</v>
      </c>
      <c r="B34" s="93">
        <v>276</v>
      </c>
      <c r="C34" s="93">
        <v>140.80000000000001</v>
      </c>
      <c r="D34" s="93">
        <v>95.8</v>
      </c>
      <c r="E34" s="93">
        <v>73.3</v>
      </c>
      <c r="F34" s="93">
        <v>59.8</v>
      </c>
      <c r="G34" s="93">
        <v>50.9</v>
      </c>
      <c r="H34" s="93">
        <v>44.5</v>
      </c>
      <c r="I34" s="93">
        <v>39.700000000000003</v>
      </c>
      <c r="J34" s="93">
        <v>36</v>
      </c>
      <c r="K34" s="93">
        <v>33</v>
      </c>
      <c r="L34" s="93">
        <v>30.6</v>
      </c>
      <c r="M34" s="93">
        <v>28.6</v>
      </c>
      <c r="N34" s="93">
        <v>26.9</v>
      </c>
      <c r="O34" s="93">
        <v>25.5</v>
      </c>
      <c r="P34" s="93">
        <v>24.3</v>
      </c>
      <c r="Q34" s="93">
        <v>23.2</v>
      </c>
      <c r="R34" s="93">
        <v>22.3</v>
      </c>
      <c r="S34" s="93">
        <v>21.4</v>
      </c>
      <c r="T34" s="93">
        <v>20.7</v>
      </c>
      <c r="U34" s="93">
        <v>20.100000000000001</v>
      </c>
      <c r="W34" s="92">
        <v>43</v>
      </c>
      <c r="X34" s="93">
        <v>258.7</v>
      </c>
      <c r="Y34" s="93">
        <v>132</v>
      </c>
      <c r="Z34" s="93">
        <v>89.8</v>
      </c>
      <c r="AA34" s="93">
        <v>68.7</v>
      </c>
      <c r="AB34" s="93">
        <v>56.1</v>
      </c>
      <c r="AC34" s="93">
        <v>47.7</v>
      </c>
      <c r="AD34" s="93">
        <v>41.7</v>
      </c>
      <c r="AE34" s="93">
        <v>37.200000000000003</v>
      </c>
      <c r="AF34" s="93">
        <v>33.700000000000003</v>
      </c>
      <c r="AG34" s="93">
        <v>31</v>
      </c>
      <c r="AH34" s="93">
        <v>28.7</v>
      </c>
      <c r="AI34" s="93">
        <v>26.8</v>
      </c>
      <c r="AJ34" s="93">
        <v>25.3</v>
      </c>
      <c r="AK34" s="93">
        <v>23.9</v>
      </c>
      <c r="AL34" s="93">
        <v>22.8</v>
      </c>
      <c r="AM34" s="93">
        <v>21.8</v>
      </c>
      <c r="AN34" s="93">
        <v>20.9</v>
      </c>
      <c r="AO34" s="93">
        <v>20.100000000000001</v>
      </c>
      <c r="AP34" s="93">
        <v>19.399999999999999</v>
      </c>
      <c r="AQ34" s="93">
        <v>18.8</v>
      </c>
    </row>
    <row r="35" spans="1:43" x14ac:dyDescent="0.25">
      <c r="A35" s="92">
        <v>44</v>
      </c>
      <c r="B35" s="93">
        <v>280.8</v>
      </c>
      <c r="C35" s="93">
        <v>143.30000000000001</v>
      </c>
      <c r="D35" s="93">
        <v>97.5</v>
      </c>
      <c r="E35" s="93">
        <v>74.599999999999994</v>
      </c>
      <c r="F35" s="93">
        <v>60.9</v>
      </c>
      <c r="G35" s="93">
        <v>51.8</v>
      </c>
      <c r="H35" s="93">
        <v>45.3</v>
      </c>
      <c r="I35" s="93">
        <v>40.4</v>
      </c>
      <c r="J35" s="93">
        <v>36.6</v>
      </c>
      <c r="K35" s="93">
        <v>33.6</v>
      </c>
      <c r="L35" s="93">
        <v>31.2</v>
      </c>
      <c r="M35" s="93">
        <v>29.2</v>
      </c>
      <c r="N35" s="93">
        <v>27.4</v>
      </c>
      <c r="O35" s="93">
        <v>26</v>
      </c>
      <c r="P35" s="93">
        <v>24.7</v>
      </c>
      <c r="Q35" s="93">
        <v>23.7</v>
      </c>
      <c r="R35" s="93">
        <v>22.7</v>
      </c>
      <c r="S35" s="93">
        <v>21.9</v>
      </c>
      <c r="T35" s="93">
        <v>21.1</v>
      </c>
      <c r="U35" s="93">
        <v>20.5</v>
      </c>
      <c r="W35" s="92">
        <v>44</v>
      </c>
      <c r="X35" s="93">
        <v>263.3</v>
      </c>
      <c r="Y35" s="93">
        <v>134.4</v>
      </c>
      <c r="Z35" s="93">
        <v>91.4</v>
      </c>
      <c r="AA35" s="93">
        <v>70</v>
      </c>
      <c r="AB35" s="93">
        <v>57.1</v>
      </c>
      <c r="AC35" s="93">
        <v>48.5</v>
      </c>
      <c r="AD35" s="93">
        <v>42.4</v>
      </c>
      <c r="AE35" s="93">
        <v>37.9</v>
      </c>
      <c r="AF35" s="93">
        <v>34.299999999999997</v>
      </c>
      <c r="AG35" s="93">
        <v>31.5</v>
      </c>
      <c r="AH35" s="93">
        <v>29.2</v>
      </c>
      <c r="AI35" s="93">
        <v>27.3</v>
      </c>
      <c r="AJ35" s="93">
        <v>25.7</v>
      </c>
      <c r="AK35" s="93">
        <v>24.4</v>
      </c>
      <c r="AL35" s="93">
        <v>23.2</v>
      </c>
      <c r="AM35" s="93">
        <v>22.2</v>
      </c>
      <c r="AN35" s="93">
        <v>21.3</v>
      </c>
      <c r="AO35" s="93">
        <v>20.5</v>
      </c>
      <c r="AP35" s="93">
        <v>19.8</v>
      </c>
      <c r="AQ35" s="93">
        <v>19.2</v>
      </c>
    </row>
    <row r="36" spans="1:43" x14ac:dyDescent="0.25">
      <c r="A36" s="92">
        <v>45</v>
      </c>
      <c r="B36" s="93">
        <v>285.60000000000002</v>
      </c>
      <c r="C36" s="93">
        <v>145.80000000000001</v>
      </c>
      <c r="D36" s="93">
        <v>99.2</v>
      </c>
      <c r="E36" s="93">
        <v>75.900000000000006</v>
      </c>
      <c r="F36" s="93">
        <v>62</v>
      </c>
      <c r="G36" s="93">
        <v>52.7</v>
      </c>
      <c r="H36" s="93">
        <v>46.1</v>
      </c>
      <c r="I36" s="93">
        <v>41.1</v>
      </c>
      <c r="J36" s="93">
        <v>37.299999999999997</v>
      </c>
      <c r="K36" s="93">
        <v>34.200000000000003</v>
      </c>
      <c r="L36" s="93">
        <v>31.8</v>
      </c>
      <c r="M36" s="93">
        <v>29.7</v>
      </c>
      <c r="N36" s="93">
        <v>28</v>
      </c>
      <c r="O36" s="93">
        <v>26.5</v>
      </c>
      <c r="P36" s="93">
        <v>25.2</v>
      </c>
      <c r="Q36" s="93">
        <v>24.1</v>
      </c>
      <c r="R36" s="93">
        <v>23.2</v>
      </c>
      <c r="S36" s="93">
        <v>22.3</v>
      </c>
      <c r="T36" s="93">
        <v>21.6</v>
      </c>
      <c r="U36" s="93">
        <v>20.9</v>
      </c>
      <c r="W36" s="92">
        <v>45</v>
      </c>
      <c r="X36" s="93">
        <v>267.89999999999998</v>
      </c>
      <c r="Y36" s="93">
        <v>136.69999999999999</v>
      </c>
      <c r="Z36" s="93">
        <v>93</v>
      </c>
      <c r="AA36" s="93">
        <v>71.2</v>
      </c>
      <c r="AB36" s="93">
        <v>58.1</v>
      </c>
      <c r="AC36" s="93">
        <v>49.4</v>
      </c>
      <c r="AD36" s="93">
        <v>43.2</v>
      </c>
      <c r="AE36" s="93">
        <v>38.6</v>
      </c>
      <c r="AF36" s="93">
        <v>35</v>
      </c>
      <c r="AG36" s="93">
        <v>32.1</v>
      </c>
      <c r="AH36" s="93">
        <v>29.8</v>
      </c>
      <c r="AI36" s="93">
        <v>27.9</v>
      </c>
      <c r="AJ36" s="93">
        <v>26.2</v>
      </c>
      <c r="AK36" s="93">
        <v>24.8</v>
      </c>
      <c r="AL36" s="93">
        <v>23.7</v>
      </c>
      <c r="AM36" s="93">
        <v>22.6</v>
      </c>
      <c r="AN36" s="93">
        <v>21.7</v>
      </c>
      <c r="AO36" s="93">
        <v>20.9</v>
      </c>
      <c r="AP36" s="93">
        <v>20.2</v>
      </c>
      <c r="AQ36" s="93">
        <v>19.600000000000001</v>
      </c>
    </row>
    <row r="37" spans="1:43" x14ac:dyDescent="0.25">
      <c r="A37" s="92">
        <v>46</v>
      </c>
      <c r="B37" s="93">
        <v>290.5</v>
      </c>
      <c r="C37" s="93">
        <v>148.30000000000001</v>
      </c>
      <c r="D37" s="93">
        <v>100.9</v>
      </c>
      <c r="E37" s="93">
        <v>77.2</v>
      </c>
      <c r="F37" s="93">
        <v>63</v>
      </c>
      <c r="G37" s="93">
        <v>53.6</v>
      </c>
      <c r="H37" s="93">
        <v>46.9</v>
      </c>
      <c r="I37" s="93">
        <v>41.9</v>
      </c>
      <c r="J37" s="93">
        <v>38</v>
      </c>
      <c r="K37" s="93">
        <v>34.9</v>
      </c>
      <c r="L37" s="93">
        <v>32.299999999999997</v>
      </c>
      <c r="M37" s="93">
        <v>30.3</v>
      </c>
      <c r="N37" s="93">
        <v>28.5</v>
      </c>
      <c r="O37" s="93">
        <v>27</v>
      </c>
      <c r="P37" s="93">
        <v>25.7</v>
      </c>
      <c r="Q37" s="93">
        <v>24.6</v>
      </c>
      <c r="R37" s="93">
        <v>23.6</v>
      </c>
      <c r="S37" s="93">
        <v>22.8</v>
      </c>
      <c r="T37" s="93">
        <v>22</v>
      </c>
      <c r="U37" s="93"/>
      <c r="W37" s="92">
        <v>46</v>
      </c>
      <c r="X37" s="93">
        <v>272.60000000000002</v>
      </c>
      <c r="Y37" s="93">
        <v>139.1</v>
      </c>
      <c r="Z37" s="93">
        <v>94.7</v>
      </c>
      <c r="AA37" s="93">
        <v>72.5</v>
      </c>
      <c r="AB37" s="93">
        <v>59.2</v>
      </c>
      <c r="AC37" s="93">
        <v>50.3</v>
      </c>
      <c r="AD37" s="93">
        <v>44</v>
      </c>
      <c r="AE37" s="93">
        <v>39.299999999999997</v>
      </c>
      <c r="AF37" s="93">
        <v>35.6</v>
      </c>
      <c r="AG37" s="93">
        <v>32.700000000000003</v>
      </c>
      <c r="AH37" s="93">
        <v>30.4</v>
      </c>
      <c r="AI37" s="93">
        <v>28.4</v>
      </c>
      <c r="AJ37" s="93">
        <v>26.7</v>
      </c>
      <c r="AK37" s="93">
        <v>25.3</v>
      </c>
      <c r="AL37" s="93">
        <v>24.1</v>
      </c>
      <c r="AM37" s="93">
        <v>23.1</v>
      </c>
      <c r="AN37" s="93">
        <v>22.2</v>
      </c>
      <c r="AO37" s="93">
        <v>21.4</v>
      </c>
      <c r="AP37" s="93">
        <v>20.6</v>
      </c>
      <c r="AQ37" s="93"/>
    </row>
    <row r="38" spans="1:43" x14ac:dyDescent="0.25">
      <c r="A38" s="92">
        <v>47</v>
      </c>
      <c r="B38" s="93">
        <v>295.5</v>
      </c>
      <c r="C38" s="93">
        <v>150.80000000000001</v>
      </c>
      <c r="D38" s="93">
        <v>102.6</v>
      </c>
      <c r="E38" s="93">
        <v>78.599999999999994</v>
      </c>
      <c r="F38" s="93">
        <v>64.099999999999994</v>
      </c>
      <c r="G38" s="93">
        <v>54.6</v>
      </c>
      <c r="H38" s="93">
        <v>47.7</v>
      </c>
      <c r="I38" s="93">
        <v>42.6</v>
      </c>
      <c r="J38" s="93">
        <v>38.700000000000003</v>
      </c>
      <c r="K38" s="93">
        <v>35.5</v>
      </c>
      <c r="L38" s="93">
        <v>33</v>
      </c>
      <c r="M38" s="93">
        <v>30.8</v>
      </c>
      <c r="N38" s="93">
        <v>29</v>
      </c>
      <c r="O38" s="93">
        <v>27.5</v>
      </c>
      <c r="P38" s="93">
        <v>26.2</v>
      </c>
      <c r="Q38" s="93">
        <v>25.1</v>
      </c>
      <c r="R38" s="93">
        <v>24.1</v>
      </c>
      <c r="S38" s="93">
        <v>23.2</v>
      </c>
      <c r="T38" s="93"/>
      <c r="U38" s="93"/>
      <c r="W38" s="92">
        <v>47</v>
      </c>
      <c r="X38" s="93">
        <v>277.39999999999998</v>
      </c>
      <c r="Y38" s="93">
        <v>141.6</v>
      </c>
      <c r="Z38" s="93">
        <v>96.3</v>
      </c>
      <c r="AA38" s="93">
        <v>73.7</v>
      </c>
      <c r="AB38" s="93">
        <v>60.2</v>
      </c>
      <c r="AC38" s="93">
        <v>51.2</v>
      </c>
      <c r="AD38" s="93">
        <v>44.8</v>
      </c>
      <c r="AE38" s="93">
        <v>40</v>
      </c>
      <c r="AF38" s="93">
        <v>36.299999999999997</v>
      </c>
      <c r="AG38" s="93">
        <v>33.299999999999997</v>
      </c>
      <c r="AH38" s="93">
        <v>30.9</v>
      </c>
      <c r="AI38" s="93">
        <v>28.9</v>
      </c>
      <c r="AJ38" s="93">
        <v>27.3</v>
      </c>
      <c r="AK38" s="93">
        <v>25.8</v>
      </c>
      <c r="AL38" s="93">
        <v>24.6</v>
      </c>
      <c r="AM38" s="93">
        <v>23.5</v>
      </c>
      <c r="AN38" s="93">
        <v>22.6</v>
      </c>
      <c r="AO38" s="93">
        <v>21.8</v>
      </c>
      <c r="AP38" s="93"/>
      <c r="AQ38" s="93"/>
    </row>
    <row r="39" spans="1:43" x14ac:dyDescent="0.25">
      <c r="A39" s="92">
        <v>48</v>
      </c>
      <c r="B39" s="93">
        <v>300.60000000000002</v>
      </c>
      <c r="C39" s="93">
        <v>153.4</v>
      </c>
      <c r="D39" s="93">
        <v>104.4</v>
      </c>
      <c r="E39" s="93">
        <v>79.900000000000006</v>
      </c>
      <c r="F39" s="93">
        <v>65.3</v>
      </c>
      <c r="G39" s="93">
        <v>55.5</v>
      </c>
      <c r="H39" s="93">
        <v>48.6</v>
      </c>
      <c r="I39" s="93">
        <v>43.4</v>
      </c>
      <c r="J39" s="93">
        <v>39.4</v>
      </c>
      <c r="K39" s="93">
        <v>36.200000000000003</v>
      </c>
      <c r="L39" s="93">
        <v>33.6</v>
      </c>
      <c r="M39" s="93">
        <v>31.4</v>
      </c>
      <c r="N39" s="93">
        <v>29.6</v>
      </c>
      <c r="O39" s="93">
        <v>28.1</v>
      </c>
      <c r="P39" s="93">
        <v>26.7</v>
      </c>
      <c r="Q39" s="93">
        <v>25.6</v>
      </c>
      <c r="R39" s="93">
        <v>24.6</v>
      </c>
      <c r="S39" s="93"/>
      <c r="T39" s="93"/>
      <c r="U39" s="93"/>
      <c r="W39" s="92">
        <v>48</v>
      </c>
      <c r="X39" s="93">
        <v>282.3</v>
      </c>
      <c r="Y39" s="93">
        <v>144.1</v>
      </c>
      <c r="Z39" s="93">
        <v>98.1</v>
      </c>
      <c r="AA39" s="93">
        <v>75.099999999999994</v>
      </c>
      <c r="AB39" s="93">
        <v>61.3</v>
      </c>
      <c r="AC39" s="93">
        <v>52.2</v>
      </c>
      <c r="AD39" s="93">
        <v>45.6</v>
      </c>
      <c r="AE39" s="93">
        <v>40.799999999999997</v>
      </c>
      <c r="AF39" s="93">
        <v>37</v>
      </c>
      <c r="AG39" s="93">
        <v>34</v>
      </c>
      <c r="AH39" s="93">
        <v>31.5</v>
      </c>
      <c r="AI39" s="93">
        <v>29.5</v>
      </c>
      <c r="AJ39" s="93">
        <v>27.8</v>
      </c>
      <c r="AK39" s="93">
        <v>26.4</v>
      </c>
      <c r="AL39" s="93">
        <v>25.1</v>
      </c>
      <c r="AM39" s="93">
        <v>24</v>
      </c>
      <c r="AN39" s="93">
        <v>23.1</v>
      </c>
      <c r="AO39" s="93"/>
      <c r="AP39" s="93"/>
      <c r="AQ39" s="93"/>
    </row>
    <row r="40" spans="1:43" x14ac:dyDescent="0.25">
      <c r="A40" s="92">
        <v>49</v>
      </c>
      <c r="B40" s="93">
        <v>305.89999999999998</v>
      </c>
      <c r="C40" s="93">
        <v>156.1</v>
      </c>
      <c r="D40" s="93">
        <v>106.3</v>
      </c>
      <c r="E40" s="93">
        <v>81.400000000000006</v>
      </c>
      <c r="F40" s="93">
        <v>66.5</v>
      </c>
      <c r="G40" s="93">
        <v>56.6</v>
      </c>
      <c r="H40" s="93">
        <v>49.5</v>
      </c>
      <c r="I40" s="93">
        <v>44.2</v>
      </c>
      <c r="J40" s="93">
        <v>40.1</v>
      </c>
      <c r="K40" s="93">
        <v>36.9</v>
      </c>
      <c r="L40" s="93">
        <v>34.200000000000003</v>
      </c>
      <c r="M40" s="93">
        <v>32.1</v>
      </c>
      <c r="N40" s="93">
        <v>30.2</v>
      </c>
      <c r="O40" s="93">
        <v>28.6</v>
      </c>
      <c r="P40" s="93">
        <v>27.3</v>
      </c>
      <c r="Q40" s="93">
        <v>26.1</v>
      </c>
      <c r="R40" s="93"/>
      <c r="S40" s="93"/>
      <c r="T40" s="93"/>
      <c r="U40" s="93"/>
      <c r="W40" s="92">
        <v>49</v>
      </c>
      <c r="X40" s="93">
        <v>287.39999999999998</v>
      </c>
      <c r="Y40" s="93">
        <v>146.69999999999999</v>
      </c>
      <c r="Z40" s="93">
        <v>99.9</v>
      </c>
      <c r="AA40" s="93">
        <v>76.5</v>
      </c>
      <c r="AB40" s="93">
        <v>62.5</v>
      </c>
      <c r="AC40" s="93">
        <v>53.2</v>
      </c>
      <c r="AD40" s="93">
        <v>46.5</v>
      </c>
      <c r="AE40" s="93">
        <v>41.6</v>
      </c>
      <c r="AF40" s="93">
        <v>37.700000000000003</v>
      </c>
      <c r="AG40" s="93">
        <v>34.700000000000003</v>
      </c>
      <c r="AH40" s="93">
        <v>32.200000000000003</v>
      </c>
      <c r="AI40" s="93">
        <v>30.1</v>
      </c>
      <c r="AJ40" s="93">
        <v>28.4</v>
      </c>
      <c r="AK40" s="93">
        <v>26.9</v>
      </c>
      <c r="AL40" s="93">
        <v>25.7</v>
      </c>
      <c r="AM40" s="93">
        <v>24.6</v>
      </c>
      <c r="AN40" s="93"/>
      <c r="AO40" s="93"/>
      <c r="AP40" s="93"/>
      <c r="AQ40" s="93"/>
    </row>
    <row r="41" spans="1:43" x14ac:dyDescent="0.25">
      <c r="A41" s="92">
        <v>50</v>
      </c>
      <c r="B41" s="93">
        <v>311.3</v>
      </c>
      <c r="C41" s="93">
        <v>159</v>
      </c>
      <c r="D41" s="93">
        <v>108.2</v>
      </c>
      <c r="E41" s="93">
        <v>82.9</v>
      </c>
      <c r="F41" s="93">
        <v>67.7</v>
      </c>
      <c r="G41" s="93">
        <v>57.7</v>
      </c>
      <c r="H41" s="93">
        <v>50.5</v>
      </c>
      <c r="I41" s="93">
        <v>45.1</v>
      </c>
      <c r="J41" s="93">
        <v>40.9</v>
      </c>
      <c r="K41" s="93">
        <v>37.6</v>
      </c>
      <c r="L41" s="93">
        <v>34.9</v>
      </c>
      <c r="M41" s="93">
        <v>32.700000000000003</v>
      </c>
      <c r="N41" s="93">
        <v>30.8</v>
      </c>
      <c r="O41" s="93">
        <v>29.3</v>
      </c>
      <c r="P41" s="93">
        <v>27.9</v>
      </c>
      <c r="Q41" s="93"/>
      <c r="R41" s="93"/>
      <c r="S41" s="93"/>
      <c r="T41" s="93"/>
      <c r="U41" s="93"/>
      <c r="W41" s="92">
        <v>50</v>
      </c>
      <c r="X41" s="93">
        <v>292.60000000000002</v>
      </c>
      <c r="Y41" s="93">
        <v>149.4</v>
      </c>
      <c r="Z41" s="93">
        <v>101.7</v>
      </c>
      <c r="AA41" s="93">
        <v>77.900000000000006</v>
      </c>
      <c r="AB41" s="93">
        <v>63.7</v>
      </c>
      <c r="AC41" s="93">
        <v>54.2</v>
      </c>
      <c r="AD41" s="93">
        <v>47.4</v>
      </c>
      <c r="AE41" s="93">
        <v>42.4</v>
      </c>
      <c r="AF41" s="93">
        <v>38.5</v>
      </c>
      <c r="AG41" s="93">
        <v>35.4</v>
      </c>
      <c r="AH41" s="93">
        <v>32.9</v>
      </c>
      <c r="AI41" s="93">
        <v>30.8</v>
      </c>
      <c r="AJ41" s="93">
        <v>29</v>
      </c>
      <c r="AK41" s="93">
        <v>27.5</v>
      </c>
      <c r="AL41" s="93">
        <v>26.2</v>
      </c>
      <c r="AM41" s="93"/>
      <c r="AN41" s="93"/>
      <c r="AO41" s="93"/>
      <c r="AP41" s="93"/>
      <c r="AQ41" s="93"/>
    </row>
    <row r="42" spans="1:43" x14ac:dyDescent="0.25">
      <c r="A42" s="92">
        <v>51</v>
      </c>
      <c r="B42" s="93">
        <v>317</v>
      </c>
      <c r="C42" s="93">
        <v>161.9</v>
      </c>
      <c r="D42" s="93">
        <v>110.3</v>
      </c>
      <c r="E42" s="93">
        <v>84.5</v>
      </c>
      <c r="F42" s="93">
        <v>69</v>
      </c>
      <c r="G42" s="93">
        <v>58.8</v>
      </c>
      <c r="H42" s="93">
        <v>51.5</v>
      </c>
      <c r="I42" s="93">
        <v>46</v>
      </c>
      <c r="J42" s="93">
        <v>41.8</v>
      </c>
      <c r="K42" s="93">
        <v>38.4</v>
      </c>
      <c r="L42" s="93">
        <v>35.700000000000003</v>
      </c>
      <c r="M42" s="93">
        <v>33.4</v>
      </c>
      <c r="N42" s="93">
        <v>31.5</v>
      </c>
      <c r="O42" s="93">
        <v>29.9</v>
      </c>
      <c r="P42" s="93"/>
      <c r="Q42" s="93"/>
      <c r="R42" s="93"/>
      <c r="S42" s="93"/>
      <c r="T42" s="93"/>
      <c r="U42" s="93"/>
      <c r="W42" s="92">
        <v>51</v>
      </c>
      <c r="X42" s="93">
        <v>298.10000000000002</v>
      </c>
      <c r="Y42" s="93">
        <v>152.30000000000001</v>
      </c>
      <c r="Z42" s="93">
        <v>103.7</v>
      </c>
      <c r="AA42" s="93">
        <v>79.400000000000006</v>
      </c>
      <c r="AB42" s="93">
        <v>64.900000000000006</v>
      </c>
      <c r="AC42" s="93">
        <v>55.3</v>
      </c>
      <c r="AD42" s="93">
        <v>48.4</v>
      </c>
      <c r="AE42" s="93">
        <v>43.3</v>
      </c>
      <c r="AF42" s="93">
        <v>39.299999999999997</v>
      </c>
      <c r="AG42" s="93">
        <v>36.1</v>
      </c>
      <c r="AH42" s="93">
        <v>33.6</v>
      </c>
      <c r="AI42" s="93">
        <v>31.4</v>
      </c>
      <c r="AJ42" s="93">
        <v>29.6</v>
      </c>
      <c r="AK42" s="93">
        <v>28.1</v>
      </c>
      <c r="AL42" s="93"/>
      <c r="AM42" s="93"/>
      <c r="AN42" s="93"/>
      <c r="AO42" s="93"/>
      <c r="AP42" s="93"/>
      <c r="AQ42" s="93"/>
    </row>
    <row r="43" spans="1:43" x14ac:dyDescent="0.25">
      <c r="A43" s="92">
        <v>52</v>
      </c>
      <c r="B43" s="93">
        <v>322.7</v>
      </c>
      <c r="C43" s="93">
        <v>164.9</v>
      </c>
      <c r="D43" s="93">
        <v>112.3</v>
      </c>
      <c r="E43" s="93">
        <v>86.1</v>
      </c>
      <c r="F43" s="93">
        <v>70.400000000000006</v>
      </c>
      <c r="G43" s="93">
        <v>59.9</v>
      </c>
      <c r="H43" s="93">
        <v>52.5</v>
      </c>
      <c r="I43" s="93">
        <v>46.9</v>
      </c>
      <c r="J43" s="93">
        <v>42.6</v>
      </c>
      <c r="K43" s="93">
        <v>39.200000000000003</v>
      </c>
      <c r="L43" s="93">
        <v>36.4</v>
      </c>
      <c r="M43" s="93">
        <v>34.1</v>
      </c>
      <c r="N43" s="93">
        <v>32.200000000000003</v>
      </c>
      <c r="O43" s="93"/>
      <c r="P43" s="93"/>
      <c r="Q43" s="93"/>
      <c r="R43" s="93"/>
      <c r="S43" s="93"/>
      <c r="T43" s="93"/>
      <c r="U43" s="93"/>
      <c r="W43" s="92">
        <v>52</v>
      </c>
      <c r="X43" s="93">
        <v>303.7</v>
      </c>
      <c r="Y43" s="93">
        <v>155.1</v>
      </c>
      <c r="Z43" s="93">
        <v>105.7</v>
      </c>
      <c r="AA43" s="93">
        <v>81</v>
      </c>
      <c r="AB43" s="93">
        <v>66.2</v>
      </c>
      <c r="AC43" s="93">
        <v>56.4</v>
      </c>
      <c r="AD43" s="93">
        <v>49.4</v>
      </c>
      <c r="AE43" s="93">
        <v>44.2</v>
      </c>
      <c r="AF43" s="93">
        <v>40.1</v>
      </c>
      <c r="AG43" s="93">
        <v>36.9</v>
      </c>
      <c r="AH43" s="93">
        <v>34.299999999999997</v>
      </c>
      <c r="AI43" s="93">
        <v>32.1</v>
      </c>
      <c r="AJ43" s="93">
        <v>30.3</v>
      </c>
      <c r="AK43" s="93"/>
      <c r="AL43" s="93"/>
      <c r="AM43" s="93"/>
      <c r="AN43" s="93"/>
      <c r="AO43" s="93"/>
      <c r="AP43" s="93"/>
      <c r="AQ43" s="93"/>
    </row>
    <row r="44" spans="1:43" x14ac:dyDescent="0.25">
      <c r="A44" s="92">
        <v>53</v>
      </c>
      <c r="B44" s="93">
        <v>328.6</v>
      </c>
      <c r="C44" s="93">
        <v>167.9</v>
      </c>
      <c r="D44" s="93">
        <v>114.4</v>
      </c>
      <c r="E44" s="93">
        <v>87.7</v>
      </c>
      <c r="F44" s="93">
        <v>71.7</v>
      </c>
      <c r="G44" s="93">
        <v>61.1</v>
      </c>
      <c r="H44" s="93">
        <v>53.5</v>
      </c>
      <c r="I44" s="93">
        <v>47.9</v>
      </c>
      <c r="J44" s="93">
        <v>43.5</v>
      </c>
      <c r="K44" s="93">
        <v>40</v>
      </c>
      <c r="L44" s="93">
        <v>37.200000000000003</v>
      </c>
      <c r="M44" s="93">
        <v>34.799999999999997</v>
      </c>
      <c r="N44" s="93"/>
      <c r="O44" s="93"/>
      <c r="P44" s="93"/>
      <c r="Q44" s="93"/>
      <c r="R44" s="93"/>
      <c r="S44" s="93"/>
      <c r="T44" s="93"/>
      <c r="U44" s="93"/>
      <c r="W44" s="92">
        <v>53</v>
      </c>
      <c r="X44" s="93">
        <v>309.3</v>
      </c>
      <c r="Y44" s="93">
        <v>158.1</v>
      </c>
      <c r="Z44" s="93">
        <v>107.7</v>
      </c>
      <c r="AA44" s="93">
        <v>82.6</v>
      </c>
      <c r="AB44" s="93">
        <v>67.5</v>
      </c>
      <c r="AC44" s="93">
        <v>57.5</v>
      </c>
      <c r="AD44" s="93">
        <v>50.4</v>
      </c>
      <c r="AE44" s="93">
        <v>45.1</v>
      </c>
      <c r="AF44" s="93">
        <v>41</v>
      </c>
      <c r="AG44" s="93">
        <v>37.700000000000003</v>
      </c>
      <c r="AH44" s="93">
        <v>35</v>
      </c>
      <c r="AI44" s="93">
        <v>32.799999999999997</v>
      </c>
      <c r="AJ44" s="93"/>
      <c r="AK44" s="93"/>
      <c r="AL44" s="93"/>
      <c r="AM44" s="93"/>
      <c r="AN44" s="93"/>
      <c r="AO44" s="93"/>
      <c r="AP44" s="93"/>
      <c r="AQ44" s="93"/>
    </row>
    <row r="45" spans="1:43" x14ac:dyDescent="0.25">
      <c r="A45" s="92">
        <v>54</v>
      </c>
      <c r="B45" s="93">
        <v>334.5</v>
      </c>
      <c r="C45" s="93">
        <v>171</v>
      </c>
      <c r="D45" s="93">
        <v>116.6</v>
      </c>
      <c r="E45" s="93">
        <v>89.4</v>
      </c>
      <c r="F45" s="93">
        <v>73.099999999999994</v>
      </c>
      <c r="G45" s="93">
        <v>62.3</v>
      </c>
      <c r="H45" s="93">
        <v>54.6</v>
      </c>
      <c r="I45" s="93">
        <v>48.8</v>
      </c>
      <c r="J45" s="93">
        <v>44.4</v>
      </c>
      <c r="K45" s="93">
        <v>40.799999999999997</v>
      </c>
      <c r="L45" s="93">
        <v>38</v>
      </c>
      <c r="M45" s="93"/>
      <c r="N45" s="93"/>
      <c r="O45" s="93"/>
      <c r="P45" s="93"/>
      <c r="Q45" s="93"/>
      <c r="R45" s="93"/>
      <c r="S45" s="93"/>
      <c r="T45" s="93"/>
      <c r="U45" s="93"/>
      <c r="W45" s="92">
        <v>54</v>
      </c>
      <c r="X45" s="93">
        <v>315.2</v>
      </c>
      <c r="Y45" s="93">
        <v>161.1</v>
      </c>
      <c r="Z45" s="93">
        <v>109.8</v>
      </c>
      <c r="AA45" s="93">
        <v>84.2</v>
      </c>
      <c r="AB45" s="93">
        <v>68.900000000000006</v>
      </c>
      <c r="AC45" s="93">
        <v>58.7</v>
      </c>
      <c r="AD45" s="93">
        <v>51.4</v>
      </c>
      <c r="AE45" s="93">
        <v>46</v>
      </c>
      <c r="AF45" s="93">
        <v>41.8</v>
      </c>
      <c r="AG45" s="93">
        <v>38.5</v>
      </c>
      <c r="AH45" s="93">
        <v>35.799999999999997</v>
      </c>
      <c r="AI45" s="93"/>
      <c r="AJ45" s="93"/>
      <c r="AK45" s="93"/>
      <c r="AL45" s="93"/>
      <c r="AM45" s="93"/>
      <c r="AN45" s="93"/>
      <c r="AO45" s="93"/>
      <c r="AP45" s="93"/>
      <c r="AQ45" s="93"/>
    </row>
    <row r="46" spans="1:43" x14ac:dyDescent="0.25">
      <c r="A46" s="92">
        <v>55</v>
      </c>
      <c r="B46" s="93">
        <v>340.6</v>
      </c>
      <c r="C46" s="93">
        <v>174.2</v>
      </c>
      <c r="D46" s="93">
        <v>118.8</v>
      </c>
      <c r="E46" s="93">
        <v>91.1</v>
      </c>
      <c r="F46" s="93">
        <v>74.5</v>
      </c>
      <c r="G46" s="93">
        <v>63.5</v>
      </c>
      <c r="H46" s="93">
        <v>55.7</v>
      </c>
      <c r="I46" s="93">
        <v>49.8</v>
      </c>
      <c r="J46" s="93">
        <v>45.3</v>
      </c>
      <c r="K46" s="93">
        <v>41.7</v>
      </c>
      <c r="L46" s="93"/>
      <c r="M46" s="93"/>
      <c r="N46" s="93"/>
      <c r="O46" s="93"/>
      <c r="P46" s="93"/>
      <c r="Q46" s="93"/>
      <c r="R46" s="93"/>
      <c r="S46" s="93"/>
      <c r="T46" s="93"/>
      <c r="U46" s="93"/>
      <c r="W46" s="92">
        <v>55</v>
      </c>
      <c r="X46" s="93">
        <v>321.10000000000002</v>
      </c>
      <c r="Y46" s="93">
        <v>164.2</v>
      </c>
      <c r="Z46" s="93">
        <v>112</v>
      </c>
      <c r="AA46" s="93">
        <v>85.9</v>
      </c>
      <c r="AB46" s="93">
        <v>70.3</v>
      </c>
      <c r="AC46" s="93">
        <v>59.9</v>
      </c>
      <c r="AD46" s="93">
        <v>52.5</v>
      </c>
      <c r="AE46" s="93">
        <v>47</v>
      </c>
      <c r="AF46" s="93">
        <v>42.7</v>
      </c>
      <c r="AG46" s="93">
        <v>39.299999999999997</v>
      </c>
      <c r="AH46" s="93"/>
      <c r="AI46" s="93"/>
      <c r="AJ46" s="93"/>
      <c r="AK46" s="93"/>
      <c r="AL46" s="93"/>
      <c r="AM46" s="93"/>
      <c r="AN46" s="93"/>
      <c r="AO46" s="93"/>
      <c r="AP46" s="93"/>
      <c r="AQ46" s="93"/>
    </row>
    <row r="47" spans="1:43" x14ac:dyDescent="0.25">
      <c r="A47" s="92">
        <v>56</v>
      </c>
      <c r="B47" s="93">
        <v>346.9</v>
      </c>
      <c r="C47" s="93">
        <v>177.4</v>
      </c>
      <c r="D47" s="93">
        <v>121</v>
      </c>
      <c r="E47" s="93">
        <v>92.8</v>
      </c>
      <c r="F47" s="93">
        <v>76</v>
      </c>
      <c r="G47" s="93">
        <v>64.8</v>
      </c>
      <c r="H47" s="93">
        <v>56.8</v>
      </c>
      <c r="I47" s="93">
        <v>50.9</v>
      </c>
      <c r="J47" s="93">
        <v>46.3</v>
      </c>
      <c r="K47" s="93"/>
      <c r="L47" s="93"/>
      <c r="M47" s="93"/>
      <c r="N47" s="93"/>
      <c r="O47" s="93"/>
      <c r="P47" s="93"/>
      <c r="Q47" s="93"/>
      <c r="R47" s="93"/>
      <c r="S47" s="93"/>
      <c r="T47" s="93"/>
      <c r="U47" s="93"/>
      <c r="W47" s="92">
        <v>56</v>
      </c>
      <c r="X47" s="93">
        <v>327.3</v>
      </c>
      <c r="Y47" s="93">
        <v>167.4</v>
      </c>
      <c r="Z47" s="93">
        <v>114.2</v>
      </c>
      <c r="AA47" s="93">
        <v>87.6</v>
      </c>
      <c r="AB47" s="93">
        <v>71.7</v>
      </c>
      <c r="AC47" s="93">
        <v>61.1</v>
      </c>
      <c r="AD47" s="93">
        <v>53.6</v>
      </c>
      <c r="AE47" s="93">
        <v>48</v>
      </c>
      <c r="AF47" s="93">
        <v>43.7</v>
      </c>
      <c r="AG47" s="93"/>
      <c r="AH47" s="93"/>
      <c r="AI47" s="93"/>
      <c r="AJ47" s="93"/>
      <c r="AK47" s="93"/>
      <c r="AL47" s="93"/>
      <c r="AM47" s="93"/>
      <c r="AN47" s="93"/>
      <c r="AO47" s="93"/>
      <c r="AP47" s="93"/>
      <c r="AQ47" s="93"/>
    </row>
    <row r="48" spans="1:43" x14ac:dyDescent="0.25">
      <c r="A48" s="92">
        <v>57</v>
      </c>
      <c r="B48" s="93">
        <v>353.2</v>
      </c>
      <c r="C48" s="93">
        <v>180.7</v>
      </c>
      <c r="D48" s="93">
        <v>123.3</v>
      </c>
      <c r="E48" s="93">
        <v>94.6</v>
      </c>
      <c r="F48" s="93">
        <v>77.5</v>
      </c>
      <c r="G48" s="93">
        <v>66.099999999999994</v>
      </c>
      <c r="H48" s="93">
        <v>58</v>
      </c>
      <c r="I48" s="93">
        <v>51.9</v>
      </c>
      <c r="J48" s="93"/>
      <c r="K48" s="93"/>
      <c r="L48" s="93"/>
      <c r="M48" s="93"/>
      <c r="N48" s="93"/>
      <c r="O48" s="93"/>
      <c r="P48" s="93"/>
      <c r="Q48" s="93"/>
      <c r="R48" s="93"/>
      <c r="S48" s="93"/>
      <c r="T48" s="93"/>
      <c r="U48" s="93"/>
      <c r="W48" s="92">
        <v>57</v>
      </c>
      <c r="X48" s="93">
        <v>333.5</v>
      </c>
      <c r="Y48" s="93">
        <v>170.7</v>
      </c>
      <c r="Z48" s="93">
        <v>116.4</v>
      </c>
      <c r="AA48" s="93">
        <v>89.4</v>
      </c>
      <c r="AB48" s="93">
        <v>73.2</v>
      </c>
      <c r="AC48" s="93">
        <v>62.4</v>
      </c>
      <c r="AD48" s="93">
        <v>54.7</v>
      </c>
      <c r="AE48" s="93">
        <v>49</v>
      </c>
      <c r="AF48" s="93"/>
      <c r="AG48" s="93"/>
      <c r="AH48" s="93"/>
      <c r="AI48" s="93"/>
      <c r="AJ48" s="93"/>
      <c r="AK48" s="93"/>
      <c r="AL48" s="93"/>
      <c r="AM48" s="93"/>
      <c r="AN48" s="93"/>
      <c r="AO48" s="93"/>
      <c r="AP48" s="93"/>
      <c r="AQ48" s="93"/>
    </row>
    <row r="49" spans="1:43" x14ac:dyDescent="0.25">
      <c r="A49" s="92">
        <v>58</v>
      </c>
      <c r="B49" s="93">
        <v>359.8</v>
      </c>
      <c r="C49" s="93">
        <v>184.1</v>
      </c>
      <c r="D49" s="93">
        <v>125.7</v>
      </c>
      <c r="E49" s="93">
        <v>96.5</v>
      </c>
      <c r="F49" s="93">
        <v>79</v>
      </c>
      <c r="G49" s="93">
        <v>67.400000000000006</v>
      </c>
      <c r="H49" s="93">
        <v>59.2</v>
      </c>
      <c r="I49" s="93"/>
      <c r="J49" s="93"/>
      <c r="K49" s="93"/>
      <c r="L49" s="93"/>
      <c r="M49" s="93"/>
      <c r="N49" s="93"/>
      <c r="O49" s="93"/>
      <c r="P49" s="93"/>
      <c r="Q49" s="93"/>
      <c r="R49" s="93"/>
      <c r="S49" s="93"/>
      <c r="T49" s="93"/>
      <c r="U49" s="93"/>
      <c r="W49" s="92">
        <v>58</v>
      </c>
      <c r="X49" s="93">
        <v>340</v>
      </c>
      <c r="Y49" s="93">
        <v>174</v>
      </c>
      <c r="Z49" s="93">
        <v>118.8</v>
      </c>
      <c r="AA49" s="93">
        <v>91.2</v>
      </c>
      <c r="AB49" s="93">
        <v>74.7</v>
      </c>
      <c r="AC49" s="93">
        <v>63.7</v>
      </c>
      <c r="AD49" s="93">
        <v>55.9</v>
      </c>
      <c r="AE49" s="93"/>
      <c r="AF49" s="93"/>
      <c r="AG49" s="93"/>
      <c r="AH49" s="93"/>
      <c r="AI49" s="93"/>
      <c r="AJ49" s="93"/>
      <c r="AK49" s="93"/>
      <c r="AL49" s="93"/>
      <c r="AM49" s="93"/>
      <c r="AN49" s="93"/>
      <c r="AO49" s="93"/>
      <c r="AP49" s="93"/>
      <c r="AQ49" s="93"/>
    </row>
    <row r="50" spans="1:43" x14ac:dyDescent="0.25">
      <c r="A50" s="92">
        <v>59</v>
      </c>
      <c r="B50" s="93">
        <v>366.4</v>
      </c>
      <c r="C50" s="93">
        <v>187.6</v>
      </c>
      <c r="D50" s="93">
        <v>128.1</v>
      </c>
      <c r="E50" s="93">
        <v>98.4</v>
      </c>
      <c r="F50" s="93">
        <v>80.599999999999994</v>
      </c>
      <c r="G50" s="93">
        <v>68.8</v>
      </c>
      <c r="H50" s="93"/>
      <c r="I50" s="93"/>
      <c r="J50" s="93"/>
      <c r="K50" s="93"/>
      <c r="L50" s="93"/>
      <c r="M50" s="93"/>
      <c r="N50" s="93"/>
      <c r="O50" s="93"/>
      <c r="P50" s="93"/>
      <c r="Q50" s="93"/>
      <c r="R50" s="93"/>
      <c r="S50" s="93"/>
      <c r="T50" s="93"/>
      <c r="U50" s="93"/>
      <c r="W50" s="92">
        <v>59</v>
      </c>
      <c r="X50" s="93">
        <v>346.6</v>
      </c>
      <c r="Y50" s="93">
        <v>177.4</v>
      </c>
      <c r="Z50" s="93">
        <v>121.1</v>
      </c>
      <c r="AA50" s="93">
        <v>93</v>
      </c>
      <c r="AB50" s="93">
        <v>76.2</v>
      </c>
      <c r="AC50" s="93">
        <v>65.099999999999994</v>
      </c>
      <c r="AD50" s="93"/>
      <c r="AE50" s="93"/>
      <c r="AF50" s="93"/>
      <c r="AG50" s="93"/>
      <c r="AH50" s="93"/>
      <c r="AI50" s="93"/>
      <c r="AJ50" s="93"/>
      <c r="AK50" s="93"/>
      <c r="AL50" s="93"/>
      <c r="AM50" s="93"/>
      <c r="AN50" s="93"/>
      <c r="AO50" s="93"/>
      <c r="AP50" s="93"/>
      <c r="AQ50" s="93"/>
    </row>
    <row r="51" spans="1:43" x14ac:dyDescent="0.25">
      <c r="A51" s="92">
        <v>60</v>
      </c>
      <c r="B51" s="93">
        <v>373.3</v>
      </c>
      <c r="C51" s="93">
        <v>191.2</v>
      </c>
      <c r="D51" s="93">
        <v>130.6</v>
      </c>
      <c r="E51" s="93">
        <v>100.3</v>
      </c>
      <c r="F51" s="93">
        <v>82.2</v>
      </c>
      <c r="G51" s="93"/>
      <c r="H51" s="93"/>
      <c r="I51" s="93"/>
      <c r="J51" s="93"/>
      <c r="K51" s="93"/>
      <c r="L51" s="93"/>
      <c r="M51" s="93"/>
      <c r="N51" s="93"/>
      <c r="O51" s="93"/>
      <c r="P51" s="93"/>
      <c r="Q51" s="93"/>
      <c r="R51" s="93"/>
      <c r="S51" s="93"/>
      <c r="T51" s="93"/>
      <c r="U51" s="93"/>
      <c r="W51" s="92">
        <v>60</v>
      </c>
      <c r="X51" s="93">
        <v>353.4</v>
      </c>
      <c r="Y51" s="93">
        <v>181</v>
      </c>
      <c r="Z51" s="93">
        <v>123.6</v>
      </c>
      <c r="AA51" s="93">
        <v>95</v>
      </c>
      <c r="AB51" s="93">
        <v>77.8</v>
      </c>
      <c r="AC51" s="93"/>
      <c r="AD51" s="93"/>
      <c r="AE51" s="93"/>
      <c r="AF51" s="93"/>
      <c r="AG51" s="93"/>
      <c r="AH51" s="93"/>
      <c r="AI51" s="93"/>
      <c r="AJ51" s="93"/>
      <c r="AK51" s="93"/>
      <c r="AL51" s="93"/>
      <c r="AM51" s="93"/>
      <c r="AN51" s="93"/>
      <c r="AO51" s="93"/>
      <c r="AP51" s="93"/>
      <c r="AQ51" s="93"/>
    </row>
    <row r="52" spans="1:43" x14ac:dyDescent="0.25">
      <c r="A52" s="92">
        <v>61</v>
      </c>
      <c r="B52" s="93">
        <v>380.3</v>
      </c>
      <c r="C52" s="93">
        <v>194.8</v>
      </c>
      <c r="D52" s="93">
        <v>133.1</v>
      </c>
      <c r="E52" s="93">
        <v>102.3</v>
      </c>
      <c r="F52" s="93"/>
      <c r="G52" s="93"/>
      <c r="H52" s="93"/>
      <c r="I52" s="93"/>
      <c r="J52" s="93"/>
      <c r="K52" s="93"/>
      <c r="L52" s="93"/>
      <c r="M52" s="93"/>
      <c r="N52" s="93"/>
      <c r="O52" s="93"/>
      <c r="P52" s="93"/>
      <c r="Q52" s="93"/>
      <c r="R52" s="93"/>
      <c r="S52" s="93"/>
      <c r="T52" s="93"/>
      <c r="U52" s="93"/>
      <c r="W52" s="92">
        <v>61</v>
      </c>
      <c r="X52" s="93">
        <v>360.4</v>
      </c>
      <c r="Y52" s="93">
        <v>184.6</v>
      </c>
      <c r="Z52" s="93">
        <v>126.1</v>
      </c>
      <c r="AA52" s="93">
        <v>97</v>
      </c>
      <c r="AB52" s="93"/>
      <c r="AC52" s="93"/>
      <c r="AD52" s="93"/>
      <c r="AE52" s="93"/>
      <c r="AF52" s="93"/>
      <c r="AG52" s="93"/>
      <c r="AH52" s="93"/>
      <c r="AI52" s="93"/>
      <c r="AJ52" s="93"/>
      <c r="AK52" s="93"/>
      <c r="AL52" s="93"/>
      <c r="AM52" s="93"/>
      <c r="AN52" s="93"/>
      <c r="AO52" s="93"/>
      <c r="AP52" s="93"/>
      <c r="AQ52" s="93"/>
    </row>
    <row r="53" spans="1:43" x14ac:dyDescent="0.25">
      <c r="A53" s="92">
        <v>62</v>
      </c>
      <c r="B53" s="93">
        <v>387.5</v>
      </c>
      <c r="C53" s="93">
        <v>198.6</v>
      </c>
      <c r="D53" s="93">
        <v>135.69999999999999</v>
      </c>
      <c r="E53" s="93"/>
      <c r="F53" s="93"/>
      <c r="G53" s="93"/>
      <c r="H53" s="93"/>
      <c r="I53" s="93"/>
      <c r="J53" s="93"/>
      <c r="K53" s="93"/>
      <c r="L53" s="93"/>
      <c r="M53" s="93"/>
      <c r="N53" s="93"/>
      <c r="O53" s="93"/>
      <c r="P53" s="93"/>
      <c r="Q53" s="93"/>
      <c r="R53" s="93"/>
      <c r="S53" s="93"/>
      <c r="T53" s="93"/>
      <c r="U53" s="93"/>
      <c r="W53" s="92">
        <v>62</v>
      </c>
      <c r="X53" s="93">
        <v>367.6</v>
      </c>
      <c r="Y53" s="93">
        <v>188.4</v>
      </c>
      <c r="Z53" s="93">
        <v>128.80000000000001</v>
      </c>
      <c r="AA53" s="93"/>
      <c r="AB53" s="93"/>
      <c r="AC53" s="93"/>
      <c r="AD53" s="93"/>
      <c r="AE53" s="93"/>
      <c r="AF53" s="93"/>
      <c r="AG53" s="93"/>
      <c r="AH53" s="93"/>
      <c r="AI53" s="93"/>
      <c r="AJ53" s="93"/>
      <c r="AK53" s="93"/>
      <c r="AL53" s="93"/>
      <c r="AM53" s="93"/>
      <c r="AN53" s="93"/>
      <c r="AO53" s="93"/>
      <c r="AP53" s="93"/>
      <c r="AQ53" s="93"/>
    </row>
    <row r="54" spans="1:43" x14ac:dyDescent="0.25">
      <c r="A54" s="92">
        <v>63</v>
      </c>
      <c r="B54" s="93">
        <v>395.1</v>
      </c>
      <c r="C54" s="93">
        <v>202.5</v>
      </c>
      <c r="D54" s="93"/>
      <c r="E54" s="93"/>
      <c r="F54" s="93"/>
      <c r="G54" s="93"/>
      <c r="H54" s="93"/>
      <c r="I54" s="93"/>
      <c r="J54" s="93"/>
      <c r="K54" s="93"/>
      <c r="L54" s="93"/>
      <c r="M54" s="93"/>
      <c r="N54" s="93"/>
      <c r="O54" s="93"/>
      <c r="P54" s="93"/>
      <c r="Q54" s="93"/>
      <c r="R54" s="93"/>
      <c r="S54" s="93"/>
      <c r="T54" s="93"/>
      <c r="U54" s="93"/>
      <c r="W54" s="92">
        <v>63</v>
      </c>
      <c r="X54" s="93">
        <v>375.2</v>
      </c>
      <c r="Y54" s="93">
        <v>192.3</v>
      </c>
      <c r="Z54" s="93"/>
      <c r="AA54" s="93"/>
      <c r="AB54" s="93"/>
      <c r="AC54" s="93"/>
      <c r="AD54" s="93"/>
      <c r="AE54" s="93"/>
      <c r="AF54" s="93"/>
      <c r="AG54" s="93"/>
      <c r="AH54" s="93"/>
      <c r="AI54" s="93"/>
      <c r="AJ54" s="93"/>
      <c r="AK54" s="93"/>
      <c r="AL54" s="93"/>
      <c r="AM54" s="93"/>
      <c r="AN54" s="93"/>
      <c r="AO54" s="93"/>
      <c r="AP54" s="93"/>
      <c r="AQ54" s="93"/>
    </row>
    <row r="55" spans="1:43" x14ac:dyDescent="0.25">
      <c r="A55" s="92">
        <v>64</v>
      </c>
      <c r="B55" s="93">
        <v>402.9</v>
      </c>
      <c r="C55" s="93"/>
      <c r="D55" s="93"/>
      <c r="E55" s="93"/>
      <c r="F55" s="93"/>
      <c r="G55" s="93"/>
      <c r="H55" s="93"/>
      <c r="I55" s="93"/>
      <c r="J55" s="93"/>
      <c r="K55" s="93"/>
      <c r="L55" s="93"/>
      <c r="M55" s="93"/>
      <c r="N55" s="93"/>
      <c r="O55" s="93"/>
      <c r="P55" s="93"/>
      <c r="Q55" s="93"/>
      <c r="R55" s="93"/>
      <c r="S55" s="93"/>
      <c r="T55" s="93"/>
      <c r="U55" s="93"/>
      <c r="W55" s="92">
        <v>64</v>
      </c>
      <c r="X55" s="93">
        <v>383.1</v>
      </c>
      <c r="Y55" s="93"/>
      <c r="Z55" s="93"/>
      <c r="AA55" s="93"/>
      <c r="AB55" s="93"/>
      <c r="AC55" s="93"/>
      <c r="AD55" s="93"/>
      <c r="AE55" s="93"/>
      <c r="AF55" s="93"/>
      <c r="AG55" s="93"/>
      <c r="AH55" s="93"/>
      <c r="AI55" s="93"/>
      <c r="AJ55" s="93"/>
      <c r="AK55" s="93"/>
      <c r="AL55" s="93"/>
      <c r="AM55" s="93"/>
      <c r="AN55" s="93"/>
      <c r="AO55" s="93"/>
      <c r="AP55" s="93"/>
      <c r="AQ55" s="93"/>
    </row>
    <row r="56" spans="1:43" x14ac:dyDescent="0.25">
      <c r="A56" s="18"/>
      <c r="B56" s="21"/>
      <c r="C56" s="21"/>
      <c r="D56" s="21"/>
      <c r="E56" s="21"/>
      <c r="F56" s="21"/>
      <c r="G56" s="21"/>
      <c r="H56" s="21"/>
      <c r="I56" s="21"/>
      <c r="J56" s="21"/>
      <c r="K56" s="21"/>
      <c r="L56" s="21"/>
      <c r="M56" s="21"/>
      <c r="N56" s="21"/>
      <c r="O56" s="21"/>
      <c r="P56" s="21"/>
      <c r="Q56" s="21"/>
      <c r="R56" s="21"/>
      <c r="S56" s="21"/>
      <c r="T56" s="21"/>
      <c r="U56" s="21"/>
    </row>
    <row r="57" spans="1:43" x14ac:dyDescent="0.25">
      <c r="A57" s="18"/>
      <c r="B57" s="21"/>
      <c r="C57" s="21"/>
      <c r="D57" s="21"/>
      <c r="E57" s="21"/>
      <c r="F57" s="21"/>
      <c r="G57" s="21"/>
      <c r="H57" s="21"/>
      <c r="I57" s="21"/>
      <c r="J57" s="21"/>
      <c r="K57" s="21"/>
      <c r="L57" s="21"/>
      <c r="M57" s="21"/>
      <c r="N57" s="21"/>
      <c r="O57" s="21"/>
      <c r="P57" s="21"/>
      <c r="Q57" s="21"/>
      <c r="R57" s="21"/>
      <c r="S57" s="21"/>
      <c r="T57" s="21"/>
      <c r="U57" s="21"/>
    </row>
  </sheetData>
  <mergeCells count="2">
    <mergeCell ref="B5:U5"/>
    <mergeCell ref="X5:AQ5"/>
  </mergeCells>
  <conditionalFormatting sqref="A7:A55">
    <cfRule type="expression" dxfId="31" priority="5" stopIfTrue="1">
      <formula>MOD(ROW(),2)=0</formula>
    </cfRule>
    <cfRule type="expression" dxfId="30" priority="6" stopIfTrue="1">
      <formula>MOD(ROW(),2)&lt;&gt;0</formula>
    </cfRule>
  </conditionalFormatting>
  <conditionalFormatting sqref="B7:U55">
    <cfRule type="expression" dxfId="29" priority="1" stopIfTrue="1">
      <formula>MOD(ROW(),2)=0</formula>
    </cfRule>
    <cfRule type="expression" dxfId="28" priority="2" stopIfTrue="1">
      <formula>MOD(ROW(),2)&lt;&gt;0</formula>
    </cfRule>
  </conditionalFormatting>
  <conditionalFormatting sqref="W7:W55">
    <cfRule type="expression" dxfId="27" priority="9" stopIfTrue="1">
      <formula>MOD(ROW(),2)=0</formula>
    </cfRule>
    <cfRule type="expression" dxfId="26" priority="10" stopIfTrue="1">
      <formula>MOD(ROW(),2)&lt;&gt;0</formula>
    </cfRule>
  </conditionalFormatting>
  <conditionalFormatting sqref="X7:AQ55">
    <cfRule type="expression" dxfId="25" priority="3" stopIfTrue="1">
      <formula>MOD(ROW(),2)=0</formula>
    </cfRule>
    <cfRule type="expression" dxfId="24" priority="4" stopIfTrue="1">
      <formula>MOD(ROW(),2)&lt;&gt;0</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84BBA-824D-42EB-921F-1A8093D4E930}">
  <sheetPr codeName="Sheet4"/>
  <dimension ref="A2:AQ57"/>
  <sheetViews>
    <sheetView topLeftCell="T1" workbookViewId="0">
      <selection activeCell="C16" sqref="C16"/>
    </sheetView>
  </sheetViews>
  <sheetFormatPr defaultColWidth="9.140625" defaultRowHeight="15" x14ac:dyDescent="0.25"/>
  <cols>
    <col min="1" max="1" width="14.28515625" style="16" customWidth="1"/>
    <col min="2" max="3" width="8.85546875" style="16" customWidth="1"/>
    <col min="4" max="4" width="9.140625" style="16"/>
    <col min="5" max="5" width="8.85546875" style="16" customWidth="1"/>
    <col min="6" max="22" width="9.140625" style="16"/>
    <col min="23" max="23" width="14.28515625" style="16" customWidth="1"/>
    <col min="24" max="16384" width="9.140625" style="16"/>
  </cols>
  <sheetData>
    <row r="2" spans="1:43" x14ac:dyDescent="0.25">
      <c r="A2" s="17" t="s">
        <v>161</v>
      </c>
      <c r="W2" s="17" t="s">
        <v>161</v>
      </c>
    </row>
    <row r="3" spans="1:43" ht="21" x14ac:dyDescent="0.35">
      <c r="A3" s="17" t="s">
        <v>166</v>
      </c>
      <c r="J3" s="16" t="s">
        <v>70</v>
      </c>
      <c r="W3" s="17" t="s">
        <v>167</v>
      </c>
      <c r="AE3" s="16" t="s">
        <v>55</v>
      </c>
    </row>
    <row r="4" spans="1:43" ht="15.75" thickBot="1" x14ac:dyDescent="0.3"/>
    <row r="5" spans="1:43" ht="51" customHeight="1" thickBot="1" x14ac:dyDescent="0.3">
      <c r="A5" s="19" t="s">
        <v>157</v>
      </c>
      <c r="B5" s="212" t="s">
        <v>158</v>
      </c>
      <c r="C5" s="212"/>
      <c r="D5" s="212"/>
      <c r="E5" s="212"/>
      <c r="F5" s="212"/>
      <c r="G5" s="212"/>
      <c r="H5" s="212"/>
      <c r="I5" s="212"/>
      <c r="J5" s="212"/>
      <c r="K5" s="212"/>
      <c r="L5" s="212"/>
      <c r="M5" s="212"/>
      <c r="N5" s="212"/>
      <c r="O5" s="212"/>
      <c r="P5" s="212"/>
      <c r="Q5" s="212"/>
      <c r="R5" s="212"/>
      <c r="S5" s="212"/>
      <c r="T5" s="212"/>
      <c r="U5" s="212"/>
      <c r="W5" s="19" t="s">
        <v>157</v>
      </c>
      <c r="X5" s="212" t="s">
        <v>158</v>
      </c>
      <c r="Y5" s="212"/>
      <c r="Z5" s="212"/>
      <c r="AA5" s="212"/>
      <c r="AB5" s="212"/>
      <c r="AC5" s="212"/>
      <c r="AD5" s="212"/>
      <c r="AE5" s="212"/>
      <c r="AF5" s="212"/>
      <c r="AG5" s="212"/>
      <c r="AH5" s="212"/>
      <c r="AI5" s="212"/>
      <c r="AJ5" s="212"/>
      <c r="AK5" s="212"/>
      <c r="AL5" s="212"/>
      <c r="AM5" s="212"/>
      <c r="AN5" s="212"/>
      <c r="AO5" s="212"/>
      <c r="AP5" s="212"/>
      <c r="AQ5" s="212"/>
    </row>
    <row r="6" spans="1:43" ht="39" customHeight="1" thickBot="1" x14ac:dyDescent="0.3">
      <c r="A6" s="68" t="s">
        <v>159</v>
      </c>
      <c r="B6" s="20">
        <v>1</v>
      </c>
      <c r="C6" s="20">
        <v>2</v>
      </c>
      <c r="D6" s="20">
        <v>3</v>
      </c>
      <c r="E6" s="20">
        <v>4</v>
      </c>
      <c r="F6" s="20">
        <v>5</v>
      </c>
      <c r="G6" s="20">
        <v>6</v>
      </c>
      <c r="H6" s="20">
        <v>7</v>
      </c>
      <c r="I6" s="20">
        <v>8</v>
      </c>
      <c r="J6" s="20">
        <v>9</v>
      </c>
      <c r="K6" s="20">
        <v>10</v>
      </c>
      <c r="L6" s="20">
        <v>11</v>
      </c>
      <c r="M6" s="20">
        <v>12</v>
      </c>
      <c r="N6" s="20">
        <v>13</v>
      </c>
      <c r="O6" s="20">
        <v>14</v>
      </c>
      <c r="P6" s="20">
        <v>15</v>
      </c>
      <c r="Q6" s="20">
        <v>16</v>
      </c>
      <c r="R6" s="20">
        <v>17</v>
      </c>
      <c r="S6" s="20">
        <v>18</v>
      </c>
      <c r="T6" s="20">
        <v>19</v>
      </c>
      <c r="U6" s="20">
        <v>20</v>
      </c>
      <c r="W6" s="68" t="s">
        <v>159</v>
      </c>
      <c r="X6" s="20">
        <v>1</v>
      </c>
      <c r="Y6" s="20">
        <v>2</v>
      </c>
      <c r="Z6" s="20">
        <v>3</v>
      </c>
      <c r="AA6" s="20">
        <v>4</v>
      </c>
      <c r="AB6" s="20">
        <v>5</v>
      </c>
      <c r="AC6" s="20">
        <v>6</v>
      </c>
      <c r="AD6" s="20">
        <v>7</v>
      </c>
      <c r="AE6" s="20">
        <v>8</v>
      </c>
      <c r="AF6" s="20">
        <v>9</v>
      </c>
      <c r="AG6" s="20">
        <v>10</v>
      </c>
      <c r="AH6" s="20">
        <v>11</v>
      </c>
      <c r="AI6" s="20">
        <v>12</v>
      </c>
      <c r="AJ6" s="20">
        <v>13</v>
      </c>
      <c r="AK6" s="20">
        <v>14</v>
      </c>
      <c r="AL6" s="20">
        <v>15</v>
      </c>
      <c r="AM6" s="20">
        <v>16</v>
      </c>
      <c r="AN6" s="20">
        <v>17</v>
      </c>
      <c r="AO6" s="20">
        <v>18</v>
      </c>
      <c r="AP6" s="20">
        <v>19</v>
      </c>
      <c r="AQ6" s="20">
        <v>20</v>
      </c>
    </row>
    <row r="7" spans="1:43" x14ac:dyDescent="0.25">
      <c r="A7" s="92">
        <v>16</v>
      </c>
      <c r="B7" s="93">
        <v>164.9</v>
      </c>
      <c r="C7" s="93">
        <v>84.1</v>
      </c>
      <c r="D7" s="93">
        <v>57.2</v>
      </c>
      <c r="E7" s="93">
        <v>43.7</v>
      </c>
      <c r="F7" s="93">
        <v>35.700000000000003</v>
      </c>
      <c r="G7" s="93">
        <v>30.3</v>
      </c>
      <c r="H7" s="93">
        <v>26.5</v>
      </c>
      <c r="I7" s="93">
        <v>23.6</v>
      </c>
      <c r="J7" s="93">
        <v>21.4</v>
      </c>
      <c r="K7" s="93">
        <v>19.600000000000001</v>
      </c>
      <c r="L7" s="93">
        <v>18.2</v>
      </c>
      <c r="M7" s="93">
        <v>17</v>
      </c>
      <c r="N7" s="93">
        <v>15.9</v>
      </c>
      <c r="O7" s="93">
        <v>15.1</v>
      </c>
      <c r="P7" s="93">
        <v>14.3</v>
      </c>
      <c r="Q7" s="93">
        <v>13.7</v>
      </c>
      <c r="R7" s="93">
        <v>13.1</v>
      </c>
      <c r="S7" s="93">
        <v>12.6</v>
      </c>
      <c r="T7" s="93">
        <v>12.1</v>
      </c>
      <c r="U7" s="93">
        <v>11.7</v>
      </c>
      <c r="W7" s="92">
        <v>16</v>
      </c>
      <c r="X7" s="93">
        <v>154.1</v>
      </c>
      <c r="Y7" s="93">
        <v>78.599999999999994</v>
      </c>
      <c r="Z7" s="93">
        <v>53.4</v>
      </c>
      <c r="AA7" s="93">
        <v>40.799999999999997</v>
      </c>
      <c r="AB7" s="93">
        <v>33.299999999999997</v>
      </c>
      <c r="AC7" s="93">
        <v>28.3</v>
      </c>
      <c r="AD7" s="93">
        <v>24.7</v>
      </c>
      <c r="AE7" s="93">
        <v>22.1</v>
      </c>
      <c r="AF7" s="93">
        <v>20</v>
      </c>
      <c r="AG7" s="93">
        <v>18.3</v>
      </c>
      <c r="AH7" s="93">
        <v>17</v>
      </c>
      <c r="AI7" s="93">
        <v>15.8</v>
      </c>
      <c r="AJ7" s="93">
        <v>14.9</v>
      </c>
      <c r="AK7" s="93">
        <v>14.1</v>
      </c>
      <c r="AL7" s="93">
        <v>13.4</v>
      </c>
      <c r="AM7" s="93">
        <v>12.8</v>
      </c>
      <c r="AN7" s="93">
        <v>12.2</v>
      </c>
      <c r="AO7" s="93">
        <v>11.8</v>
      </c>
      <c r="AP7" s="93">
        <v>11.3</v>
      </c>
      <c r="AQ7" s="93">
        <v>11</v>
      </c>
    </row>
    <row r="8" spans="1:43" x14ac:dyDescent="0.25">
      <c r="A8" s="92">
        <v>17</v>
      </c>
      <c r="B8" s="93">
        <v>168.1</v>
      </c>
      <c r="C8" s="93">
        <v>85.7</v>
      </c>
      <c r="D8" s="93">
        <v>58.3</v>
      </c>
      <c r="E8" s="93">
        <v>44.6</v>
      </c>
      <c r="F8" s="93">
        <v>36.299999999999997</v>
      </c>
      <c r="G8" s="93">
        <v>30.9</v>
      </c>
      <c r="H8" s="93">
        <v>27</v>
      </c>
      <c r="I8" s="93">
        <v>24.1</v>
      </c>
      <c r="J8" s="93">
        <v>21.8</v>
      </c>
      <c r="K8" s="93">
        <v>20</v>
      </c>
      <c r="L8" s="93">
        <v>18.5</v>
      </c>
      <c r="M8" s="93">
        <v>17.3</v>
      </c>
      <c r="N8" s="93">
        <v>16.2</v>
      </c>
      <c r="O8" s="93">
        <v>15.4</v>
      </c>
      <c r="P8" s="93">
        <v>14.6</v>
      </c>
      <c r="Q8" s="93">
        <v>13.9</v>
      </c>
      <c r="R8" s="93">
        <v>13.4</v>
      </c>
      <c r="S8" s="93">
        <v>12.8</v>
      </c>
      <c r="T8" s="93">
        <v>12.4</v>
      </c>
      <c r="U8" s="93">
        <v>12</v>
      </c>
      <c r="W8" s="92">
        <v>17</v>
      </c>
      <c r="X8" s="93">
        <v>156.80000000000001</v>
      </c>
      <c r="Y8" s="93">
        <v>80</v>
      </c>
      <c r="Z8" s="93">
        <v>54.4</v>
      </c>
      <c r="AA8" s="93">
        <v>41.6</v>
      </c>
      <c r="AB8" s="93">
        <v>33.9</v>
      </c>
      <c r="AC8" s="93">
        <v>28.8</v>
      </c>
      <c r="AD8" s="93">
        <v>25.2</v>
      </c>
      <c r="AE8" s="93">
        <v>22.4</v>
      </c>
      <c r="AF8" s="93">
        <v>20.3</v>
      </c>
      <c r="AG8" s="93">
        <v>18.600000000000001</v>
      </c>
      <c r="AH8" s="93">
        <v>17.3</v>
      </c>
      <c r="AI8" s="93">
        <v>16.100000000000001</v>
      </c>
      <c r="AJ8" s="93">
        <v>15.2</v>
      </c>
      <c r="AK8" s="93">
        <v>14.3</v>
      </c>
      <c r="AL8" s="93">
        <v>13.6</v>
      </c>
      <c r="AM8" s="93">
        <v>13</v>
      </c>
      <c r="AN8" s="93">
        <v>12.5</v>
      </c>
      <c r="AO8" s="93">
        <v>12</v>
      </c>
      <c r="AP8" s="93">
        <v>11.5</v>
      </c>
      <c r="AQ8" s="93">
        <v>11.2</v>
      </c>
    </row>
    <row r="9" spans="1:43" x14ac:dyDescent="0.25">
      <c r="A9" s="92">
        <v>18</v>
      </c>
      <c r="B9" s="93">
        <v>171.4</v>
      </c>
      <c r="C9" s="93">
        <v>87.4</v>
      </c>
      <c r="D9" s="93">
        <v>59.4</v>
      </c>
      <c r="E9" s="93">
        <v>45.5</v>
      </c>
      <c r="F9" s="93">
        <v>37.1</v>
      </c>
      <c r="G9" s="93">
        <v>31.5</v>
      </c>
      <c r="H9" s="93">
        <v>27.5</v>
      </c>
      <c r="I9" s="93">
        <v>24.5</v>
      </c>
      <c r="J9" s="93">
        <v>22.2</v>
      </c>
      <c r="K9" s="93">
        <v>20.399999999999999</v>
      </c>
      <c r="L9" s="93">
        <v>18.899999999999999</v>
      </c>
      <c r="M9" s="93">
        <v>17.600000000000001</v>
      </c>
      <c r="N9" s="93">
        <v>16.600000000000001</v>
      </c>
      <c r="O9" s="93">
        <v>15.7</v>
      </c>
      <c r="P9" s="93">
        <v>14.9</v>
      </c>
      <c r="Q9" s="93">
        <v>14.2</v>
      </c>
      <c r="R9" s="93">
        <v>13.6</v>
      </c>
      <c r="S9" s="93">
        <v>13.1</v>
      </c>
      <c r="T9" s="93">
        <v>12.6</v>
      </c>
      <c r="U9" s="93">
        <v>12.2</v>
      </c>
      <c r="W9" s="92">
        <v>18</v>
      </c>
      <c r="X9" s="93">
        <v>159.69999999999999</v>
      </c>
      <c r="Y9" s="93">
        <v>81.400000000000006</v>
      </c>
      <c r="Z9" s="93">
        <v>55.4</v>
      </c>
      <c r="AA9" s="93">
        <v>42.3</v>
      </c>
      <c r="AB9" s="93">
        <v>34.5</v>
      </c>
      <c r="AC9" s="93">
        <v>29.3</v>
      </c>
      <c r="AD9" s="93">
        <v>25.6</v>
      </c>
      <c r="AE9" s="93">
        <v>22.9</v>
      </c>
      <c r="AF9" s="93">
        <v>20.7</v>
      </c>
      <c r="AG9" s="93">
        <v>19</v>
      </c>
      <c r="AH9" s="93">
        <v>17.600000000000001</v>
      </c>
      <c r="AI9" s="93">
        <v>16.399999999999999</v>
      </c>
      <c r="AJ9" s="93">
        <v>15.4</v>
      </c>
      <c r="AK9" s="93">
        <v>14.6</v>
      </c>
      <c r="AL9" s="93">
        <v>13.9</v>
      </c>
      <c r="AM9" s="93">
        <v>13.2</v>
      </c>
      <c r="AN9" s="93">
        <v>12.7</v>
      </c>
      <c r="AO9" s="93">
        <v>12.2</v>
      </c>
      <c r="AP9" s="93">
        <v>11.8</v>
      </c>
      <c r="AQ9" s="93">
        <v>11.4</v>
      </c>
    </row>
    <row r="10" spans="1:43" x14ac:dyDescent="0.25">
      <c r="A10" s="92">
        <v>19</v>
      </c>
      <c r="B10" s="93">
        <v>174.7</v>
      </c>
      <c r="C10" s="93">
        <v>89.1</v>
      </c>
      <c r="D10" s="93">
        <v>60.6</v>
      </c>
      <c r="E10" s="93">
        <v>46.3</v>
      </c>
      <c r="F10" s="93">
        <v>37.799999999999997</v>
      </c>
      <c r="G10" s="93">
        <v>32.1</v>
      </c>
      <c r="H10" s="93">
        <v>28</v>
      </c>
      <c r="I10" s="93">
        <v>25</v>
      </c>
      <c r="J10" s="93">
        <v>22.7</v>
      </c>
      <c r="K10" s="93">
        <v>20.8</v>
      </c>
      <c r="L10" s="93">
        <v>19.2</v>
      </c>
      <c r="M10" s="93">
        <v>18</v>
      </c>
      <c r="N10" s="93">
        <v>16.899999999999999</v>
      </c>
      <c r="O10" s="93">
        <v>16</v>
      </c>
      <c r="P10" s="93">
        <v>15.2</v>
      </c>
      <c r="Q10" s="93">
        <v>14.5</v>
      </c>
      <c r="R10" s="93">
        <v>13.9</v>
      </c>
      <c r="S10" s="93">
        <v>13.3</v>
      </c>
      <c r="T10" s="93">
        <v>12.9</v>
      </c>
      <c r="U10" s="93">
        <v>12.4</v>
      </c>
      <c r="W10" s="92">
        <v>19</v>
      </c>
      <c r="X10" s="93">
        <v>162.5</v>
      </c>
      <c r="Y10" s="93">
        <v>82.9</v>
      </c>
      <c r="Z10" s="93">
        <v>56.3</v>
      </c>
      <c r="AA10" s="93">
        <v>43.1</v>
      </c>
      <c r="AB10" s="93">
        <v>35.1</v>
      </c>
      <c r="AC10" s="93">
        <v>29.9</v>
      </c>
      <c r="AD10" s="93">
        <v>26.1</v>
      </c>
      <c r="AE10" s="93">
        <v>23.3</v>
      </c>
      <c r="AF10" s="93">
        <v>21.1</v>
      </c>
      <c r="AG10" s="93">
        <v>19.3</v>
      </c>
      <c r="AH10" s="93">
        <v>17.899999999999999</v>
      </c>
      <c r="AI10" s="93">
        <v>16.7</v>
      </c>
      <c r="AJ10" s="93">
        <v>15.7</v>
      </c>
      <c r="AK10" s="93">
        <v>14.9</v>
      </c>
      <c r="AL10" s="93">
        <v>14.1</v>
      </c>
      <c r="AM10" s="93">
        <v>13.5</v>
      </c>
      <c r="AN10" s="93">
        <v>12.9</v>
      </c>
      <c r="AO10" s="93">
        <v>12.4</v>
      </c>
      <c r="AP10" s="93">
        <v>12</v>
      </c>
      <c r="AQ10" s="93">
        <v>11.6</v>
      </c>
    </row>
    <row r="11" spans="1:43" x14ac:dyDescent="0.25">
      <c r="A11" s="92">
        <v>20</v>
      </c>
      <c r="B11" s="93">
        <v>177.8</v>
      </c>
      <c r="C11" s="93">
        <v>90.7</v>
      </c>
      <c r="D11" s="93">
        <v>61.6</v>
      </c>
      <c r="E11" s="93">
        <v>47.1</v>
      </c>
      <c r="F11" s="93">
        <v>38.4</v>
      </c>
      <c r="G11" s="93">
        <v>32.700000000000003</v>
      </c>
      <c r="H11" s="93">
        <v>28.5</v>
      </c>
      <c r="I11" s="93">
        <v>25.4</v>
      </c>
      <c r="J11" s="93">
        <v>23.1</v>
      </c>
      <c r="K11" s="93">
        <v>21.1</v>
      </c>
      <c r="L11" s="93">
        <v>19.600000000000001</v>
      </c>
      <c r="M11" s="93">
        <v>18.3</v>
      </c>
      <c r="N11" s="93">
        <v>17.2</v>
      </c>
      <c r="O11" s="93">
        <v>16.3</v>
      </c>
      <c r="P11" s="93">
        <v>15.4</v>
      </c>
      <c r="Q11" s="93">
        <v>14.7</v>
      </c>
      <c r="R11" s="93">
        <v>14.1</v>
      </c>
      <c r="S11" s="93">
        <v>13.6</v>
      </c>
      <c r="T11" s="93">
        <v>13.1</v>
      </c>
      <c r="U11" s="93">
        <v>12.7</v>
      </c>
      <c r="W11" s="92">
        <v>20</v>
      </c>
      <c r="X11" s="93">
        <v>165.4</v>
      </c>
      <c r="Y11" s="93">
        <v>84.4</v>
      </c>
      <c r="Z11" s="93">
        <v>57.4</v>
      </c>
      <c r="AA11" s="93">
        <v>43.9</v>
      </c>
      <c r="AB11" s="93">
        <v>35.799999999999997</v>
      </c>
      <c r="AC11" s="93">
        <v>30.4</v>
      </c>
      <c r="AD11" s="93">
        <v>26.6</v>
      </c>
      <c r="AE11" s="93">
        <v>23.7</v>
      </c>
      <c r="AF11" s="93">
        <v>21.4</v>
      </c>
      <c r="AG11" s="93">
        <v>19.7</v>
      </c>
      <c r="AH11" s="93">
        <v>18.2</v>
      </c>
      <c r="AI11" s="93">
        <v>17</v>
      </c>
      <c r="AJ11" s="93">
        <v>16</v>
      </c>
      <c r="AK11" s="93">
        <v>15.1</v>
      </c>
      <c r="AL11" s="93">
        <v>14.4</v>
      </c>
      <c r="AM11" s="93">
        <v>13.7</v>
      </c>
      <c r="AN11" s="93">
        <v>13.1</v>
      </c>
      <c r="AO11" s="93">
        <v>12.6</v>
      </c>
      <c r="AP11" s="93">
        <v>12.2</v>
      </c>
      <c r="AQ11" s="93">
        <v>11.8</v>
      </c>
    </row>
    <row r="12" spans="1:43" x14ac:dyDescent="0.25">
      <c r="A12" s="92">
        <v>21</v>
      </c>
      <c r="B12" s="93">
        <v>180.9</v>
      </c>
      <c r="C12" s="93">
        <v>92.3</v>
      </c>
      <c r="D12" s="93">
        <v>62.7</v>
      </c>
      <c r="E12" s="93">
        <v>48</v>
      </c>
      <c r="F12" s="93">
        <v>39.1</v>
      </c>
      <c r="G12" s="93">
        <v>33.200000000000003</v>
      </c>
      <c r="H12" s="93">
        <v>29</v>
      </c>
      <c r="I12" s="93">
        <v>25.9</v>
      </c>
      <c r="J12" s="93">
        <v>23.5</v>
      </c>
      <c r="K12" s="93">
        <v>21.5</v>
      </c>
      <c r="L12" s="93">
        <v>19.899999999999999</v>
      </c>
      <c r="M12" s="93">
        <v>18.600000000000001</v>
      </c>
      <c r="N12" s="93">
        <v>17.5</v>
      </c>
      <c r="O12" s="93">
        <v>16.5</v>
      </c>
      <c r="P12" s="93">
        <v>15.7</v>
      </c>
      <c r="Q12" s="93">
        <v>15</v>
      </c>
      <c r="R12" s="93">
        <v>14.4</v>
      </c>
      <c r="S12" s="93">
        <v>13.8</v>
      </c>
      <c r="T12" s="93">
        <v>13.3</v>
      </c>
      <c r="U12" s="93">
        <v>12.9</v>
      </c>
      <c r="W12" s="92">
        <v>21</v>
      </c>
      <c r="X12" s="93">
        <v>168.3</v>
      </c>
      <c r="Y12" s="93">
        <v>85.9</v>
      </c>
      <c r="Z12" s="93">
        <v>58.4</v>
      </c>
      <c r="AA12" s="93">
        <v>44.6</v>
      </c>
      <c r="AB12" s="93">
        <v>36.4</v>
      </c>
      <c r="AC12" s="93">
        <v>30.9</v>
      </c>
      <c r="AD12" s="93">
        <v>27</v>
      </c>
      <c r="AE12" s="93">
        <v>24.1</v>
      </c>
      <c r="AF12" s="93">
        <v>21.8</v>
      </c>
      <c r="AG12" s="93">
        <v>20</v>
      </c>
      <c r="AH12" s="93">
        <v>18.5</v>
      </c>
      <c r="AI12" s="93">
        <v>17.3</v>
      </c>
      <c r="AJ12" s="93">
        <v>16.3</v>
      </c>
      <c r="AK12" s="93">
        <v>15.4</v>
      </c>
      <c r="AL12" s="93">
        <v>14.6</v>
      </c>
      <c r="AM12" s="93">
        <v>14</v>
      </c>
      <c r="AN12" s="93">
        <v>13.4</v>
      </c>
      <c r="AO12" s="93">
        <v>12.9</v>
      </c>
      <c r="AP12" s="93">
        <v>12.4</v>
      </c>
      <c r="AQ12" s="93">
        <v>12</v>
      </c>
    </row>
    <row r="13" spans="1:43" x14ac:dyDescent="0.25">
      <c r="A13" s="92">
        <v>22</v>
      </c>
      <c r="B13" s="93">
        <v>184.1</v>
      </c>
      <c r="C13" s="93">
        <v>93.9</v>
      </c>
      <c r="D13" s="93">
        <v>63.8</v>
      </c>
      <c r="E13" s="93">
        <v>48.8</v>
      </c>
      <c r="F13" s="93">
        <v>39.799999999999997</v>
      </c>
      <c r="G13" s="93">
        <v>33.799999999999997</v>
      </c>
      <c r="H13" s="93">
        <v>29.6</v>
      </c>
      <c r="I13" s="93">
        <v>26.4</v>
      </c>
      <c r="J13" s="93">
        <v>23.9</v>
      </c>
      <c r="K13" s="93">
        <v>21.9</v>
      </c>
      <c r="L13" s="93">
        <v>20.3</v>
      </c>
      <c r="M13" s="93">
        <v>18.899999999999999</v>
      </c>
      <c r="N13" s="93">
        <v>17.8</v>
      </c>
      <c r="O13" s="93">
        <v>16.8</v>
      </c>
      <c r="P13" s="93">
        <v>16</v>
      </c>
      <c r="Q13" s="93">
        <v>15.3</v>
      </c>
      <c r="R13" s="93">
        <v>14.6</v>
      </c>
      <c r="S13" s="93">
        <v>14.1</v>
      </c>
      <c r="T13" s="93">
        <v>13.6</v>
      </c>
      <c r="U13" s="93">
        <v>13.1</v>
      </c>
      <c r="W13" s="92">
        <v>22</v>
      </c>
      <c r="X13" s="93">
        <v>171.3</v>
      </c>
      <c r="Y13" s="93">
        <v>87.4</v>
      </c>
      <c r="Z13" s="93">
        <v>59.4</v>
      </c>
      <c r="AA13" s="93">
        <v>45.4</v>
      </c>
      <c r="AB13" s="93">
        <v>37.1</v>
      </c>
      <c r="AC13" s="93">
        <v>31.5</v>
      </c>
      <c r="AD13" s="93">
        <v>27.5</v>
      </c>
      <c r="AE13" s="93">
        <v>24.5</v>
      </c>
      <c r="AF13" s="93">
        <v>22.2</v>
      </c>
      <c r="AG13" s="93">
        <v>20.399999999999999</v>
      </c>
      <c r="AH13" s="93">
        <v>18.899999999999999</v>
      </c>
      <c r="AI13" s="93">
        <v>17.600000000000001</v>
      </c>
      <c r="AJ13" s="93">
        <v>16.600000000000001</v>
      </c>
      <c r="AK13" s="93">
        <v>15.7</v>
      </c>
      <c r="AL13" s="93">
        <v>14.9</v>
      </c>
      <c r="AM13" s="93">
        <v>14.2</v>
      </c>
      <c r="AN13" s="93">
        <v>13.6</v>
      </c>
      <c r="AO13" s="93">
        <v>13.1</v>
      </c>
      <c r="AP13" s="93">
        <v>12.6</v>
      </c>
      <c r="AQ13" s="93">
        <v>12.2</v>
      </c>
    </row>
    <row r="14" spans="1:43" x14ac:dyDescent="0.25">
      <c r="A14" s="92">
        <v>23</v>
      </c>
      <c r="B14" s="93">
        <v>187.3</v>
      </c>
      <c r="C14" s="93">
        <v>95.5</v>
      </c>
      <c r="D14" s="93">
        <v>64.900000000000006</v>
      </c>
      <c r="E14" s="93">
        <v>49.7</v>
      </c>
      <c r="F14" s="93">
        <v>40.5</v>
      </c>
      <c r="G14" s="93">
        <v>34.4</v>
      </c>
      <c r="H14" s="93">
        <v>30.1</v>
      </c>
      <c r="I14" s="93">
        <v>26.8</v>
      </c>
      <c r="J14" s="93">
        <v>24.3</v>
      </c>
      <c r="K14" s="93">
        <v>22.3</v>
      </c>
      <c r="L14" s="93">
        <v>20.6</v>
      </c>
      <c r="M14" s="93">
        <v>19.3</v>
      </c>
      <c r="N14" s="93">
        <v>18.100000000000001</v>
      </c>
      <c r="O14" s="93">
        <v>17.100000000000001</v>
      </c>
      <c r="P14" s="93">
        <v>16.3</v>
      </c>
      <c r="Q14" s="93">
        <v>15.5</v>
      </c>
      <c r="R14" s="93">
        <v>14.9</v>
      </c>
      <c r="S14" s="93">
        <v>14.3</v>
      </c>
      <c r="T14" s="93">
        <v>13.8</v>
      </c>
      <c r="U14" s="93">
        <v>13.3</v>
      </c>
      <c r="W14" s="92">
        <v>23</v>
      </c>
      <c r="X14" s="93">
        <v>174.4</v>
      </c>
      <c r="Y14" s="93">
        <v>88.9</v>
      </c>
      <c r="Z14" s="93">
        <v>60.5</v>
      </c>
      <c r="AA14" s="93">
        <v>46.2</v>
      </c>
      <c r="AB14" s="93">
        <v>37.700000000000003</v>
      </c>
      <c r="AC14" s="93">
        <v>32</v>
      </c>
      <c r="AD14" s="93">
        <v>28</v>
      </c>
      <c r="AE14" s="93">
        <v>25</v>
      </c>
      <c r="AF14" s="93">
        <v>22.6</v>
      </c>
      <c r="AG14" s="93">
        <v>20.7</v>
      </c>
      <c r="AH14" s="93">
        <v>19.2</v>
      </c>
      <c r="AI14" s="93">
        <v>17.899999999999999</v>
      </c>
      <c r="AJ14" s="93">
        <v>16.899999999999999</v>
      </c>
      <c r="AK14" s="93">
        <v>15.9</v>
      </c>
      <c r="AL14" s="93">
        <v>15.2</v>
      </c>
      <c r="AM14" s="93">
        <v>14.5</v>
      </c>
      <c r="AN14" s="93">
        <v>13.9</v>
      </c>
      <c r="AO14" s="93">
        <v>13.3</v>
      </c>
      <c r="AP14" s="93">
        <v>12.9</v>
      </c>
      <c r="AQ14" s="93">
        <v>12.4</v>
      </c>
    </row>
    <row r="15" spans="1:43" x14ac:dyDescent="0.25">
      <c r="A15" s="92">
        <v>24</v>
      </c>
      <c r="B15" s="93">
        <v>190.6</v>
      </c>
      <c r="C15" s="93">
        <v>97.2</v>
      </c>
      <c r="D15" s="93">
        <v>66.099999999999994</v>
      </c>
      <c r="E15" s="93">
        <v>50.5</v>
      </c>
      <c r="F15" s="93">
        <v>41.2</v>
      </c>
      <c r="G15" s="93">
        <v>35</v>
      </c>
      <c r="H15" s="93">
        <v>30.6</v>
      </c>
      <c r="I15" s="93">
        <v>27.3</v>
      </c>
      <c r="J15" s="93">
        <v>24.7</v>
      </c>
      <c r="K15" s="93">
        <v>22.7</v>
      </c>
      <c r="L15" s="93">
        <v>21</v>
      </c>
      <c r="M15" s="93">
        <v>19.600000000000001</v>
      </c>
      <c r="N15" s="93">
        <v>18.399999999999999</v>
      </c>
      <c r="O15" s="93">
        <v>17.399999999999999</v>
      </c>
      <c r="P15" s="93">
        <v>16.600000000000001</v>
      </c>
      <c r="Q15" s="93">
        <v>15.8</v>
      </c>
      <c r="R15" s="93">
        <v>15.2</v>
      </c>
      <c r="S15" s="93">
        <v>14.6</v>
      </c>
      <c r="T15" s="93">
        <v>14.1</v>
      </c>
      <c r="U15" s="93">
        <v>13.6</v>
      </c>
      <c r="W15" s="92">
        <v>24</v>
      </c>
      <c r="X15" s="93">
        <v>177.4</v>
      </c>
      <c r="Y15" s="93">
        <v>90.5</v>
      </c>
      <c r="Z15" s="93">
        <v>61.5</v>
      </c>
      <c r="AA15" s="93">
        <v>47.1</v>
      </c>
      <c r="AB15" s="93">
        <v>38.4</v>
      </c>
      <c r="AC15" s="93">
        <v>32.6</v>
      </c>
      <c r="AD15" s="93">
        <v>28.5</v>
      </c>
      <c r="AE15" s="93">
        <v>25.4</v>
      </c>
      <c r="AF15" s="93">
        <v>23</v>
      </c>
      <c r="AG15" s="93">
        <v>21.1</v>
      </c>
      <c r="AH15" s="93">
        <v>19.5</v>
      </c>
      <c r="AI15" s="93">
        <v>18.3</v>
      </c>
      <c r="AJ15" s="93">
        <v>17.2</v>
      </c>
      <c r="AK15" s="93">
        <v>16.2</v>
      </c>
      <c r="AL15" s="93">
        <v>15.4</v>
      </c>
      <c r="AM15" s="93">
        <v>14.7</v>
      </c>
      <c r="AN15" s="93">
        <v>14.1</v>
      </c>
      <c r="AO15" s="93">
        <v>13.6</v>
      </c>
      <c r="AP15" s="93">
        <v>13.1</v>
      </c>
      <c r="AQ15" s="93">
        <v>12.6</v>
      </c>
    </row>
    <row r="16" spans="1:43" x14ac:dyDescent="0.25">
      <c r="A16" s="92">
        <v>25</v>
      </c>
      <c r="B16" s="93">
        <v>193.9</v>
      </c>
      <c r="C16" s="93">
        <v>98.9</v>
      </c>
      <c r="D16" s="93">
        <v>67.2</v>
      </c>
      <c r="E16" s="93">
        <v>51.4</v>
      </c>
      <c r="F16" s="93">
        <v>41.9</v>
      </c>
      <c r="G16" s="93">
        <v>35.6</v>
      </c>
      <c r="H16" s="93">
        <v>31.1</v>
      </c>
      <c r="I16" s="93">
        <v>27.8</v>
      </c>
      <c r="J16" s="93">
        <v>25.2</v>
      </c>
      <c r="K16" s="93">
        <v>23.1</v>
      </c>
      <c r="L16" s="93">
        <v>21.4</v>
      </c>
      <c r="M16" s="93">
        <v>20</v>
      </c>
      <c r="N16" s="93">
        <v>18.8</v>
      </c>
      <c r="O16" s="93">
        <v>17.7</v>
      </c>
      <c r="P16" s="93">
        <v>16.899999999999999</v>
      </c>
      <c r="Q16" s="93">
        <v>16.100000000000001</v>
      </c>
      <c r="R16" s="93">
        <v>15.4</v>
      </c>
      <c r="S16" s="93">
        <v>14.8</v>
      </c>
      <c r="T16" s="93">
        <v>14.3</v>
      </c>
      <c r="U16" s="93">
        <v>13.8</v>
      </c>
      <c r="W16" s="92">
        <v>25</v>
      </c>
      <c r="X16" s="93">
        <v>180.6</v>
      </c>
      <c r="Y16" s="93">
        <v>92.1</v>
      </c>
      <c r="Z16" s="93">
        <v>62.6</v>
      </c>
      <c r="AA16" s="93">
        <v>47.9</v>
      </c>
      <c r="AB16" s="93">
        <v>39.1</v>
      </c>
      <c r="AC16" s="93">
        <v>33.200000000000003</v>
      </c>
      <c r="AD16" s="93">
        <v>29</v>
      </c>
      <c r="AE16" s="93">
        <v>25.9</v>
      </c>
      <c r="AF16" s="93">
        <v>23.4</v>
      </c>
      <c r="AG16" s="93">
        <v>21.5</v>
      </c>
      <c r="AH16" s="93">
        <v>19.899999999999999</v>
      </c>
      <c r="AI16" s="93">
        <v>18.600000000000001</v>
      </c>
      <c r="AJ16" s="93">
        <v>17.5</v>
      </c>
      <c r="AK16" s="93">
        <v>16.5</v>
      </c>
      <c r="AL16" s="93">
        <v>15.7</v>
      </c>
      <c r="AM16" s="93">
        <v>15</v>
      </c>
      <c r="AN16" s="93">
        <v>14.4</v>
      </c>
      <c r="AO16" s="93">
        <v>13.8</v>
      </c>
      <c r="AP16" s="93">
        <v>13.3</v>
      </c>
      <c r="AQ16" s="93">
        <v>12.9</v>
      </c>
    </row>
    <row r="17" spans="1:43" x14ac:dyDescent="0.25">
      <c r="A17" s="92">
        <v>26</v>
      </c>
      <c r="B17" s="93">
        <v>197.3</v>
      </c>
      <c r="C17" s="93">
        <v>100.6</v>
      </c>
      <c r="D17" s="93">
        <v>68.400000000000006</v>
      </c>
      <c r="E17" s="93">
        <v>52.3</v>
      </c>
      <c r="F17" s="93">
        <v>42.7</v>
      </c>
      <c r="G17" s="93">
        <v>36.299999999999997</v>
      </c>
      <c r="H17" s="93">
        <v>31.7</v>
      </c>
      <c r="I17" s="93">
        <v>28.3</v>
      </c>
      <c r="J17" s="93">
        <v>25.6</v>
      </c>
      <c r="K17" s="93">
        <v>23.5</v>
      </c>
      <c r="L17" s="93">
        <v>21.7</v>
      </c>
      <c r="M17" s="93">
        <v>20.3</v>
      </c>
      <c r="N17" s="93">
        <v>19.100000000000001</v>
      </c>
      <c r="O17" s="93">
        <v>18.100000000000001</v>
      </c>
      <c r="P17" s="93">
        <v>17.2</v>
      </c>
      <c r="Q17" s="93">
        <v>16.399999999999999</v>
      </c>
      <c r="R17" s="93">
        <v>15.7</v>
      </c>
      <c r="S17" s="93">
        <v>15.1</v>
      </c>
      <c r="T17" s="93">
        <v>14.6</v>
      </c>
      <c r="U17" s="93">
        <v>14.1</v>
      </c>
      <c r="W17" s="92">
        <v>26</v>
      </c>
      <c r="X17" s="93">
        <v>183.8</v>
      </c>
      <c r="Y17" s="93">
        <v>93.7</v>
      </c>
      <c r="Z17" s="93">
        <v>63.7</v>
      </c>
      <c r="AA17" s="93">
        <v>48.7</v>
      </c>
      <c r="AB17" s="93">
        <v>39.700000000000003</v>
      </c>
      <c r="AC17" s="93">
        <v>33.799999999999997</v>
      </c>
      <c r="AD17" s="93">
        <v>29.5</v>
      </c>
      <c r="AE17" s="93">
        <v>26.3</v>
      </c>
      <c r="AF17" s="93">
        <v>23.8</v>
      </c>
      <c r="AG17" s="93">
        <v>21.9</v>
      </c>
      <c r="AH17" s="93">
        <v>20.2</v>
      </c>
      <c r="AI17" s="93">
        <v>18.899999999999999</v>
      </c>
      <c r="AJ17" s="93">
        <v>17.8</v>
      </c>
      <c r="AK17" s="93">
        <v>16.8</v>
      </c>
      <c r="AL17" s="93">
        <v>16</v>
      </c>
      <c r="AM17" s="93">
        <v>15.3</v>
      </c>
      <c r="AN17" s="93">
        <v>14.6</v>
      </c>
      <c r="AO17" s="93">
        <v>14.1</v>
      </c>
      <c r="AP17" s="93">
        <v>13.6</v>
      </c>
      <c r="AQ17" s="93">
        <v>13.1</v>
      </c>
    </row>
    <row r="18" spans="1:43" x14ac:dyDescent="0.25">
      <c r="A18" s="92">
        <v>27</v>
      </c>
      <c r="B18" s="93">
        <v>200.8</v>
      </c>
      <c r="C18" s="93">
        <v>102.4</v>
      </c>
      <c r="D18" s="93">
        <v>69.599999999999994</v>
      </c>
      <c r="E18" s="93">
        <v>53.2</v>
      </c>
      <c r="F18" s="93">
        <v>43.4</v>
      </c>
      <c r="G18" s="93">
        <v>36.9</v>
      </c>
      <c r="H18" s="93">
        <v>32.200000000000003</v>
      </c>
      <c r="I18" s="93">
        <v>28.8</v>
      </c>
      <c r="J18" s="93">
        <v>26</v>
      </c>
      <c r="K18" s="93">
        <v>23.9</v>
      </c>
      <c r="L18" s="93">
        <v>22.1</v>
      </c>
      <c r="M18" s="93">
        <v>20.7</v>
      </c>
      <c r="N18" s="93">
        <v>19.399999999999999</v>
      </c>
      <c r="O18" s="93">
        <v>18.399999999999999</v>
      </c>
      <c r="P18" s="93">
        <v>17.5</v>
      </c>
      <c r="Q18" s="93">
        <v>16.7</v>
      </c>
      <c r="R18" s="93">
        <v>16</v>
      </c>
      <c r="S18" s="93">
        <v>15.4</v>
      </c>
      <c r="T18" s="93">
        <v>14.8</v>
      </c>
      <c r="U18" s="93">
        <v>14.3</v>
      </c>
      <c r="W18" s="92">
        <v>27</v>
      </c>
      <c r="X18" s="93">
        <v>187</v>
      </c>
      <c r="Y18" s="93">
        <v>95.4</v>
      </c>
      <c r="Z18" s="93">
        <v>64.8</v>
      </c>
      <c r="AA18" s="93">
        <v>49.6</v>
      </c>
      <c r="AB18" s="93">
        <v>40.4</v>
      </c>
      <c r="AC18" s="93">
        <v>34.4</v>
      </c>
      <c r="AD18" s="93">
        <v>30</v>
      </c>
      <c r="AE18" s="93">
        <v>26.8</v>
      </c>
      <c r="AF18" s="93">
        <v>24.3</v>
      </c>
      <c r="AG18" s="93">
        <v>22.2</v>
      </c>
      <c r="AH18" s="93">
        <v>20.6</v>
      </c>
      <c r="AI18" s="93">
        <v>19.2</v>
      </c>
      <c r="AJ18" s="93">
        <v>18.100000000000001</v>
      </c>
      <c r="AK18" s="93">
        <v>17.100000000000001</v>
      </c>
      <c r="AL18" s="93">
        <v>16.3</v>
      </c>
      <c r="AM18" s="93">
        <v>15.5</v>
      </c>
      <c r="AN18" s="93">
        <v>14.9</v>
      </c>
      <c r="AO18" s="93">
        <v>14.3</v>
      </c>
      <c r="AP18" s="93">
        <v>13.8</v>
      </c>
      <c r="AQ18" s="93">
        <v>13.3</v>
      </c>
    </row>
    <row r="19" spans="1:43" x14ac:dyDescent="0.25">
      <c r="A19" s="92">
        <v>28</v>
      </c>
      <c r="B19" s="93">
        <v>204.3</v>
      </c>
      <c r="C19" s="93">
        <v>104.2</v>
      </c>
      <c r="D19" s="93">
        <v>70.8</v>
      </c>
      <c r="E19" s="93">
        <v>54.2</v>
      </c>
      <c r="F19" s="93">
        <v>44.2</v>
      </c>
      <c r="G19" s="93">
        <v>37.5</v>
      </c>
      <c r="H19" s="93">
        <v>32.799999999999997</v>
      </c>
      <c r="I19" s="93">
        <v>29.3</v>
      </c>
      <c r="J19" s="93">
        <v>26.5</v>
      </c>
      <c r="K19" s="93">
        <v>24.3</v>
      </c>
      <c r="L19" s="93">
        <v>22.5</v>
      </c>
      <c r="M19" s="93">
        <v>21</v>
      </c>
      <c r="N19" s="93">
        <v>19.8</v>
      </c>
      <c r="O19" s="93">
        <v>18.7</v>
      </c>
      <c r="P19" s="93">
        <v>17.8</v>
      </c>
      <c r="Q19" s="93">
        <v>17</v>
      </c>
      <c r="R19" s="93">
        <v>16.3</v>
      </c>
      <c r="S19" s="93">
        <v>15.6</v>
      </c>
      <c r="T19" s="93">
        <v>15.1</v>
      </c>
      <c r="U19" s="93">
        <v>14.6</v>
      </c>
      <c r="W19" s="92">
        <v>28</v>
      </c>
      <c r="X19" s="93">
        <v>190.3</v>
      </c>
      <c r="Y19" s="93">
        <v>97</v>
      </c>
      <c r="Z19" s="93">
        <v>66</v>
      </c>
      <c r="AA19" s="93">
        <v>50.5</v>
      </c>
      <c r="AB19" s="93">
        <v>41.2</v>
      </c>
      <c r="AC19" s="93">
        <v>35</v>
      </c>
      <c r="AD19" s="93">
        <v>30.6</v>
      </c>
      <c r="AE19" s="93">
        <v>27.3</v>
      </c>
      <c r="AF19" s="93">
        <v>24.7</v>
      </c>
      <c r="AG19" s="93">
        <v>22.6</v>
      </c>
      <c r="AH19" s="93">
        <v>21</v>
      </c>
      <c r="AI19" s="93">
        <v>19.600000000000001</v>
      </c>
      <c r="AJ19" s="93">
        <v>18.399999999999999</v>
      </c>
      <c r="AK19" s="93">
        <v>17.399999999999999</v>
      </c>
      <c r="AL19" s="93">
        <v>16.600000000000001</v>
      </c>
      <c r="AM19" s="93">
        <v>15.8</v>
      </c>
      <c r="AN19" s="93">
        <v>15.1</v>
      </c>
      <c r="AO19" s="93">
        <v>14.6</v>
      </c>
      <c r="AP19" s="93">
        <v>14</v>
      </c>
      <c r="AQ19" s="93">
        <v>13.6</v>
      </c>
    </row>
    <row r="20" spans="1:43" x14ac:dyDescent="0.25">
      <c r="A20" s="92">
        <v>29</v>
      </c>
      <c r="B20" s="93">
        <v>207.8</v>
      </c>
      <c r="C20" s="93">
        <v>106</v>
      </c>
      <c r="D20" s="93">
        <v>72.099999999999994</v>
      </c>
      <c r="E20" s="93">
        <v>55.1</v>
      </c>
      <c r="F20" s="93">
        <v>45</v>
      </c>
      <c r="G20" s="93">
        <v>38.200000000000003</v>
      </c>
      <c r="H20" s="93">
        <v>33.4</v>
      </c>
      <c r="I20" s="93">
        <v>29.8</v>
      </c>
      <c r="J20" s="93">
        <v>27</v>
      </c>
      <c r="K20" s="93">
        <v>24.7</v>
      </c>
      <c r="L20" s="93">
        <v>22.9</v>
      </c>
      <c r="M20" s="93">
        <v>21.4</v>
      </c>
      <c r="N20" s="93">
        <v>20.100000000000001</v>
      </c>
      <c r="O20" s="93">
        <v>19</v>
      </c>
      <c r="P20" s="93">
        <v>18.100000000000001</v>
      </c>
      <c r="Q20" s="93">
        <v>17.3</v>
      </c>
      <c r="R20" s="93">
        <v>16.600000000000001</v>
      </c>
      <c r="S20" s="93">
        <v>15.9</v>
      </c>
      <c r="T20" s="93">
        <v>15.3</v>
      </c>
      <c r="U20" s="93">
        <v>14.8</v>
      </c>
      <c r="W20" s="92">
        <v>29</v>
      </c>
      <c r="X20" s="93">
        <v>193.6</v>
      </c>
      <c r="Y20" s="93">
        <v>98.7</v>
      </c>
      <c r="Z20" s="93">
        <v>67.099999999999994</v>
      </c>
      <c r="AA20" s="93">
        <v>51.3</v>
      </c>
      <c r="AB20" s="93">
        <v>41.9</v>
      </c>
      <c r="AC20" s="93">
        <v>35.6</v>
      </c>
      <c r="AD20" s="93">
        <v>31.1</v>
      </c>
      <c r="AE20" s="93">
        <v>27.7</v>
      </c>
      <c r="AF20" s="93">
        <v>25.1</v>
      </c>
      <c r="AG20" s="93">
        <v>23</v>
      </c>
      <c r="AH20" s="93">
        <v>21.3</v>
      </c>
      <c r="AI20" s="93">
        <v>19.899999999999999</v>
      </c>
      <c r="AJ20" s="93">
        <v>18.7</v>
      </c>
      <c r="AK20" s="93">
        <v>17.7</v>
      </c>
      <c r="AL20" s="93">
        <v>16.899999999999999</v>
      </c>
      <c r="AM20" s="93">
        <v>16.100000000000001</v>
      </c>
      <c r="AN20" s="93">
        <v>15.4</v>
      </c>
      <c r="AO20" s="93">
        <v>14.8</v>
      </c>
      <c r="AP20" s="93">
        <v>14.3</v>
      </c>
      <c r="AQ20" s="93">
        <v>13.8</v>
      </c>
    </row>
    <row r="21" spans="1:43" x14ac:dyDescent="0.25">
      <c r="A21" s="92">
        <v>30</v>
      </c>
      <c r="B21" s="93">
        <v>211.4</v>
      </c>
      <c r="C21" s="93">
        <v>107.8</v>
      </c>
      <c r="D21" s="93">
        <v>73.3</v>
      </c>
      <c r="E21" s="93">
        <v>56.1</v>
      </c>
      <c r="F21" s="93">
        <v>45.7</v>
      </c>
      <c r="G21" s="93">
        <v>38.9</v>
      </c>
      <c r="H21" s="93">
        <v>34</v>
      </c>
      <c r="I21" s="93">
        <v>30.3</v>
      </c>
      <c r="J21" s="93">
        <v>27.4</v>
      </c>
      <c r="K21" s="93">
        <v>25.2</v>
      </c>
      <c r="L21" s="93">
        <v>23.3</v>
      </c>
      <c r="M21" s="93">
        <v>21.8</v>
      </c>
      <c r="N21" s="93">
        <v>20.5</v>
      </c>
      <c r="O21" s="93">
        <v>19.399999999999999</v>
      </c>
      <c r="P21" s="93">
        <v>18.399999999999999</v>
      </c>
      <c r="Q21" s="93">
        <v>17.600000000000001</v>
      </c>
      <c r="R21" s="93">
        <v>16.8</v>
      </c>
      <c r="S21" s="93">
        <v>16.2</v>
      </c>
      <c r="T21" s="93">
        <v>15.6</v>
      </c>
      <c r="U21" s="93">
        <v>15.1</v>
      </c>
      <c r="W21" s="92">
        <v>30</v>
      </c>
      <c r="X21" s="93">
        <v>197</v>
      </c>
      <c r="Y21" s="93">
        <v>100.5</v>
      </c>
      <c r="Z21" s="93">
        <v>68.3</v>
      </c>
      <c r="AA21" s="93">
        <v>52.2</v>
      </c>
      <c r="AB21" s="93">
        <v>42.6</v>
      </c>
      <c r="AC21" s="93">
        <v>36.200000000000003</v>
      </c>
      <c r="AD21" s="93">
        <v>31.6</v>
      </c>
      <c r="AE21" s="93">
        <v>28.2</v>
      </c>
      <c r="AF21" s="93">
        <v>25.6</v>
      </c>
      <c r="AG21" s="93">
        <v>23.4</v>
      </c>
      <c r="AH21" s="93">
        <v>21.7</v>
      </c>
      <c r="AI21" s="93">
        <v>20.3</v>
      </c>
      <c r="AJ21" s="93">
        <v>19.100000000000001</v>
      </c>
      <c r="AK21" s="93">
        <v>18</v>
      </c>
      <c r="AL21" s="93">
        <v>17.2</v>
      </c>
      <c r="AM21" s="93">
        <v>16.399999999999999</v>
      </c>
      <c r="AN21" s="93">
        <v>15.7</v>
      </c>
      <c r="AO21" s="93">
        <v>15.1</v>
      </c>
      <c r="AP21" s="93">
        <v>14.6</v>
      </c>
      <c r="AQ21" s="93">
        <v>14.1</v>
      </c>
    </row>
    <row r="22" spans="1:43" x14ac:dyDescent="0.25">
      <c r="A22" s="92">
        <v>31</v>
      </c>
      <c r="B22" s="93">
        <v>215.1</v>
      </c>
      <c r="C22" s="93">
        <v>109.7</v>
      </c>
      <c r="D22" s="93">
        <v>74.599999999999994</v>
      </c>
      <c r="E22" s="93">
        <v>57.1</v>
      </c>
      <c r="F22" s="93">
        <v>46.5</v>
      </c>
      <c r="G22" s="93">
        <v>39.5</v>
      </c>
      <c r="H22" s="93">
        <v>34.6</v>
      </c>
      <c r="I22" s="93">
        <v>30.8</v>
      </c>
      <c r="J22" s="93">
        <v>27.9</v>
      </c>
      <c r="K22" s="93">
        <v>25.6</v>
      </c>
      <c r="L22" s="93">
        <v>23.7</v>
      </c>
      <c r="M22" s="93">
        <v>22.2</v>
      </c>
      <c r="N22" s="93">
        <v>20.8</v>
      </c>
      <c r="O22" s="93">
        <v>19.7</v>
      </c>
      <c r="P22" s="93">
        <v>18.7</v>
      </c>
      <c r="Q22" s="93">
        <v>17.899999999999999</v>
      </c>
      <c r="R22" s="93">
        <v>17.100000000000001</v>
      </c>
      <c r="S22" s="93">
        <v>16.5</v>
      </c>
      <c r="T22" s="93">
        <v>15.9</v>
      </c>
      <c r="U22" s="93">
        <v>15.4</v>
      </c>
      <c r="W22" s="92">
        <v>31</v>
      </c>
      <c r="X22" s="93">
        <v>200.4</v>
      </c>
      <c r="Y22" s="93">
        <v>102.2</v>
      </c>
      <c r="Z22" s="93">
        <v>69.5</v>
      </c>
      <c r="AA22" s="93">
        <v>53.2</v>
      </c>
      <c r="AB22" s="93">
        <v>43.4</v>
      </c>
      <c r="AC22" s="93">
        <v>36.799999999999997</v>
      </c>
      <c r="AD22" s="93">
        <v>32.200000000000003</v>
      </c>
      <c r="AE22" s="93">
        <v>28.7</v>
      </c>
      <c r="AF22" s="93">
        <v>26</v>
      </c>
      <c r="AG22" s="93">
        <v>23.9</v>
      </c>
      <c r="AH22" s="93">
        <v>22.1</v>
      </c>
      <c r="AI22" s="93">
        <v>20.6</v>
      </c>
      <c r="AJ22" s="93">
        <v>19.399999999999999</v>
      </c>
      <c r="AK22" s="93">
        <v>18.399999999999999</v>
      </c>
      <c r="AL22" s="93">
        <v>17.5</v>
      </c>
      <c r="AM22" s="93">
        <v>16.7</v>
      </c>
      <c r="AN22" s="93">
        <v>16</v>
      </c>
      <c r="AO22" s="93">
        <v>15.4</v>
      </c>
      <c r="AP22" s="93">
        <v>14.8</v>
      </c>
      <c r="AQ22" s="93">
        <v>14.3</v>
      </c>
    </row>
    <row r="23" spans="1:43" x14ac:dyDescent="0.25">
      <c r="A23" s="92">
        <v>32</v>
      </c>
      <c r="B23" s="93">
        <v>218.8</v>
      </c>
      <c r="C23" s="93">
        <v>111.6</v>
      </c>
      <c r="D23" s="93">
        <v>75.900000000000006</v>
      </c>
      <c r="E23" s="93">
        <v>58</v>
      </c>
      <c r="F23" s="93">
        <v>47.3</v>
      </c>
      <c r="G23" s="93">
        <v>40.200000000000003</v>
      </c>
      <c r="H23" s="93">
        <v>35.200000000000003</v>
      </c>
      <c r="I23" s="93">
        <v>31.4</v>
      </c>
      <c r="J23" s="93">
        <v>28.4</v>
      </c>
      <c r="K23" s="93">
        <v>26.1</v>
      </c>
      <c r="L23" s="93">
        <v>24.1</v>
      </c>
      <c r="M23" s="93">
        <v>22.5</v>
      </c>
      <c r="N23" s="93">
        <v>21.2</v>
      </c>
      <c r="O23" s="93">
        <v>20.100000000000001</v>
      </c>
      <c r="P23" s="93">
        <v>19.100000000000001</v>
      </c>
      <c r="Q23" s="93">
        <v>18.2</v>
      </c>
      <c r="R23" s="93">
        <v>17.5</v>
      </c>
      <c r="S23" s="93">
        <v>16.8</v>
      </c>
      <c r="T23" s="93">
        <v>16.2</v>
      </c>
      <c r="U23" s="93">
        <v>15.7</v>
      </c>
      <c r="W23" s="92">
        <v>32</v>
      </c>
      <c r="X23" s="93">
        <v>203.9</v>
      </c>
      <c r="Y23" s="93">
        <v>104</v>
      </c>
      <c r="Z23" s="93">
        <v>70.7</v>
      </c>
      <c r="AA23" s="93">
        <v>54.1</v>
      </c>
      <c r="AB23" s="93">
        <v>44.1</v>
      </c>
      <c r="AC23" s="93">
        <v>37.5</v>
      </c>
      <c r="AD23" s="93">
        <v>32.799999999999997</v>
      </c>
      <c r="AE23" s="93">
        <v>29.2</v>
      </c>
      <c r="AF23" s="93">
        <v>26.5</v>
      </c>
      <c r="AG23" s="93">
        <v>24.3</v>
      </c>
      <c r="AH23" s="93">
        <v>22.5</v>
      </c>
      <c r="AI23" s="93">
        <v>21</v>
      </c>
      <c r="AJ23" s="93">
        <v>19.8</v>
      </c>
      <c r="AK23" s="93">
        <v>18.7</v>
      </c>
      <c r="AL23" s="93">
        <v>17.8</v>
      </c>
      <c r="AM23" s="93">
        <v>17</v>
      </c>
      <c r="AN23" s="93">
        <v>16.3</v>
      </c>
      <c r="AO23" s="93">
        <v>15.6</v>
      </c>
      <c r="AP23" s="93">
        <v>15.1</v>
      </c>
      <c r="AQ23" s="93">
        <v>14.6</v>
      </c>
    </row>
    <row r="24" spans="1:43" x14ac:dyDescent="0.25">
      <c r="A24" s="92">
        <v>33</v>
      </c>
      <c r="B24" s="93">
        <v>222.6</v>
      </c>
      <c r="C24" s="93">
        <v>113.5</v>
      </c>
      <c r="D24" s="93">
        <v>77.2</v>
      </c>
      <c r="E24" s="93">
        <v>59</v>
      </c>
      <c r="F24" s="93">
        <v>48.2</v>
      </c>
      <c r="G24" s="93">
        <v>40.9</v>
      </c>
      <c r="H24" s="93">
        <v>35.799999999999997</v>
      </c>
      <c r="I24" s="93">
        <v>31.9</v>
      </c>
      <c r="J24" s="93">
        <v>28.9</v>
      </c>
      <c r="K24" s="93">
        <v>26.5</v>
      </c>
      <c r="L24" s="93">
        <v>24.6</v>
      </c>
      <c r="M24" s="93">
        <v>22.9</v>
      </c>
      <c r="N24" s="93">
        <v>21.6</v>
      </c>
      <c r="O24" s="93">
        <v>20.399999999999999</v>
      </c>
      <c r="P24" s="93">
        <v>19.399999999999999</v>
      </c>
      <c r="Q24" s="93">
        <v>18.5</v>
      </c>
      <c r="R24" s="93">
        <v>17.8</v>
      </c>
      <c r="S24" s="93">
        <v>17.100000000000001</v>
      </c>
      <c r="T24" s="93">
        <v>16.5</v>
      </c>
      <c r="U24" s="93">
        <v>15.9</v>
      </c>
      <c r="W24" s="92">
        <v>33</v>
      </c>
      <c r="X24" s="93">
        <v>207.4</v>
      </c>
      <c r="Y24" s="93">
        <v>105.8</v>
      </c>
      <c r="Z24" s="93">
        <v>71.900000000000006</v>
      </c>
      <c r="AA24" s="93">
        <v>55</v>
      </c>
      <c r="AB24" s="93">
        <v>44.9</v>
      </c>
      <c r="AC24" s="93">
        <v>38.1</v>
      </c>
      <c r="AD24" s="93">
        <v>33.299999999999997</v>
      </c>
      <c r="AE24" s="93">
        <v>29.7</v>
      </c>
      <c r="AF24" s="93">
        <v>26.9</v>
      </c>
      <c r="AG24" s="93">
        <v>24.7</v>
      </c>
      <c r="AH24" s="93">
        <v>22.9</v>
      </c>
      <c r="AI24" s="93">
        <v>21.4</v>
      </c>
      <c r="AJ24" s="93">
        <v>20.100000000000001</v>
      </c>
      <c r="AK24" s="93">
        <v>19</v>
      </c>
      <c r="AL24" s="93">
        <v>18.100000000000001</v>
      </c>
      <c r="AM24" s="93">
        <v>17.3</v>
      </c>
      <c r="AN24" s="93">
        <v>16.600000000000001</v>
      </c>
      <c r="AO24" s="93">
        <v>15.9</v>
      </c>
      <c r="AP24" s="93">
        <v>15.4</v>
      </c>
      <c r="AQ24" s="93">
        <v>14.9</v>
      </c>
    </row>
    <row r="25" spans="1:43" x14ac:dyDescent="0.25">
      <c r="A25" s="92">
        <v>34</v>
      </c>
      <c r="B25" s="93">
        <v>226.4</v>
      </c>
      <c r="C25" s="93">
        <v>115.5</v>
      </c>
      <c r="D25" s="93">
        <v>78.5</v>
      </c>
      <c r="E25" s="93">
        <v>60.1</v>
      </c>
      <c r="F25" s="93">
        <v>49</v>
      </c>
      <c r="G25" s="93">
        <v>41.6</v>
      </c>
      <c r="H25" s="93">
        <v>36.4</v>
      </c>
      <c r="I25" s="93">
        <v>32.5</v>
      </c>
      <c r="J25" s="93">
        <v>29.4</v>
      </c>
      <c r="K25" s="93">
        <v>27</v>
      </c>
      <c r="L25" s="93">
        <v>25</v>
      </c>
      <c r="M25" s="93">
        <v>23.3</v>
      </c>
      <c r="N25" s="93">
        <v>22</v>
      </c>
      <c r="O25" s="93">
        <v>20.8</v>
      </c>
      <c r="P25" s="93">
        <v>19.7</v>
      </c>
      <c r="Q25" s="93">
        <v>18.899999999999999</v>
      </c>
      <c r="R25" s="93">
        <v>18.100000000000001</v>
      </c>
      <c r="S25" s="93">
        <v>17.399999999999999</v>
      </c>
      <c r="T25" s="93">
        <v>16.8</v>
      </c>
      <c r="U25" s="93">
        <v>16.2</v>
      </c>
      <c r="W25" s="92">
        <v>34</v>
      </c>
      <c r="X25" s="93">
        <v>211</v>
      </c>
      <c r="Y25" s="93">
        <v>107.6</v>
      </c>
      <c r="Z25" s="93">
        <v>73.2</v>
      </c>
      <c r="AA25" s="93">
        <v>56</v>
      </c>
      <c r="AB25" s="93">
        <v>45.7</v>
      </c>
      <c r="AC25" s="93">
        <v>38.799999999999997</v>
      </c>
      <c r="AD25" s="93">
        <v>33.9</v>
      </c>
      <c r="AE25" s="93">
        <v>30.3</v>
      </c>
      <c r="AF25" s="93">
        <v>27.4</v>
      </c>
      <c r="AG25" s="93">
        <v>25.1</v>
      </c>
      <c r="AH25" s="93">
        <v>23.3</v>
      </c>
      <c r="AI25" s="93">
        <v>21.8</v>
      </c>
      <c r="AJ25" s="93">
        <v>20.5</v>
      </c>
      <c r="AK25" s="93">
        <v>19.399999999999999</v>
      </c>
      <c r="AL25" s="93">
        <v>18.399999999999999</v>
      </c>
      <c r="AM25" s="93">
        <v>17.600000000000001</v>
      </c>
      <c r="AN25" s="93">
        <v>16.899999999999999</v>
      </c>
      <c r="AO25" s="93">
        <v>16.2</v>
      </c>
      <c r="AP25" s="93">
        <v>15.6</v>
      </c>
      <c r="AQ25" s="93">
        <v>15.1</v>
      </c>
    </row>
    <row r="26" spans="1:43" x14ac:dyDescent="0.25">
      <c r="A26" s="92">
        <v>35</v>
      </c>
      <c r="B26" s="93">
        <v>230.3</v>
      </c>
      <c r="C26" s="93">
        <v>117.5</v>
      </c>
      <c r="D26" s="93">
        <v>79.900000000000006</v>
      </c>
      <c r="E26" s="93">
        <v>61.1</v>
      </c>
      <c r="F26" s="93">
        <v>49.9</v>
      </c>
      <c r="G26" s="93">
        <v>42.4</v>
      </c>
      <c r="H26" s="93">
        <v>37</v>
      </c>
      <c r="I26" s="93">
        <v>33</v>
      </c>
      <c r="J26" s="93">
        <v>29.9</v>
      </c>
      <c r="K26" s="93">
        <v>27.4</v>
      </c>
      <c r="L26" s="93">
        <v>25.4</v>
      </c>
      <c r="M26" s="93">
        <v>23.8</v>
      </c>
      <c r="N26" s="93">
        <v>22.3</v>
      </c>
      <c r="O26" s="93">
        <v>21.1</v>
      </c>
      <c r="P26" s="93">
        <v>20.100000000000001</v>
      </c>
      <c r="Q26" s="93">
        <v>19.2</v>
      </c>
      <c r="R26" s="93">
        <v>18.399999999999999</v>
      </c>
      <c r="S26" s="93">
        <v>17.7</v>
      </c>
      <c r="T26" s="93">
        <v>17.100000000000001</v>
      </c>
      <c r="U26" s="93">
        <v>16.5</v>
      </c>
      <c r="W26" s="92">
        <v>35</v>
      </c>
      <c r="X26" s="93">
        <v>214.7</v>
      </c>
      <c r="Y26" s="93">
        <v>109.5</v>
      </c>
      <c r="Z26" s="93">
        <v>74.5</v>
      </c>
      <c r="AA26" s="93">
        <v>57</v>
      </c>
      <c r="AB26" s="93">
        <v>46.5</v>
      </c>
      <c r="AC26" s="93">
        <v>39.5</v>
      </c>
      <c r="AD26" s="93">
        <v>34.5</v>
      </c>
      <c r="AE26" s="93">
        <v>30.8</v>
      </c>
      <c r="AF26" s="93">
        <v>27.9</v>
      </c>
      <c r="AG26" s="93">
        <v>25.6</v>
      </c>
      <c r="AH26" s="93">
        <v>23.7</v>
      </c>
      <c r="AI26" s="93">
        <v>22.2</v>
      </c>
      <c r="AJ26" s="93">
        <v>20.8</v>
      </c>
      <c r="AK26" s="93">
        <v>19.7</v>
      </c>
      <c r="AL26" s="93">
        <v>18.7</v>
      </c>
      <c r="AM26" s="93">
        <v>17.899999999999999</v>
      </c>
      <c r="AN26" s="93">
        <v>17.2</v>
      </c>
      <c r="AO26" s="93">
        <v>16.5</v>
      </c>
      <c r="AP26" s="93">
        <v>15.9</v>
      </c>
      <c r="AQ26" s="93">
        <v>15.4</v>
      </c>
    </row>
    <row r="27" spans="1:43" x14ac:dyDescent="0.25">
      <c r="A27" s="92">
        <v>36</v>
      </c>
      <c r="B27" s="93">
        <v>234.2</v>
      </c>
      <c r="C27" s="93">
        <v>119.5</v>
      </c>
      <c r="D27" s="93">
        <v>81.3</v>
      </c>
      <c r="E27" s="93">
        <v>62.2</v>
      </c>
      <c r="F27" s="93">
        <v>50.7</v>
      </c>
      <c r="G27" s="93">
        <v>43.1</v>
      </c>
      <c r="H27" s="93">
        <v>37.700000000000003</v>
      </c>
      <c r="I27" s="93">
        <v>33.6</v>
      </c>
      <c r="J27" s="93">
        <v>30.4</v>
      </c>
      <c r="K27" s="93">
        <v>27.9</v>
      </c>
      <c r="L27" s="93">
        <v>25.9</v>
      </c>
      <c r="M27" s="93">
        <v>24.2</v>
      </c>
      <c r="N27" s="93">
        <v>22.7</v>
      </c>
      <c r="O27" s="93">
        <v>21.5</v>
      </c>
      <c r="P27" s="93">
        <v>20.5</v>
      </c>
      <c r="Q27" s="93">
        <v>19.5</v>
      </c>
      <c r="R27" s="93">
        <v>18.7</v>
      </c>
      <c r="S27" s="93">
        <v>18</v>
      </c>
      <c r="T27" s="93">
        <v>17.399999999999999</v>
      </c>
      <c r="U27" s="93">
        <v>16.8</v>
      </c>
      <c r="W27" s="92">
        <v>36</v>
      </c>
      <c r="X27" s="93">
        <v>218.4</v>
      </c>
      <c r="Y27" s="93">
        <v>111.4</v>
      </c>
      <c r="Z27" s="93">
        <v>75.8</v>
      </c>
      <c r="AA27" s="93">
        <v>58</v>
      </c>
      <c r="AB27" s="93">
        <v>47.3</v>
      </c>
      <c r="AC27" s="93">
        <v>40.200000000000003</v>
      </c>
      <c r="AD27" s="93">
        <v>35.1</v>
      </c>
      <c r="AE27" s="93">
        <v>31.3</v>
      </c>
      <c r="AF27" s="93">
        <v>28.4</v>
      </c>
      <c r="AG27" s="93">
        <v>26</v>
      </c>
      <c r="AH27" s="93">
        <v>24.1</v>
      </c>
      <c r="AI27" s="93">
        <v>22.5</v>
      </c>
      <c r="AJ27" s="93">
        <v>21.2</v>
      </c>
      <c r="AK27" s="93">
        <v>20.100000000000001</v>
      </c>
      <c r="AL27" s="93">
        <v>19.100000000000001</v>
      </c>
      <c r="AM27" s="93">
        <v>18.2</v>
      </c>
      <c r="AN27" s="93">
        <v>17.5</v>
      </c>
      <c r="AO27" s="93">
        <v>16.8</v>
      </c>
      <c r="AP27" s="93">
        <v>16.2</v>
      </c>
      <c r="AQ27" s="93">
        <v>15.7</v>
      </c>
    </row>
    <row r="28" spans="1:43" x14ac:dyDescent="0.25">
      <c r="A28" s="92">
        <v>37</v>
      </c>
      <c r="B28" s="93">
        <v>238.2</v>
      </c>
      <c r="C28" s="93">
        <v>121.5</v>
      </c>
      <c r="D28" s="93">
        <v>82.7</v>
      </c>
      <c r="E28" s="93">
        <v>63.2</v>
      </c>
      <c r="F28" s="93">
        <v>51.6</v>
      </c>
      <c r="G28" s="93">
        <v>43.8</v>
      </c>
      <c r="H28" s="93">
        <v>38.299999999999997</v>
      </c>
      <c r="I28" s="93">
        <v>34.200000000000003</v>
      </c>
      <c r="J28" s="93">
        <v>31</v>
      </c>
      <c r="K28" s="93">
        <v>28.4</v>
      </c>
      <c r="L28" s="93">
        <v>26.3</v>
      </c>
      <c r="M28" s="93">
        <v>24.6</v>
      </c>
      <c r="N28" s="93">
        <v>23.1</v>
      </c>
      <c r="O28" s="93">
        <v>21.9</v>
      </c>
      <c r="P28" s="93">
        <v>20.8</v>
      </c>
      <c r="Q28" s="93">
        <v>19.899999999999999</v>
      </c>
      <c r="R28" s="93">
        <v>19.100000000000001</v>
      </c>
      <c r="S28" s="93">
        <v>18.3</v>
      </c>
      <c r="T28" s="93">
        <v>17.7</v>
      </c>
      <c r="U28" s="93">
        <v>17.100000000000001</v>
      </c>
      <c r="W28" s="92">
        <v>37</v>
      </c>
      <c r="X28" s="93">
        <v>222.2</v>
      </c>
      <c r="Y28" s="93">
        <v>113.4</v>
      </c>
      <c r="Z28" s="93">
        <v>77.099999999999994</v>
      </c>
      <c r="AA28" s="93">
        <v>59</v>
      </c>
      <c r="AB28" s="93">
        <v>48.1</v>
      </c>
      <c r="AC28" s="93">
        <v>40.9</v>
      </c>
      <c r="AD28" s="93">
        <v>35.700000000000003</v>
      </c>
      <c r="AE28" s="93">
        <v>31.9</v>
      </c>
      <c r="AF28" s="93">
        <v>28.9</v>
      </c>
      <c r="AG28" s="93">
        <v>26.5</v>
      </c>
      <c r="AH28" s="93">
        <v>24.6</v>
      </c>
      <c r="AI28" s="93">
        <v>22.9</v>
      </c>
      <c r="AJ28" s="93">
        <v>21.6</v>
      </c>
      <c r="AK28" s="93">
        <v>20.399999999999999</v>
      </c>
      <c r="AL28" s="93">
        <v>19.399999999999999</v>
      </c>
      <c r="AM28" s="93">
        <v>18.5</v>
      </c>
      <c r="AN28" s="93">
        <v>17.8</v>
      </c>
      <c r="AO28" s="93">
        <v>17.100000000000001</v>
      </c>
      <c r="AP28" s="93">
        <v>16.5</v>
      </c>
      <c r="AQ28" s="93">
        <v>16</v>
      </c>
    </row>
    <row r="29" spans="1:43" x14ac:dyDescent="0.25">
      <c r="A29" s="92">
        <v>38</v>
      </c>
      <c r="B29" s="93">
        <v>242.3</v>
      </c>
      <c r="C29" s="93">
        <v>123.6</v>
      </c>
      <c r="D29" s="93">
        <v>84.1</v>
      </c>
      <c r="E29" s="93">
        <v>64.3</v>
      </c>
      <c r="F29" s="93">
        <v>52.5</v>
      </c>
      <c r="G29" s="93">
        <v>44.6</v>
      </c>
      <c r="H29" s="93">
        <v>39</v>
      </c>
      <c r="I29" s="93">
        <v>34.799999999999997</v>
      </c>
      <c r="J29" s="93">
        <v>31.5</v>
      </c>
      <c r="K29" s="93">
        <v>28.9</v>
      </c>
      <c r="L29" s="93">
        <v>26.8</v>
      </c>
      <c r="M29" s="93">
        <v>25</v>
      </c>
      <c r="N29" s="93">
        <v>23.6</v>
      </c>
      <c r="O29" s="93">
        <v>22.3</v>
      </c>
      <c r="P29" s="93">
        <v>21.2</v>
      </c>
      <c r="Q29" s="93">
        <v>20.2</v>
      </c>
      <c r="R29" s="93">
        <v>19.399999999999999</v>
      </c>
      <c r="S29" s="93">
        <v>18.7</v>
      </c>
      <c r="T29" s="93">
        <v>18</v>
      </c>
      <c r="U29" s="93">
        <v>17.399999999999999</v>
      </c>
      <c r="W29" s="92">
        <v>38</v>
      </c>
      <c r="X29" s="93">
        <v>226.1</v>
      </c>
      <c r="Y29" s="93">
        <v>115.3</v>
      </c>
      <c r="Z29" s="93">
        <v>78.400000000000006</v>
      </c>
      <c r="AA29" s="93">
        <v>60</v>
      </c>
      <c r="AB29" s="93">
        <v>49</v>
      </c>
      <c r="AC29" s="93">
        <v>41.6</v>
      </c>
      <c r="AD29" s="93">
        <v>36.4</v>
      </c>
      <c r="AE29" s="93">
        <v>32.4</v>
      </c>
      <c r="AF29" s="93">
        <v>29.4</v>
      </c>
      <c r="AG29" s="93">
        <v>27</v>
      </c>
      <c r="AH29" s="93">
        <v>25</v>
      </c>
      <c r="AI29" s="93">
        <v>23.4</v>
      </c>
      <c r="AJ29" s="93">
        <v>22</v>
      </c>
      <c r="AK29" s="93">
        <v>20.8</v>
      </c>
      <c r="AL29" s="93">
        <v>19.8</v>
      </c>
      <c r="AM29" s="93">
        <v>18.899999999999999</v>
      </c>
      <c r="AN29" s="93">
        <v>18.100000000000001</v>
      </c>
      <c r="AO29" s="93">
        <v>17.399999999999999</v>
      </c>
      <c r="AP29" s="93">
        <v>16.8</v>
      </c>
      <c r="AQ29" s="93">
        <v>16.3</v>
      </c>
    </row>
    <row r="30" spans="1:43" x14ac:dyDescent="0.25">
      <c r="A30" s="92">
        <v>39</v>
      </c>
      <c r="B30" s="93">
        <v>246.5</v>
      </c>
      <c r="C30" s="93">
        <v>125.7</v>
      </c>
      <c r="D30" s="93">
        <v>85.5</v>
      </c>
      <c r="E30" s="93">
        <v>65.400000000000006</v>
      </c>
      <c r="F30" s="93">
        <v>53.4</v>
      </c>
      <c r="G30" s="93">
        <v>45.4</v>
      </c>
      <c r="H30" s="93">
        <v>39.700000000000003</v>
      </c>
      <c r="I30" s="93">
        <v>35.4</v>
      </c>
      <c r="J30" s="93">
        <v>32.1</v>
      </c>
      <c r="K30" s="93">
        <v>29.4</v>
      </c>
      <c r="L30" s="93">
        <v>27.3</v>
      </c>
      <c r="M30" s="93">
        <v>25.5</v>
      </c>
      <c r="N30" s="93">
        <v>24</v>
      </c>
      <c r="O30" s="93">
        <v>22.7</v>
      </c>
      <c r="P30" s="93">
        <v>21.6</v>
      </c>
      <c r="Q30" s="93">
        <v>20.6</v>
      </c>
      <c r="R30" s="93">
        <v>19.8</v>
      </c>
      <c r="S30" s="93">
        <v>19</v>
      </c>
      <c r="T30" s="93">
        <v>18.399999999999999</v>
      </c>
      <c r="U30" s="93">
        <v>17.8</v>
      </c>
      <c r="W30" s="92">
        <v>39</v>
      </c>
      <c r="X30" s="93">
        <v>230</v>
      </c>
      <c r="Y30" s="93">
        <v>117.3</v>
      </c>
      <c r="Z30" s="93">
        <v>79.8</v>
      </c>
      <c r="AA30" s="93">
        <v>61.1</v>
      </c>
      <c r="AB30" s="93">
        <v>49.8</v>
      </c>
      <c r="AC30" s="93">
        <v>42.3</v>
      </c>
      <c r="AD30" s="93">
        <v>37</v>
      </c>
      <c r="AE30" s="93">
        <v>33</v>
      </c>
      <c r="AF30" s="93">
        <v>29.9</v>
      </c>
      <c r="AG30" s="93">
        <v>27.5</v>
      </c>
      <c r="AH30" s="93">
        <v>25.4</v>
      </c>
      <c r="AI30" s="93">
        <v>23.8</v>
      </c>
      <c r="AJ30" s="93">
        <v>22.4</v>
      </c>
      <c r="AK30" s="93">
        <v>21.2</v>
      </c>
      <c r="AL30" s="93">
        <v>20.100000000000001</v>
      </c>
      <c r="AM30" s="93">
        <v>19.2</v>
      </c>
      <c r="AN30" s="93">
        <v>18.399999999999999</v>
      </c>
      <c r="AO30" s="93">
        <v>17.8</v>
      </c>
      <c r="AP30" s="93">
        <v>17.100000000000001</v>
      </c>
      <c r="AQ30" s="93">
        <v>16.600000000000001</v>
      </c>
    </row>
    <row r="31" spans="1:43" x14ac:dyDescent="0.25">
      <c r="A31" s="92">
        <v>40</v>
      </c>
      <c r="B31" s="93">
        <v>250.7</v>
      </c>
      <c r="C31" s="93">
        <v>127.9</v>
      </c>
      <c r="D31" s="93">
        <v>87</v>
      </c>
      <c r="E31" s="93">
        <v>66.599999999999994</v>
      </c>
      <c r="F31" s="93">
        <v>54.3</v>
      </c>
      <c r="G31" s="93">
        <v>46.2</v>
      </c>
      <c r="H31" s="93">
        <v>40.4</v>
      </c>
      <c r="I31" s="93">
        <v>36</v>
      </c>
      <c r="J31" s="93">
        <v>32.6</v>
      </c>
      <c r="K31" s="93">
        <v>30</v>
      </c>
      <c r="L31" s="93">
        <v>27.8</v>
      </c>
      <c r="M31" s="93">
        <v>25.9</v>
      </c>
      <c r="N31" s="93">
        <v>24.4</v>
      </c>
      <c r="O31" s="93">
        <v>23.1</v>
      </c>
      <c r="P31" s="93">
        <v>22</v>
      </c>
      <c r="Q31" s="93">
        <v>21</v>
      </c>
      <c r="R31" s="93">
        <v>20.100000000000001</v>
      </c>
      <c r="S31" s="93">
        <v>19.399999999999999</v>
      </c>
      <c r="T31" s="93">
        <v>18.7</v>
      </c>
      <c r="U31" s="93">
        <v>18.100000000000001</v>
      </c>
      <c r="W31" s="92">
        <v>40</v>
      </c>
      <c r="X31" s="93">
        <v>234</v>
      </c>
      <c r="Y31" s="93">
        <v>119.4</v>
      </c>
      <c r="Z31" s="93">
        <v>81.2</v>
      </c>
      <c r="AA31" s="93">
        <v>62.1</v>
      </c>
      <c r="AB31" s="93">
        <v>50.7</v>
      </c>
      <c r="AC31" s="93">
        <v>43.1</v>
      </c>
      <c r="AD31" s="93">
        <v>37.700000000000003</v>
      </c>
      <c r="AE31" s="93">
        <v>33.6</v>
      </c>
      <c r="AF31" s="93">
        <v>30.5</v>
      </c>
      <c r="AG31" s="93">
        <v>28</v>
      </c>
      <c r="AH31" s="93">
        <v>25.9</v>
      </c>
      <c r="AI31" s="93">
        <v>24.2</v>
      </c>
      <c r="AJ31" s="93">
        <v>22.8</v>
      </c>
      <c r="AK31" s="93">
        <v>21.6</v>
      </c>
      <c r="AL31" s="93">
        <v>20.5</v>
      </c>
      <c r="AM31" s="93">
        <v>19.600000000000001</v>
      </c>
      <c r="AN31" s="93">
        <v>18.8</v>
      </c>
      <c r="AO31" s="93">
        <v>18.100000000000001</v>
      </c>
      <c r="AP31" s="93">
        <v>17.5</v>
      </c>
      <c r="AQ31" s="93">
        <v>16.899999999999999</v>
      </c>
    </row>
    <row r="32" spans="1:43" x14ac:dyDescent="0.25">
      <c r="A32" s="92">
        <v>41</v>
      </c>
      <c r="B32" s="93">
        <v>255.1</v>
      </c>
      <c r="C32" s="93">
        <v>130.19999999999999</v>
      </c>
      <c r="D32" s="93">
        <v>88.5</v>
      </c>
      <c r="E32" s="93">
        <v>67.7</v>
      </c>
      <c r="F32" s="93">
        <v>55.3</v>
      </c>
      <c r="G32" s="93">
        <v>47</v>
      </c>
      <c r="H32" s="93">
        <v>41.1</v>
      </c>
      <c r="I32" s="93">
        <v>36.700000000000003</v>
      </c>
      <c r="J32" s="93">
        <v>33.200000000000003</v>
      </c>
      <c r="K32" s="93">
        <v>30.5</v>
      </c>
      <c r="L32" s="93">
        <v>28.3</v>
      </c>
      <c r="M32" s="93">
        <v>26.4</v>
      </c>
      <c r="N32" s="93">
        <v>24.8</v>
      </c>
      <c r="O32" s="93">
        <v>23.5</v>
      </c>
      <c r="P32" s="93">
        <v>22.4</v>
      </c>
      <c r="Q32" s="93">
        <v>21.4</v>
      </c>
      <c r="R32" s="93">
        <v>20.5</v>
      </c>
      <c r="S32" s="93">
        <v>19.7</v>
      </c>
      <c r="T32" s="93">
        <v>19.100000000000001</v>
      </c>
      <c r="U32" s="93">
        <v>18.5</v>
      </c>
      <c r="W32" s="92">
        <v>41</v>
      </c>
      <c r="X32" s="93">
        <v>238.2</v>
      </c>
      <c r="Y32" s="93">
        <v>121.5</v>
      </c>
      <c r="Z32" s="93">
        <v>82.7</v>
      </c>
      <c r="AA32" s="93">
        <v>63.2</v>
      </c>
      <c r="AB32" s="93">
        <v>51.6</v>
      </c>
      <c r="AC32" s="93">
        <v>43.9</v>
      </c>
      <c r="AD32" s="93">
        <v>38.4</v>
      </c>
      <c r="AE32" s="93">
        <v>34.200000000000003</v>
      </c>
      <c r="AF32" s="93">
        <v>31</v>
      </c>
      <c r="AG32" s="93">
        <v>28.5</v>
      </c>
      <c r="AH32" s="93">
        <v>26.4</v>
      </c>
      <c r="AI32" s="93">
        <v>24.7</v>
      </c>
      <c r="AJ32" s="93">
        <v>23.2</v>
      </c>
      <c r="AK32" s="93">
        <v>22</v>
      </c>
      <c r="AL32" s="93">
        <v>20.9</v>
      </c>
      <c r="AM32" s="93">
        <v>20</v>
      </c>
      <c r="AN32" s="93">
        <v>19.2</v>
      </c>
      <c r="AO32" s="93">
        <v>18.399999999999999</v>
      </c>
      <c r="AP32" s="93">
        <v>17.8</v>
      </c>
      <c r="AQ32" s="93">
        <v>17.2</v>
      </c>
    </row>
    <row r="33" spans="1:43" x14ac:dyDescent="0.25">
      <c r="A33" s="92">
        <v>42</v>
      </c>
      <c r="B33" s="93">
        <v>259.5</v>
      </c>
      <c r="C33" s="93">
        <v>132.4</v>
      </c>
      <c r="D33" s="93">
        <v>90.1</v>
      </c>
      <c r="E33" s="93">
        <v>68.900000000000006</v>
      </c>
      <c r="F33" s="93">
        <v>56.3</v>
      </c>
      <c r="G33" s="93">
        <v>47.8</v>
      </c>
      <c r="H33" s="93">
        <v>41.8</v>
      </c>
      <c r="I33" s="93">
        <v>37.299999999999997</v>
      </c>
      <c r="J33" s="93">
        <v>33.799999999999997</v>
      </c>
      <c r="K33" s="93">
        <v>31</v>
      </c>
      <c r="L33" s="93">
        <v>28.8</v>
      </c>
      <c r="M33" s="93">
        <v>26.9</v>
      </c>
      <c r="N33" s="93">
        <v>25.3</v>
      </c>
      <c r="O33" s="93">
        <v>24</v>
      </c>
      <c r="P33" s="93">
        <v>22.8</v>
      </c>
      <c r="Q33" s="93">
        <v>21.8</v>
      </c>
      <c r="R33" s="93">
        <v>20.9</v>
      </c>
      <c r="S33" s="93">
        <v>20.100000000000001</v>
      </c>
      <c r="T33" s="93">
        <v>19.399999999999999</v>
      </c>
      <c r="U33" s="93">
        <v>18.8</v>
      </c>
      <c r="W33" s="92">
        <v>42</v>
      </c>
      <c r="X33" s="93">
        <v>242.4</v>
      </c>
      <c r="Y33" s="93">
        <v>123.7</v>
      </c>
      <c r="Z33" s="93">
        <v>84.1</v>
      </c>
      <c r="AA33" s="93">
        <v>64.400000000000006</v>
      </c>
      <c r="AB33" s="93">
        <v>52.5</v>
      </c>
      <c r="AC33" s="93">
        <v>44.7</v>
      </c>
      <c r="AD33" s="93">
        <v>39</v>
      </c>
      <c r="AE33" s="93">
        <v>34.799999999999997</v>
      </c>
      <c r="AF33" s="93">
        <v>31.6</v>
      </c>
      <c r="AG33" s="93">
        <v>29</v>
      </c>
      <c r="AH33" s="93">
        <v>26.9</v>
      </c>
      <c r="AI33" s="93">
        <v>25.1</v>
      </c>
      <c r="AJ33" s="93">
        <v>23.6</v>
      </c>
      <c r="AK33" s="93">
        <v>22.4</v>
      </c>
      <c r="AL33" s="93">
        <v>21.3</v>
      </c>
      <c r="AM33" s="93">
        <v>20.3</v>
      </c>
      <c r="AN33" s="93">
        <v>19.5</v>
      </c>
      <c r="AO33" s="93">
        <v>18.8</v>
      </c>
      <c r="AP33" s="93">
        <v>18.2</v>
      </c>
      <c r="AQ33" s="93">
        <v>17.600000000000001</v>
      </c>
    </row>
    <row r="34" spans="1:43" x14ac:dyDescent="0.25">
      <c r="A34" s="92">
        <v>43</v>
      </c>
      <c r="B34" s="93">
        <v>264</v>
      </c>
      <c r="C34" s="93">
        <v>134.69999999999999</v>
      </c>
      <c r="D34" s="93">
        <v>91.6</v>
      </c>
      <c r="E34" s="93">
        <v>70.099999999999994</v>
      </c>
      <c r="F34" s="93">
        <v>57.2</v>
      </c>
      <c r="G34" s="93">
        <v>48.7</v>
      </c>
      <c r="H34" s="93">
        <v>42.5</v>
      </c>
      <c r="I34" s="93">
        <v>38</v>
      </c>
      <c r="J34" s="93">
        <v>34.4</v>
      </c>
      <c r="K34" s="93">
        <v>31.6</v>
      </c>
      <c r="L34" s="93">
        <v>29.3</v>
      </c>
      <c r="M34" s="93">
        <v>27.4</v>
      </c>
      <c r="N34" s="93">
        <v>25.8</v>
      </c>
      <c r="O34" s="93">
        <v>24.4</v>
      </c>
      <c r="P34" s="93">
        <v>23.2</v>
      </c>
      <c r="Q34" s="93">
        <v>22.2</v>
      </c>
      <c r="R34" s="93">
        <v>21.3</v>
      </c>
      <c r="S34" s="93">
        <v>20.5</v>
      </c>
      <c r="T34" s="93">
        <v>19.8</v>
      </c>
      <c r="U34" s="93">
        <v>19.2</v>
      </c>
      <c r="W34" s="92">
        <v>43</v>
      </c>
      <c r="X34" s="93">
        <v>246.6</v>
      </c>
      <c r="Y34" s="93">
        <v>125.9</v>
      </c>
      <c r="Z34" s="93">
        <v>85.6</v>
      </c>
      <c r="AA34" s="93">
        <v>65.5</v>
      </c>
      <c r="AB34" s="93">
        <v>53.5</v>
      </c>
      <c r="AC34" s="93">
        <v>45.5</v>
      </c>
      <c r="AD34" s="93">
        <v>39.700000000000003</v>
      </c>
      <c r="AE34" s="93">
        <v>35.5</v>
      </c>
      <c r="AF34" s="93">
        <v>32.200000000000003</v>
      </c>
      <c r="AG34" s="93">
        <v>29.5</v>
      </c>
      <c r="AH34" s="93">
        <v>27.4</v>
      </c>
      <c r="AI34" s="93">
        <v>25.6</v>
      </c>
      <c r="AJ34" s="93">
        <v>24.1</v>
      </c>
      <c r="AK34" s="93">
        <v>22.8</v>
      </c>
      <c r="AL34" s="93">
        <v>21.7</v>
      </c>
      <c r="AM34" s="93">
        <v>20.7</v>
      </c>
      <c r="AN34" s="93">
        <v>19.899999999999999</v>
      </c>
      <c r="AO34" s="93">
        <v>19.2</v>
      </c>
      <c r="AP34" s="93">
        <v>18.5</v>
      </c>
      <c r="AQ34" s="93">
        <v>17.899999999999999</v>
      </c>
    </row>
    <row r="35" spans="1:43" x14ac:dyDescent="0.25">
      <c r="A35" s="92">
        <v>44</v>
      </c>
      <c r="B35" s="93">
        <v>268.60000000000002</v>
      </c>
      <c r="C35" s="93">
        <v>137.1</v>
      </c>
      <c r="D35" s="93">
        <v>93.2</v>
      </c>
      <c r="E35" s="93">
        <v>71.400000000000006</v>
      </c>
      <c r="F35" s="93">
        <v>58.2</v>
      </c>
      <c r="G35" s="93">
        <v>49.5</v>
      </c>
      <c r="H35" s="93">
        <v>43.3</v>
      </c>
      <c r="I35" s="93">
        <v>38.6</v>
      </c>
      <c r="J35" s="93">
        <v>35</v>
      </c>
      <c r="K35" s="93">
        <v>32.200000000000003</v>
      </c>
      <c r="L35" s="93">
        <v>29.8</v>
      </c>
      <c r="M35" s="93">
        <v>27.9</v>
      </c>
      <c r="N35" s="93">
        <v>26.3</v>
      </c>
      <c r="O35" s="93">
        <v>24.9</v>
      </c>
      <c r="P35" s="93">
        <v>23.7</v>
      </c>
      <c r="Q35" s="93">
        <v>22.6</v>
      </c>
      <c r="R35" s="93">
        <v>21.7</v>
      </c>
      <c r="S35" s="93">
        <v>20.9</v>
      </c>
      <c r="T35" s="93">
        <v>20.2</v>
      </c>
      <c r="U35" s="93">
        <v>19.600000000000001</v>
      </c>
      <c r="W35" s="92">
        <v>44</v>
      </c>
      <c r="X35" s="93">
        <v>251</v>
      </c>
      <c r="Y35" s="93">
        <v>128.1</v>
      </c>
      <c r="Z35" s="93">
        <v>87.1</v>
      </c>
      <c r="AA35" s="93">
        <v>66.7</v>
      </c>
      <c r="AB35" s="93">
        <v>54.4</v>
      </c>
      <c r="AC35" s="93">
        <v>46.3</v>
      </c>
      <c r="AD35" s="93">
        <v>40.5</v>
      </c>
      <c r="AE35" s="93">
        <v>36.1</v>
      </c>
      <c r="AF35" s="93">
        <v>32.700000000000003</v>
      </c>
      <c r="AG35" s="93">
        <v>30.1</v>
      </c>
      <c r="AH35" s="93">
        <v>27.9</v>
      </c>
      <c r="AI35" s="93">
        <v>26.1</v>
      </c>
      <c r="AJ35" s="93">
        <v>24.5</v>
      </c>
      <c r="AK35" s="93">
        <v>23.2</v>
      </c>
      <c r="AL35" s="93">
        <v>22.1</v>
      </c>
      <c r="AM35" s="93">
        <v>21.1</v>
      </c>
      <c r="AN35" s="93">
        <v>20.3</v>
      </c>
      <c r="AO35" s="93">
        <v>19.5</v>
      </c>
      <c r="AP35" s="93">
        <v>18.899999999999999</v>
      </c>
      <c r="AQ35" s="93">
        <v>18.3</v>
      </c>
    </row>
    <row r="36" spans="1:43" x14ac:dyDescent="0.25">
      <c r="A36" s="92">
        <v>45</v>
      </c>
      <c r="B36" s="93">
        <v>273.2</v>
      </c>
      <c r="C36" s="93">
        <v>139.4</v>
      </c>
      <c r="D36" s="93">
        <v>94.8</v>
      </c>
      <c r="E36" s="93">
        <v>72.599999999999994</v>
      </c>
      <c r="F36" s="93">
        <v>59.3</v>
      </c>
      <c r="G36" s="93">
        <v>50.4</v>
      </c>
      <c r="H36" s="93">
        <v>44.1</v>
      </c>
      <c r="I36" s="93">
        <v>39.299999999999997</v>
      </c>
      <c r="J36" s="93">
        <v>35.700000000000003</v>
      </c>
      <c r="K36" s="93">
        <v>32.700000000000003</v>
      </c>
      <c r="L36" s="93">
        <v>30.4</v>
      </c>
      <c r="M36" s="93">
        <v>28.4</v>
      </c>
      <c r="N36" s="93">
        <v>26.7</v>
      </c>
      <c r="O36" s="93">
        <v>25.3</v>
      </c>
      <c r="P36" s="93">
        <v>24.1</v>
      </c>
      <c r="Q36" s="93">
        <v>23.1</v>
      </c>
      <c r="R36" s="93">
        <v>22.1</v>
      </c>
      <c r="S36" s="93">
        <v>21.3</v>
      </c>
      <c r="T36" s="93">
        <v>20.6</v>
      </c>
      <c r="U36" s="93">
        <v>20</v>
      </c>
      <c r="W36" s="92">
        <v>45</v>
      </c>
      <c r="X36" s="93">
        <v>255.4</v>
      </c>
      <c r="Y36" s="93">
        <v>130.30000000000001</v>
      </c>
      <c r="Z36" s="93">
        <v>88.7</v>
      </c>
      <c r="AA36" s="93">
        <v>67.900000000000006</v>
      </c>
      <c r="AB36" s="93">
        <v>55.4</v>
      </c>
      <c r="AC36" s="93">
        <v>47.1</v>
      </c>
      <c r="AD36" s="93">
        <v>41.2</v>
      </c>
      <c r="AE36" s="93">
        <v>36.799999999999997</v>
      </c>
      <c r="AF36" s="93">
        <v>33.299999999999997</v>
      </c>
      <c r="AG36" s="93">
        <v>30.6</v>
      </c>
      <c r="AH36" s="93">
        <v>28.4</v>
      </c>
      <c r="AI36" s="93">
        <v>26.5</v>
      </c>
      <c r="AJ36" s="93">
        <v>25</v>
      </c>
      <c r="AK36" s="93">
        <v>23.7</v>
      </c>
      <c r="AL36" s="93">
        <v>22.5</v>
      </c>
      <c r="AM36" s="93">
        <v>21.6</v>
      </c>
      <c r="AN36" s="93">
        <v>20.7</v>
      </c>
      <c r="AO36" s="93">
        <v>19.899999999999999</v>
      </c>
      <c r="AP36" s="93">
        <v>19.3</v>
      </c>
      <c r="AQ36" s="93">
        <v>18.7</v>
      </c>
    </row>
    <row r="37" spans="1:43" x14ac:dyDescent="0.25">
      <c r="A37" s="92">
        <v>46</v>
      </c>
      <c r="B37" s="93">
        <v>277.8</v>
      </c>
      <c r="C37" s="93">
        <v>141.80000000000001</v>
      </c>
      <c r="D37" s="93">
        <v>96.5</v>
      </c>
      <c r="E37" s="93">
        <v>73.8</v>
      </c>
      <c r="F37" s="93">
        <v>60.3</v>
      </c>
      <c r="G37" s="93">
        <v>51.3</v>
      </c>
      <c r="H37" s="93">
        <v>44.8</v>
      </c>
      <c r="I37" s="93">
        <v>40</v>
      </c>
      <c r="J37" s="93">
        <v>36.299999999999997</v>
      </c>
      <c r="K37" s="93">
        <v>33.299999999999997</v>
      </c>
      <c r="L37" s="93">
        <v>30.9</v>
      </c>
      <c r="M37" s="93">
        <v>28.9</v>
      </c>
      <c r="N37" s="93">
        <v>27.2</v>
      </c>
      <c r="O37" s="93">
        <v>25.8</v>
      </c>
      <c r="P37" s="93">
        <v>24.6</v>
      </c>
      <c r="Q37" s="93">
        <v>23.5</v>
      </c>
      <c r="R37" s="93">
        <v>22.6</v>
      </c>
      <c r="S37" s="93">
        <v>21.8</v>
      </c>
      <c r="T37" s="93">
        <v>21</v>
      </c>
      <c r="U37" s="93">
        <v>20.399999999999999</v>
      </c>
      <c r="W37" s="92">
        <v>46</v>
      </c>
      <c r="X37" s="93">
        <v>259.8</v>
      </c>
      <c r="Y37" s="93">
        <v>132.6</v>
      </c>
      <c r="Z37" s="93">
        <v>90.2</v>
      </c>
      <c r="AA37" s="93">
        <v>69.099999999999994</v>
      </c>
      <c r="AB37" s="93">
        <v>56.4</v>
      </c>
      <c r="AC37" s="93">
        <v>47.9</v>
      </c>
      <c r="AD37" s="93">
        <v>41.9</v>
      </c>
      <c r="AE37" s="93">
        <v>37.4</v>
      </c>
      <c r="AF37" s="93">
        <v>34</v>
      </c>
      <c r="AG37" s="93">
        <v>31.2</v>
      </c>
      <c r="AH37" s="93">
        <v>28.9</v>
      </c>
      <c r="AI37" s="93">
        <v>27.1</v>
      </c>
      <c r="AJ37" s="93">
        <v>25.5</v>
      </c>
      <c r="AK37" s="93">
        <v>24.1</v>
      </c>
      <c r="AL37" s="93">
        <v>23</v>
      </c>
      <c r="AM37" s="93">
        <v>22</v>
      </c>
      <c r="AN37" s="93">
        <v>21.1</v>
      </c>
      <c r="AO37" s="93">
        <v>20.3</v>
      </c>
      <c r="AP37" s="93">
        <v>19.7</v>
      </c>
      <c r="AQ37" s="93">
        <v>19.100000000000001</v>
      </c>
    </row>
    <row r="38" spans="1:43" x14ac:dyDescent="0.25">
      <c r="A38" s="92">
        <v>47</v>
      </c>
      <c r="B38" s="93">
        <v>282.5</v>
      </c>
      <c r="C38" s="93">
        <v>144.19999999999999</v>
      </c>
      <c r="D38" s="93">
        <v>98.1</v>
      </c>
      <c r="E38" s="93">
        <v>75.099999999999994</v>
      </c>
      <c r="F38" s="93">
        <v>61.3</v>
      </c>
      <c r="G38" s="93">
        <v>52.2</v>
      </c>
      <c r="H38" s="93">
        <v>45.6</v>
      </c>
      <c r="I38" s="93">
        <v>40.700000000000003</v>
      </c>
      <c r="J38" s="93">
        <v>37</v>
      </c>
      <c r="K38" s="93">
        <v>34</v>
      </c>
      <c r="L38" s="93">
        <v>31.5</v>
      </c>
      <c r="M38" s="93">
        <v>29.5</v>
      </c>
      <c r="N38" s="93">
        <v>27.8</v>
      </c>
      <c r="O38" s="93">
        <v>26.3</v>
      </c>
      <c r="P38" s="93">
        <v>25.1</v>
      </c>
      <c r="Q38" s="93">
        <v>24</v>
      </c>
      <c r="R38" s="93">
        <v>23</v>
      </c>
      <c r="S38" s="93">
        <v>22.2</v>
      </c>
      <c r="T38" s="93">
        <v>21.5</v>
      </c>
      <c r="U38" s="93"/>
      <c r="W38" s="92">
        <v>47</v>
      </c>
      <c r="X38" s="93">
        <v>264.3</v>
      </c>
      <c r="Y38" s="93">
        <v>134.9</v>
      </c>
      <c r="Z38" s="93">
        <v>91.8</v>
      </c>
      <c r="AA38" s="93">
        <v>70.3</v>
      </c>
      <c r="AB38" s="93">
        <v>57.4</v>
      </c>
      <c r="AC38" s="93">
        <v>48.8</v>
      </c>
      <c r="AD38" s="93">
        <v>42.7</v>
      </c>
      <c r="AE38" s="93">
        <v>38.1</v>
      </c>
      <c r="AF38" s="93">
        <v>34.6</v>
      </c>
      <c r="AG38" s="93">
        <v>31.8</v>
      </c>
      <c r="AH38" s="93">
        <v>29.5</v>
      </c>
      <c r="AI38" s="93">
        <v>27.6</v>
      </c>
      <c r="AJ38" s="93">
        <v>26</v>
      </c>
      <c r="AK38" s="93">
        <v>24.6</v>
      </c>
      <c r="AL38" s="93">
        <v>23.4</v>
      </c>
      <c r="AM38" s="93">
        <v>22.4</v>
      </c>
      <c r="AN38" s="93">
        <v>21.5</v>
      </c>
      <c r="AO38" s="93">
        <v>20.8</v>
      </c>
      <c r="AP38" s="93">
        <v>20.100000000000001</v>
      </c>
      <c r="AQ38" s="93"/>
    </row>
    <row r="39" spans="1:43" x14ac:dyDescent="0.25">
      <c r="A39" s="92">
        <v>48</v>
      </c>
      <c r="B39" s="93">
        <v>287.3</v>
      </c>
      <c r="C39" s="93">
        <v>146.69999999999999</v>
      </c>
      <c r="D39" s="93">
        <v>99.8</v>
      </c>
      <c r="E39" s="93">
        <v>76.400000000000006</v>
      </c>
      <c r="F39" s="93">
        <v>62.4</v>
      </c>
      <c r="G39" s="93">
        <v>53.1</v>
      </c>
      <c r="H39" s="93">
        <v>46.5</v>
      </c>
      <c r="I39" s="93">
        <v>41.5</v>
      </c>
      <c r="J39" s="93">
        <v>37.6</v>
      </c>
      <c r="K39" s="93">
        <v>34.6</v>
      </c>
      <c r="L39" s="93">
        <v>32.1</v>
      </c>
      <c r="M39" s="93">
        <v>30</v>
      </c>
      <c r="N39" s="93">
        <v>28.3</v>
      </c>
      <c r="O39" s="93">
        <v>26.8</v>
      </c>
      <c r="P39" s="93">
        <v>25.6</v>
      </c>
      <c r="Q39" s="93">
        <v>24.5</v>
      </c>
      <c r="R39" s="93">
        <v>23.5</v>
      </c>
      <c r="S39" s="93">
        <v>22.6</v>
      </c>
      <c r="T39" s="93"/>
      <c r="U39" s="93"/>
      <c r="W39" s="92">
        <v>48</v>
      </c>
      <c r="X39" s="93">
        <v>268.89999999999998</v>
      </c>
      <c r="Y39" s="93">
        <v>137.30000000000001</v>
      </c>
      <c r="Z39" s="93">
        <v>93.4</v>
      </c>
      <c r="AA39" s="93">
        <v>71.5</v>
      </c>
      <c r="AB39" s="93">
        <v>58.4</v>
      </c>
      <c r="AC39" s="93">
        <v>49.7</v>
      </c>
      <c r="AD39" s="93">
        <v>43.5</v>
      </c>
      <c r="AE39" s="93">
        <v>38.799999999999997</v>
      </c>
      <c r="AF39" s="93">
        <v>35.200000000000003</v>
      </c>
      <c r="AG39" s="93">
        <v>32.4</v>
      </c>
      <c r="AH39" s="93">
        <v>30</v>
      </c>
      <c r="AI39" s="93">
        <v>28.1</v>
      </c>
      <c r="AJ39" s="93">
        <v>26.5</v>
      </c>
      <c r="AK39" s="93">
        <v>25.1</v>
      </c>
      <c r="AL39" s="93">
        <v>23.9</v>
      </c>
      <c r="AM39" s="93">
        <v>22.9</v>
      </c>
      <c r="AN39" s="93">
        <v>22</v>
      </c>
      <c r="AO39" s="93">
        <v>21.2</v>
      </c>
      <c r="AP39" s="93"/>
      <c r="AQ39" s="93"/>
    </row>
    <row r="40" spans="1:43" x14ac:dyDescent="0.25">
      <c r="A40" s="92">
        <v>49</v>
      </c>
      <c r="B40" s="93">
        <v>292.3</v>
      </c>
      <c r="C40" s="93">
        <v>149.19999999999999</v>
      </c>
      <c r="D40" s="93">
        <v>101.6</v>
      </c>
      <c r="E40" s="93">
        <v>77.8</v>
      </c>
      <c r="F40" s="93">
        <v>63.5</v>
      </c>
      <c r="G40" s="93">
        <v>54.1</v>
      </c>
      <c r="H40" s="93">
        <v>47.3</v>
      </c>
      <c r="I40" s="93">
        <v>42.3</v>
      </c>
      <c r="J40" s="93">
        <v>38.4</v>
      </c>
      <c r="K40" s="93">
        <v>35.299999999999997</v>
      </c>
      <c r="L40" s="93">
        <v>32.700000000000003</v>
      </c>
      <c r="M40" s="93">
        <v>30.6</v>
      </c>
      <c r="N40" s="93">
        <v>28.9</v>
      </c>
      <c r="O40" s="93">
        <v>27.4</v>
      </c>
      <c r="P40" s="93">
        <v>26.1</v>
      </c>
      <c r="Q40" s="93">
        <v>25</v>
      </c>
      <c r="R40" s="93">
        <v>24</v>
      </c>
      <c r="S40" s="93"/>
      <c r="T40" s="93"/>
      <c r="U40" s="93"/>
      <c r="W40" s="92">
        <v>49</v>
      </c>
      <c r="X40" s="93">
        <v>273.7</v>
      </c>
      <c r="Y40" s="93">
        <v>139.69999999999999</v>
      </c>
      <c r="Z40" s="93">
        <v>95.1</v>
      </c>
      <c r="AA40" s="93">
        <v>72.8</v>
      </c>
      <c r="AB40" s="93">
        <v>59.5</v>
      </c>
      <c r="AC40" s="93">
        <v>50.6</v>
      </c>
      <c r="AD40" s="93">
        <v>44.3</v>
      </c>
      <c r="AE40" s="93">
        <v>39.6</v>
      </c>
      <c r="AF40" s="93">
        <v>35.9</v>
      </c>
      <c r="AG40" s="93">
        <v>33</v>
      </c>
      <c r="AH40" s="93">
        <v>30.7</v>
      </c>
      <c r="AI40" s="93">
        <v>28.7</v>
      </c>
      <c r="AJ40" s="93">
        <v>27</v>
      </c>
      <c r="AK40" s="93">
        <v>25.6</v>
      </c>
      <c r="AL40" s="93">
        <v>24.4</v>
      </c>
      <c r="AM40" s="93">
        <v>23.4</v>
      </c>
      <c r="AN40" s="93">
        <v>22.5</v>
      </c>
      <c r="AO40" s="93"/>
      <c r="AP40" s="93"/>
      <c r="AQ40" s="93"/>
    </row>
    <row r="41" spans="1:43" x14ac:dyDescent="0.25">
      <c r="A41" s="92">
        <v>50</v>
      </c>
      <c r="B41" s="93">
        <v>297.5</v>
      </c>
      <c r="C41" s="93">
        <v>151.9</v>
      </c>
      <c r="D41" s="93">
        <v>103.4</v>
      </c>
      <c r="E41" s="93">
        <v>79.2</v>
      </c>
      <c r="F41" s="93">
        <v>64.7</v>
      </c>
      <c r="G41" s="93">
        <v>55.1</v>
      </c>
      <c r="H41" s="93">
        <v>48.2</v>
      </c>
      <c r="I41" s="93">
        <v>43.1</v>
      </c>
      <c r="J41" s="93">
        <v>39.1</v>
      </c>
      <c r="K41" s="93">
        <v>36</v>
      </c>
      <c r="L41" s="93">
        <v>33.4</v>
      </c>
      <c r="M41" s="93">
        <v>31.3</v>
      </c>
      <c r="N41" s="93">
        <v>29.5</v>
      </c>
      <c r="O41" s="93">
        <v>28</v>
      </c>
      <c r="P41" s="93">
        <v>26.6</v>
      </c>
      <c r="Q41" s="93">
        <v>25.5</v>
      </c>
      <c r="R41" s="93"/>
      <c r="S41" s="93"/>
      <c r="T41" s="93"/>
      <c r="U41" s="93"/>
      <c r="W41" s="92">
        <v>50</v>
      </c>
      <c r="X41" s="93">
        <v>278.7</v>
      </c>
      <c r="Y41" s="93">
        <v>142.30000000000001</v>
      </c>
      <c r="Z41" s="93">
        <v>96.9</v>
      </c>
      <c r="AA41" s="93">
        <v>74.2</v>
      </c>
      <c r="AB41" s="93">
        <v>60.6</v>
      </c>
      <c r="AC41" s="93">
        <v>51.6</v>
      </c>
      <c r="AD41" s="93">
        <v>45.2</v>
      </c>
      <c r="AE41" s="93">
        <v>40.4</v>
      </c>
      <c r="AF41" s="93">
        <v>36.700000000000003</v>
      </c>
      <c r="AG41" s="93">
        <v>33.700000000000003</v>
      </c>
      <c r="AH41" s="93">
        <v>31.3</v>
      </c>
      <c r="AI41" s="93">
        <v>29.3</v>
      </c>
      <c r="AJ41" s="93">
        <v>27.6</v>
      </c>
      <c r="AK41" s="93">
        <v>26.2</v>
      </c>
      <c r="AL41" s="93">
        <v>25</v>
      </c>
      <c r="AM41" s="93">
        <v>23.9</v>
      </c>
      <c r="AN41" s="93"/>
      <c r="AO41" s="93"/>
      <c r="AP41" s="93"/>
      <c r="AQ41" s="93"/>
    </row>
    <row r="42" spans="1:43" x14ac:dyDescent="0.25">
      <c r="A42" s="92">
        <v>51</v>
      </c>
      <c r="B42" s="93">
        <v>302.8</v>
      </c>
      <c r="C42" s="93">
        <v>154.69999999999999</v>
      </c>
      <c r="D42" s="93">
        <v>105.3</v>
      </c>
      <c r="E42" s="93">
        <v>80.7</v>
      </c>
      <c r="F42" s="93">
        <v>66</v>
      </c>
      <c r="G42" s="93">
        <v>56.1</v>
      </c>
      <c r="H42" s="93">
        <v>49.2</v>
      </c>
      <c r="I42" s="93">
        <v>43.9</v>
      </c>
      <c r="J42" s="93">
        <v>39.9</v>
      </c>
      <c r="K42" s="93">
        <v>36.700000000000003</v>
      </c>
      <c r="L42" s="93">
        <v>34.1</v>
      </c>
      <c r="M42" s="93">
        <v>31.9</v>
      </c>
      <c r="N42" s="93">
        <v>30.1</v>
      </c>
      <c r="O42" s="93">
        <v>28.6</v>
      </c>
      <c r="P42" s="93">
        <v>27.2</v>
      </c>
      <c r="Q42" s="93"/>
      <c r="R42" s="93"/>
      <c r="S42" s="93"/>
      <c r="T42" s="93"/>
      <c r="U42" s="93"/>
      <c r="W42" s="92">
        <v>51</v>
      </c>
      <c r="X42" s="93">
        <v>283.8</v>
      </c>
      <c r="Y42" s="93">
        <v>145</v>
      </c>
      <c r="Z42" s="93">
        <v>98.7</v>
      </c>
      <c r="AA42" s="93">
        <v>75.599999999999994</v>
      </c>
      <c r="AB42" s="93">
        <v>61.8</v>
      </c>
      <c r="AC42" s="93">
        <v>52.6</v>
      </c>
      <c r="AD42" s="93">
        <v>46.1</v>
      </c>
      <c r="AE42" s="93">
        <v>41.2</v>
      </c>
      <c r="AF42" s="93">
        <v>37.4</v>
      </c>
      <c r="AG42" s="93">
        <v>34.4</v>
      </c>
      <c r="AH42" s="93">
        <v>31.9</v>
      </c>
      <c r="AI42" s="93">
        <v>29.9</v>
      </c>
      <c r="AJ42" s="93">
        <v>28.2</v>
      </c>
      <c r="AK42" s="93">
        <v>26.8</v>
      </c>
      <c r="AL42" s="93">
        <v>25.5</v>
      </c>
      <c r="AM42" s="93"/>
      <c r="AN42" s="93"/>
      <c r="AO42" s="93"/>
      <c r="AP42" s="93"/>
      <c r="AQ42" s="93"/>
    </row>
    <row r="43" spans="1:43" x14ac:dyDescent="0.25">
      <c r="A43" s="92">
        <v>52</v>
      </c>
      <c r="B43" s="93">
        <v>308.2</v>
      </c>
      <c r="C43" s="93">
        <v>157.5</v>
      </c>
      <c r="D43" s="93">
        <v>107.3</v>
      </c>
      <c r="E43" s="93">
        <v>82.2</v>
      </c>
      <c r="F43" s="93">
        <v>67.2</v>
      </c>
      <c r="G43" s="93">
        <v>57.2</v>
      </c>
      <c r="H43" s="93">
        <v>50.1</v>
      </c>
      <c r="I43" s="93">
        <v>44.8</v>
      </c>
      <c r="J43" s="93">
        <v>40.700000000000003</v>
      </c>
      <c r="K43" s="93">
        <v>37.4</v>
      </c>
      <c r="L43" s="93">
        <v>34.799999999999997</v>
      </c>
      <c r="M43" s="93">
        <v>32.6</v>
      </c>
      <c r="N43" s="93">
        <v>30.7</v>
      </c>
      <c r="O43" s="93">
        <v>29.1</v>
      </c>
      <c r="P43" s="93"/>
      <c r="Q43" s="93"/>
      <c r="R43" s="93"/>
      <c r="S43" s="93"/>
      <c r="T43" s="93"/>
      <c r="U43" s="93"/>
      <c r="W43" s="92">
        <v>52</v>
      </c>
      <c r="X43" s="93">
        <v>289.10000000000002</v>
      </c>
      <c r="Y43" s="93">
        <v>147.69999999999999</v>
      </c>
      <c r="Z43" s="93">
        <v>100.6</v>
      </c>
      <c r="AA43" s="93">
        <v>77.099999999999994</v>
      </c>
      <c r="AB43" s="93">
        <v>63</v>
      </c>
      <c r="AC43" s="93">
        <v>53.7</v>
      </c>
      <c r="AD43" s="93">
        <v>47</v>
      </c>
      <c r="AE43" s="93">
        <v>42</v>
      </c>
      <c r="AF43" s="93">
        <v>38.200000000000003</v>
      </c>
      <c r="AG43" s="93">
        <v>35.1</v>
      </c>
      <c r="AH43" s="93">
        <v>32.6</v>
      </c>
      <c r="AI43" s="93">
        <v>30.6</v>
      </c>
      <c r="AJ43" s="93">
        <v>28.8</v>
      </c>
      <c r="AK43" s="93">
        <v>27.4</v>
      </c>
      <c r="AL43" s="93"/>
      <c r="AM43" s="93"/>
      <c r="AN43" s="93"/>
      <c r="AO43" s="93"/>
      <c r="AP43" s="93"/>
      <c r="AQ43" s="93"/>
    </row>
    <row r="44" spans="1:43" x14ac:dyDescent="0.25">
      <c r="A44" s="92">
        <v>53</v>
      </c>
      <c r="B44" s="93">
        <v>313.7</v>
      </c>
      <c r="C44" s="93">
        <v>160.30000000000001</v>
      </c>
      <c r="D44" s="93">
        <v>109.2</v>
      </c>
      <c r="E44" s="93">
        <v>83.7</v>
      </c>
      <c r="F44" s="93">
        <v>68.5</v>
      </c>
      <c r="G44" s="93">
        <v>58.3</v>
      </c>
      <c r="H44" s="93">
        <v>51.1</v>
      </c>
      <c r="I44" s="93">
        <v>45.7</v>
      </c>
      <c r="J44" s="93">
        <v>41.5</v>
      </c>
      <c r="K44" s="93">
        <v>38.200000000000003</v>
      </c>
      <c r="L44" s="93">
        <v>35.5</v>
      </c>
      <c r="M44" s="93">
        <v>33.299999999999997</v>
      </c>
      <c r="N44" s="93">
        <v>31.4</v>
      </c>
      <c r="O44" s="93"/>
      <c r="P44" s="93"/>
      <c r="Q44" s="93"/>
      <c r="R44" s="93"/>
      <c r="S44" s="93"/>
      <c r="T44" s="93"/>
      <c r="U44" s="93"/>
      <c r="W44" s="92">
        <v>53</v>
      </c>
      <c r="X44" s="93">
        <v>294.39999999999998</v>
      </c>
      <c r="Y44" s="93">
        <v>150.5</v>
      </c>
      <c r="Z44" s="93">
        <v>102.5</v>
      </c>
      <c r="AA44" s="93">
        <v>78.599999999999994</v>
      </c>
      <c r="AB44" s="93">
        <v>64.3</v>
      </c>
      <c r="AC44" s="93">
        <v>54.7</v>
      </c>
      <c r="AD44" s="93">
        <v>48</v>
      </c>
      <c r="AE44" s="93">
        <v>42.9</v>
      </c>
      <c r="AF44" s="93">
        <v>39</v>
      </c>
      <c r="AG44" s="93">
        <v>35.9</v>
      </c>
      <c r="AH44" s="93">
        <v>33.299999999999997</v>
      </c>
      <c r="AI44" s="93">
        <v>31.2</v>
      </c>
      <c r="AJ44" s="93">
        <v>29.5</v>
      </c>
      <c r="AK44" s="93"/>
      <c r="AL44" s="93"/>
      <c r="AM44" s="93"/>
      <c r="AN44" s="93"/>
      <c r="AO44" s="93"/>
      <c r="AP44" s="93"/>
      <c r="AQ44" s="93"/>
    </row>
    <row r="45" spans="1:43" x14ac:dyDescent="0.25">
      <c r="A45" s="92">
        <v>54</v>
      </c>
      <c r="B45" s="93">
        <v>319.3</v>
      </c>
      <c r="C45" s="93">
        <v>163.19999999999999</v>
      </c>
      <c r="D45" s="93">
        <v>111.3</v>
      </c>
      <c r="E45" s="93">
        <v>85.3</v>
      </c>
      <c r="F45" s="93">
        <v>69.8</v>
      </c>
      <c r="G45" s="93">
        <v>59.5</v>
      </c>
      <c r="H45" s="93">
        <v>52.1</v>
      </c>
      <c r="I45" s="93">
        <v>46.6</v>
      </c>
      <c r="J45" s="93">
        <v>42.4</v>
      </c>
      <c r="K45" s="93">
        <v>39</v>
      </c>
      <c r="L45" s="93">
        <v>36.200000000000003</v>
      </c>
      <c r="M45" s="93">
        <v>34</v>
      </c>
      <c r="N45" s="93"/>
      <c r="O45" s="93"/>
      <c r="P45" s="93"/>
      <c r="Q45" s="93"/>
      <c r="R45" s="93"/>
      <c r="S45" s="93"/>
      <c r="T45" s="93"/>
      <c r="U45" s="93"/>
      <c r="W45" s="92">
        <v>54</v>
      </c>
      <c r="X45" s="93">
        <v>299.89999999999998</v>
      </c>
      <c r="Y45" s="93">
        <v>153.30000000000001</v>
      </c>
      <c r="Z45" s="93">
        <v>104.5</v>
      </c>
      <c r="AA45" s="93">
        <v>80.099999999999994</v>
      </c>
      <c r="AB45" s="93">
        <v>65.5</v>
      </c>
      <c r="AC45" s="93">
        <v>55.8</v>
      </c>
      <c r="AD45" s="93">
        <v>48.9</v>
      </c>
      <c r="AE45" s="93">
        <v>43.8</v>
      </c>
      <c r="AF45" s="93">
        <v>39.799999999999997</v>
      </c>
      <c r="AG45" s="93">
        <v>36.6</v>
      </c>
      <c r="AH45" s="93">
        <v>34</v>
      </c>
      <c r="AI45" s="93">
        <v>31.9</v>
      </c>
      <c r="AJ45" s="93"/>
      <c r="AK45" s="93"/>
      <c r="AL45" s="93"/>
      <c r="AM45" s="93"/>
      <c r="AN45" s="93"/>
      <c r="AO45" s="93"/>
      <c r="AP45" s="93"/>
      <c r="AQ45" s="93"/>
    </row>
    <row r="46" spans="1:43" x14ac:dyDescent="0.25">
      <c r="A46" s="92">
        <v>55</v>
      </c>
      <c r="B46" s="93">
        <v>325.10000000000002</v>
      </c>
      <c r="C46" s="93">
        <v>166.2</v>
      </c>
      <c r="D46" s="93">
        <v>113.3</v>
      </c>
      <c r="E46" s="93">
        <v>86.9</v>
      </c>
      <c r="F46" s="93">
        <v>71.099999999999994</v>
      </c>
      <c r="G46" s="93">
        <v>60.6</v>
      </c>
      <c r="H46" s="93">
        <v>53.1</v>
      </c>
      <c r="I46" s="93">
        <v>47.6</v>
      </c>
      <c r="J46" s="93">
        <v>43.2</v>
      </c>
      <c r="K46" s="93">
        <v>39.799999999999997</v>
      </c>
      <c r="L46" s="93">
        <v>37</v>
      </c>
      <c r="M46" s="93"/>
      <c r="N46" s="93"/>
      <c r="O46" s="93"/>
      <c r="P46" s="93"/>
      <c r="Q46" s="93"/>
      <c r="R46" s="93"/>
      <c r="S46" s="93"/>
      <c r="T46" s="93"/>
      <c r="U46" s="93"/>
      <c r="W46" s="92">
        <v>55</v>
      </c>
      <c r="X46" s="93">
        <v>305.5</v>
      </c>
      <c r="Y46" s="93">
        <v>156.19999999999999</v>
      </c>
      <c r="Z46" s="93">
        <v>106.5</v>
      </c>
      <c r="AA46" s="93">
        <v>81.7</v>
      </c>
      <c r="AB46" s="93">
        <v>66.8</v>
      </c>
      <c r="AC46" s="93">
        <v>57</v>
      </c>
      <c r="AD46" s="93">
        <v>49.9</v>
      </c>
      <c r="AE46" s="93">
        <v>44.7</v>
      </c>
      <c r="AF46" s="93">
        <v>40.6</v>
      </c>
      <c r="AG46" s="93">
        <v>37.4</v>
      </c>
      <c r="AH46" s="93">
        <v>34.799999999999997</v>
      </c>
      <c r="AI46" s="93"/>
      <c r="AJ46" s="93"/>
      <c r="AK46" s="93"/>
      <c r="AL46" s="93"/>
      <c r="AM46" s="93"/>
      <c r="AN46" s="93"/>
      <c r="AO46" s="93"/>
      <c r="AP46" s="93"/>
      <c r="AQ46" s="93"/>
    </row>
    <row r="47" spans="1:43" x14ac:dyDescent="0.25">
      <c r="A47" s="92">
        <v>56</v>
      </c>
      <c r="B47" s="93">
        <v>330.9</v>
      </c>
      <c r="C47" s="93">
        <v>169.3</v>
      </c>
      <c r="D47" s="93">
        <v>115.4</v>
      </c>
      <c r="E47" s="93">
        <v>88.6</v>
      </c>
      <c r="F47" s="93">
        <v>72.5</v>
      </c>
      <c r="G47" s="93">
        <v>61.8</v>
      </c>
      <c r="H47" s="93">
        <v>54.2</v>
      </c>
      <c r="I47" s="93">
        <v>48.5</v>
      </c>
      <c r="J47" s="93">
        <v>44.1</v>
      </c>
      <c r="K47" s="93">
        <v>40.6</v>
      </c>
      <c r="L47" s="93"/>
      <c r="M47" s="93"/>
      <c r="N47" s="93"/>
      <c r="O47" s="93"/>
      <c r="P47" s="93"/>
      <c r="Q47" s="93"/>
      <c r="R47" s="93"/>
      <c r="S47" s="93"/>
      <c r="T47" s="93"/>
      <c r="U47" s="93"/>
      <c r="W47" s="92">
        <v>56</v>
      </c>
      <c r="X47" s="93">
        <v>311.2</v>
      </c>
      <c r="Y47" s="93">
        <v>159.19999999999999</v>
      </c>
      <c r="Z47" s="93">
        <v>108.6</v>
      </c>
      <c r="AA47" s="93">
        <v>83.3</v>
      </c>
      <c r="AB47" s="93">
        <v>68.2</v>
      </c>
      <c r="AC47" s="93">
        <v>58.1</v>
      </c>
      <c r="AD47" s="93">
        <v>51</v>
      </c>
      <c r="AE47" s="93">
        <v>45.6</v>
      </c>
      <c r="AF47" s="93">
        <v>41.5</v>
      </c>
      <c r="AG47" s="93">
        <v>38.200000000000003</v>
      </c>
      <c r="AH47" s="93"/>
      <c r="AI47" s="93"/>
      <c r="AJ47" s="93"/>
      <c r="AK47" s="93"/>
      <c r="AL47" s="93"/>
      <c r="AM47" s="93"/>
      <c r="AN47" s="93"/>
      <c r="AO47" s="93"/>
      <c r="AP47" s="93"/>
      <c r="AQ47" s="93"/>
    </row>
    <row r="48" spans="1:43" x14ac:dyDescent="0.25">
      <c r="A48" s="92">
        <v>57</v>
      </c>
      <c r="B48" s="93">
        <v>336.9</v>
      </c>
      <c r="C48" s="93">
        <v>172.4</v>
      </c>
      <c r="D48" s="93">
        <v>117.6</v>
      </c>
      <c r="E48" s="93">
        <v>90.3</v>
      </c>
      <c r="F48" s="93">
        <v>73.900000000000006</v>
      </c>
      <c r="G48" s="93">
        <v>63</v>
      </c>
      <c r="H48" s="93">
        <v>55.3</v>
      </c>
      <c r="I48" s="93">
        <v>49.5</v>
      </c>
      <c r="J48" s="93">
        <v>45</v>
      </c>
      <c r="K48" s="93"/>
      <c r="L48" s="93"/>
      <c r="M48" s="93"/>
      <c r="N48" s="93"/>
      <c r="O48" s="93"/>
      <c r="P48" s="93"/>
      <c r="Q48" s="93"/>
      <c r="R48" s="93"/>
      <c r="S48" s="93"/>
      <c r="T48" s="93"/>
      <c r="U48" s="93"/>
      <c r="W48" s="92">
        <v>57</v>
      </c>
      <c r="X48" s="93">
        <v>317.10000000000002</v>
      </c>
      <c r="Y48" s="93">
        <v>162.19999999999999</v>
      </c>
      <c r="Z48" s="93">
        <v>110.7</v>
      </c>
      <c r="AA48" s="93">
        <v>84.9</v>
      </c>
      <c r="AB48" s="93">
        <v>69.5</v>
      </c>
      <c r="AC48" s="93">
        <v>59.3</v>
      </c>
      <c r="AD48" s="93">
        <v>52</v>
      </c>
      <c r="AE48" s="93">
        <v>46.6</v>
      </c>
      <c r="AF48" s="93">
        <v>42.4</v>
      </c>
      <c r="AG48" s="93"/>
      <c r="AH48" s="93"/>
      <c r="AI48" s="93"/>
      <c r="AJ48" s="93"/>
      <c r="AK48" s="93"/>
      <c r="AL48" s="93"/>
      <c r="AM48" s="93"/>
      <c r="AN48" s="93"/>
      <c r="AO48" s="93"/>
      <c r="AP48" s="93"/>
      <c r="AQ48" s="93"/>
    </row>
    <row r="49" spans="1:43" x14ac:dyDescent="0.25">
      <c r="A49" s="92">
        <v>58</v>
      </c>
      <c r="B49" s="93">
        <v>342.9</v>
      </c>
      <c r="C49" s="93">
        <v>175.5</v>
      </c>
      <c r="D49" s="93">
        <v>119.8</v>
      </c>
      <c r="E49" s="93">
        <v>92</v>
      </c>
      <c r="F49" s="93">
        <v>75.3</v>
      </c>
      <c r="G49" s="93">
        <v>64.3</v>
      </c>
      <c r="H49" s="93">
        <v>56.4</v>
      </c>
      <c r="I49" s="93">
        <v>50.5</v>
      </c>
      <c r="J49" s="93"/>
      <c r="K49" s="93"/>
      <c r="L49" s="93"/>
      <c r="M49" s="93"/>
      <c r="N49" s="93"/>
      <c r="O49" s="93"/>
      <c r="P49" s="93"/>
      <c r="Q49" s="93"/>
      <c r="R49" s="93"/>
      <c r="S49" s="93"/>
      <c r="T49" s="93"/>
      <c r="U49" s="93"/>
      <c r="W49" s="92">
        <v>58</v>
      </c>
      <c r="X49" s="93">
        <v>323.10000000000002</v>
      </c>
      <c r="Y49" s="93">
        <v>165.4</v>
      </c>
      <c r="Z49" s="93">
        <v>112.8</v>
      </c>
      <c r="AA49" s="93">
        <v>86.6</v>
      </c>
      <c r="AB49" s="93">
        <v>71</v>
      </c>
      <c r="AC49" s="93">
        <v>60.5</v>
      </c>
      <c r="AD49" s="93">
        <v>53.1</v>
      </c>
      <c r="AE49" s="93">
        <v>47.6</v>
      </c>
      <c r="AF49" s="93"/>
      <c r="AG49" s="93"/>
      <c r="AH49" s="93"/>
      <c r="AI49" s="93"/>
      <c r="AJ49" s="93"/>
      <c r="AK49" s="93"/>
      <c r="AL49" s="93"/>
      <c r="AM49" s="93"/>
      <c r="AN49" s="93"/>
      <c r="AO49" s="93"/>
      <c r="AP49" s="93"/>
      <c r="AQ49" s="93"/>
    </row>
    <row r="50" spans="1:43" x14ac:dyDescent="0.25">
      <c r="A50" s="92">
        <v>59</v>
      </c>
      <c r="B50" s="93">
        <v>349.2</v>
      </c>
      <c r="C50" s="93">
        <v>178.8</v>
      </c>
      <c r="D50" s="93">
        <v>122</v>
      </c>
      <c r="E50" s="93">
        <v>93.7</v>
      </c>
      <c r="F50" s="93">
        <v>76.8</v>
      </c>
      <c r="G50" s="93">
        <v>65.5</v>
      </c>
      <c r="H50" s="93">
        <v>57.5</v>
      </c>
      <c r="I50" s="93"/>
      <c r="J50" s="93"/>
      <c r="K50" s="93"/>
      <c r="L50" s="93"/>
      <c r="M50" s="93"/>
      <c r="N50" s="93"/>
      <c r="O50" s="93"/>
      <c r="P50" s="93"/>
      <c r="Q50" s="93"/>
      <c r="R50" s="93"/>
      <c r="S50" s="93"/>
      <c r="T50" s="93"/>
      <c r="U50" s="93"/>
      <c r="W50" s="92">
        <v>59</v>
      </c>
      <c r="X50" s="93">
        <v>329.2</v>
      </c>
      <c r="Y50" s="93">
        <v>168.6</v>
      </c>
      <c r="Z50" s="93">
        <v>115.1</v>
      </c>
      <c r="AA50" s="93">
        <v>88.4</v>
      </c>
      <c r="AB50" s="93">
        <v>72.400000000000006</v>
      </c>
      <c r="AC50" s="93">
        <v>61.8</v>
      </c>
      <c r="AD50" s="93">
        <v>54.3</v>
      </c>
      <c r="AE50" s="93"/>
      <c r="AF50" s="93"/>
      <c r="AG50" s="93"/>
      <c r="AH50" s="93"/>
      <c r="AI50" s="93"/>
      <c r="AJ50" s="93"/>
      <c r="AK50" s="93"/>
      <c r="AL50" s="93"/>
      <c r="AM50" s="93"/>
      <c r="AN50" s="93"/>
      <c r="AO50" s="93"/>
      <c r="AP50" s="93"/>
      <c r="AQ50" s="93"/>
    </row>
    <row r="51" spans="1:43" x14ac:dyDescent="0.25">
      <c r="A51" s="92">
        <v>60</v>
      </c>
      <c r="B51" s="93">
        <v>355.5</v>
      </c>
      <c r="C51" s="93">
        <v>182.1</v>
      </c>
      <c r="D51" s="93">
        <v>124.3</v>
      </c>
      <c r="E51" s="93">
        <v>95.5</v>
      </c>
      <c r="F51" s="93">
        <v>78.3</v>
      </c>
      <c r="G51" s="93">
        <v>66.900000000000006</v>
      </c>
      <c r="H51" s="93"/>
      <c r="I51" s="93"/>
      <c r="J51" s="93"/>
      <c r="K51" s="93"/>
      <c r="L51" s="93"/>
      <c r="M51" s="93"/>
      <c r="N51" s="93"/>
      <c r="O51" s="93"/>
      <c r="P51" s="93"/>
      <c r="Q51" s="93"/>
      <c r="R51" s="93"/>
      <c r="S51" s="93"/>
      <c r="T51" s="93"/>
      <c r="U51" s="93"/>
      <c r="W51" s="92">
        <v>60</v>
      </c>
      <c r="X51" s="93">
        <v>335.5</v>
      </c>
      <c r="Y51" s="93">
        <v>171.8</v>
      </c>
      <c r="Z51" s="93">
        <v>117.4</v>
      </c>
      <c r="AA51" s="93">
        <v>90.2</v>
      </c>
      <c r="AB51" s="93">
        <v>73.900000000000006</v>
      </c>
      <c r="AC51" s="93">
        <v>63.1</v>
      </c>
      <c r="AD51" s="93"/>
      <c r="AE51" s="93"/>
      <c r="AF51" s="93"/>
      <c r="AG51" s="93"/>
      <c r="AH51" s="93"/>
      <c r="AI51" s="93"/>
      <c r="AJ51" s="93"/>
      <c r="AK51" s="93"/>
      <c r="AL51" s="93"/>
      <c r="AM51" s="93"/>
      <c r="AN51" s="93"/>
      <c r="AO51" s="93"/>
      <c r="AP51" s="93"/>
      <c r="AQ51" s="93"/>
    </row>
    <row r="52" spans="1:43" x14ac:dyDescent="0.25">
      <c r="A52" s="92">
        <v>61</v>
      </c>
      <c r="B52" s="93">
        <v>362</v>
      </c>
      <c r="C52" s="93">
        <v>185.5</v>
      </c>
      <c r="D52" s="93">
        <v>126.7</v>
      </c>
      <c r="E52" s="93">
        <v>97.4</v>
      </c>
      <c r="F52" s="93">
        <v>79.8</v>
      </c>
      <c r="G52" s="93"/>
      <c r="H52" s="93"/>
      <c r="I52" s="93"/>
      <c r="J52" s="93"/>
      <c r="K52" s="93"/>
      <c r="L52" s="93"/>
      <c r="M52" s="93"/>
      <c r="N52" s="93"/>
      <c r="O52" s="93"/>
      <c r="P52" s="93"/>
      <c r="Q52" s="93"/>
      <c r="R52" s="93"/>
      <c r="S52" s="93"/>
      <c r="T52" s="93"/>
      <c r="U52" s="93"/>
      <c r="W52" s="92">
        <v>61</v>
      </c>
      <c r="X52" s="93">
        <v>342</v>
      </c>
      <c r="Y52" s="93">
        <v>175.2</v>
      </c>
      <c r="Z52" s="93">
        <v>119.7</v>
      </c>
      <c r="AA52" s="93">
        <v>92</v>
      </c>
      <c r="AB52" s="93">
        <v>75.5</v>
      </c>
      <c r="AC52" s="93"/>
      <c r="AD52" s="93"/>
      <c r="AE52" s="93"/>
      <c r="AF52" s="93"/>
      <c r="AG52" s="93"/>
      <c r="AH52" s="93"/>
      <c r="AI52" s="93"/>
      <c r="AJ52" s="93"/>
      <c r="AK52" s="93"/>
      <c r="AL52" s="93"/>
      <c r="AM52" s="93"/>
      <c r="AN52" s="93"/>
      <c r="AO52" s="93"/>
      <c r="AP52" s="93"/>
      <c r="AQ52" s="93"/>
    </row>
    <row r="53" spans="1:43" x14ac:dyDescent="0.25">
      <c r="A53" s="92">
        <v>62</v>
      </c>
      <c r="B53" s="93">
        <v>368.8</v>
      </c>
      <c r="C53" s="93">
        <v>189</v>
      </c>
      <c r="D53" s="93">
        <v>129.1</v>
      </c>
      <c r="E53" s="93">
        <v>99.3</v>
      </c>
      <c r="F53" s="93"/>
      <c r="G53" s="93"/>
      <c r="H53" s="93"/>
      <c r="I53" s="93"/>
      <c r="J53" s="93"/>
      <c r="K53" s="93"/>
      <c r="L53" s="93"/>
      <c r="M53" s="93"/>
      <c r="N53" s="93"/>
      <c r="O53" s="93"/>
      <c r="P53" s="93"/>
      <c r="Q53" s="93"/>
      <c r="R53" s="93"/>
      <c r="S53" s="93"/>
      <c r="T53" s="93"/>
      <c r="U53" s="93"/>
      <c r="W53" s="92">
        <v>62</v>
      </c>
      <c r="X53" s="93">
        <v>348.8</v>
      </c>
      <c r="Y53" s="93">
        <v>178.7</v>
      </c>
      <c r="Z53" s="93">
        <v>122.1</v>
      </c>
      <c r="AA53" s="93">
        <v>93.9</v>
      </c>
      <c r="AB53" s="93"/>
      <c r="AC53" s="93"/>
      <c r="AD53" s="93"/>
      <c r="AE53" s="93"/>
      <c r="AF53" s="93"/>
      <c r="AG53" s="93"/>
      <c r="AH53" s="93"/>
      <c r="AI53" s="93"/>
      <c r="AJ53" s="93"/>
      <c r="AK53" s="93"/>
      <c r="AL53" s="93"/>
      <c r="AM53" s="93"/>
      <c r="AN53" s="93"/>
      <c r="AO53" s="93"/>
      <c r="AP53" s="93"/>
      <c r="AQ53" s="93"/>
    </row>
    <row r="54" spans="1:43" x14ac:dyDescent="0.25">
      <c r="A54" s="92">
        <v>63</v>
      </c>
      <c r="B54" s="93">
        <v>375.7</v>
      </c>
      <c r="C54" s="93">
        <v>192.6</v>
      </c>
      <c r="D54" s="93">
        <v>131.69999999999999</v>
      </c>
      <c r="E54" s="93"/>
      <c r="F54" s="93"/>
      <c r="G54" s="93"/>
      <c r="H54" s="93"/>
      <c r="I54" s="93"/>
      <c r="J54" s="93"/>
      <c r="K54" s="93"/>
      <c r="L54" s="93"/>
      <c r="M54" s="93"/>
      <c r="N54" s="93"/>
      <c r="O54" s="93"/>
      <c r="P54" s="93"/>
      <c r="Q54" s="93"/>
      <c r="R54" s="93"/>
      <c r="S54" s="93"/>
      <c r="T54" s="93"/>
      <c r="U54" s="93"/>
      <c r="W54" s="92">
        <v>63</v>
      </c>
      <c r="X54" s="93">
        <v>355.8</v>
      </c>
      <c r="Y54" s="93">
        <v>182.4</v>
      </c>
      <c r="Z54" s="93">
        <v>124.7</v>
      </c>
      <c r="AA54" s="93"/>
      <c r="AB54" s="93"/>
      <c r="AC54" s="93"/>
      <c r="AD54" s="93"/>
      <c r="AE54" s="93"/>
      <c r="AF54" s="93"/>
      <c r="AG54" s="93"/>
      <c r="AH54" s="93"/>
      <c r="AI54" s="93"/>
      <c r="AJ54" s="93"/>
      <c r="AK54" s="93"/>
      <c r="AL54" s="93"/>
      <c r="AM54" s="93"/>
      <c r="AN54" s="93"/>
      <c r="AO54" s="93"/>
      <c r="AP54" s="93"/>
      <c r="AQ54" s="93"/>
    </row>
    <row r="55" spans="1:43" x14ac:dyDescent="0.25">
      <c r="A55" s="92">
        <v>64</v>
      </c>
      <c r="B55" s="93">
        <v>383.1</v>
      </c>
      <c r="C55" s="93">
        <v>196.5</v>
      </c>
      <c r="D55" s="93"/>
      <c r="E55" s="93"/>
      <c r="F55" s="93"/>
      <c r="G55" s="93"/>
      <c r="H55" s="93"/>
      <c r="I55" s="93"/>
      <c r="J55" s="93"/>
      <c r="K55" s="93"/>
      <c r="L55" s="93"/>
      <c r="M55" s="93"/>
      <c r="N55" s="93"/>
      <c r="O55" s="93"/>
      <c r="P55" s="93"/>
      <c r="Q55" s="93"/>
      <c r="R55" s="93"/>
      <c r="S55" s="93"/>
      <c r="T55" s="93"/>
      <c r="U55" s="93"/>
      <c r="W55" s="92">
        <v>64</v>
      </c>
      <c r="X55" s="93">
        <v>363.2</v>
      </c>
      <c r="Y55" s="93">
        <v>186.3</v>
      </c>
      <c r="Z55" s="93"/>
      <c r="AA55" s="93"/>
      <c r="AB55" s="93"/>
      <c r="AC55" s="93"/>
      <c r="AD55" s="93"/>
      <c r="AE55" s="93"/>
      <c r="AF55" s="93"/>
      <c r="AG55" s="93"/>
      <c r="AH55" s="93"/>
      <c r="AI55" s="93"/>
      <c r="AJ55" s="93"/>
      <c r="AK55" s="93"/>
      <c r="AL55" s="93"/>
      <c r="AM55" s="93"/>
      <c r="AN55" s="93"/>
      <c r="AO55" s="93"/>
      <c r="AP55" s="93"/>
      <c r="AQ55" s="93"/>
    </row>
    <row r="56" spans="1:43" x14ac:dyDescent="0.25">
      <c r="A56" s="92">
        <v>65</v>
      </c>
      <c r="B56" s="93">
        <v>390.8</v>
      </c>
      <c r="C56" s="93"/>
      <c r="D56" s="93"/>
      <c r="E56" s="93"/>
      <c r="F56" s="93"/>
      <c r="G56" s="93"/>
      <c r="H56" s="93"/>
      <c r="I56" s="93"/>
      <c r="J56" s="93"/>
      <c r="K56" s="93"/>
      <c r="L56" s="93"/>
      <c r="M56" s="93"/>
      <c r="N56" s="93"/>
      <c r="O56" s="93"/>
      <c r="P56" s="93"/>
      <c r="Q56" s="93"/>
      <c r="R56" s="93"/>
      <c r="S56" s="93"/>
      <c r="T56" s="93"/>
      <c r="U56" s="93"/>
      <c r="W56" s="92"/>
      <c r="X56" s="93">
        <v>371</v>
      </c>
      <c r="Y56" s="93"/>
      <c r="Z56" s="93"/>
      <c r="AA56" s="93"/>
      <c r="AB56" s="93"/>
      <c r="AC56" s="93"/>
      <c r="AD56" s="93"/>
      <c r="AE56" s="93"/>
      <c r="AF56" s="93"/>
      <c r="AG56" s="93"/>
      <c r="AH56" s="93"/>
      <c r="AI56" s="93"/>
      <c r="AJ56" s="93"/>
      <c r="AK56" s="93"/>
      <c r="AL56" s="93"/>
      <c r="AM56" s="93"/>
      <c r="AN56" s="93"/>
      <c r="AO56" s="93"/>
      <c r="AP56" s="93"/>
      <c r="AQ56" s="93"/>
    </row>
    <row r="57" spans="1:43" x14ac:dyDescent="0.25">
      <c r="A57" s="18"/>
      <c r="B57" s="21"/>
      <c r="C57" s="21"/>
      <c r="D57" s="21"/>
      <c r="E57" s="21"/>
      <c r="F57" s="21"/>
      <c r="G57" s="21"/>
      <c r="H57" s="21"/>
      <c r="I57" s="21"/>
      <c r="J57" s="21"/>
      <c r="K57" s="21"/>
      <c r="L57" s="21"/>
      <c r="M57" s="21"/>
      <c r="N57" s="21"/>
      <c r="O57" s="21"/>
      <c r="P57" s="21"/>
      <c r="Q57" s="21"/>
      <c r="R57" s="21"/>
      <c r="S57" s="21"/>
      <c r="T57" s="21"/>
      <c r="U57" s="21"/>
    </row>
  </sheetData>
  <mergeCells count="2">
    <mergeCell ref="B5:U5"/>
    <mergeCell ref="X5:AQ5"/>
  </mergeCells>
  <conditionalFormatting sqref="A7:A56">
    <cfRule type="expression" dxfId="23" priority="5" stopIfTrue="1">
      <formula>MOD(ROW(),2)=0</formula>
    </cfRule>
    <cfRule type="expression" dxfId="22" priority="6" stopIfTrue="1">
      <formula>MOD(ROW(),2)&lt;&gt;0</formula>
    </cfRule>
  </conditionalFormatting>
  <conditionalFormatting sqref="B7:U56">
    <cfRule type="expression" dxfId="21" priority="1" stopIfTrue="1">
      <formula>MOD(ROW(),2)=0</formula>
    </cfRule>
    <cfRule type="expression" dxfId="20" priority="2" stopIfTrue="1">
      <formula>MOD(ROW(),2)&lt;&gt;0</formula>
    </cfRule>
  </conditionalFormatting>
  <conditionalFormatting sqref="W7:W56">
    <cfRule type="expression" dxfId="19" priority="9" stopIfTrue="1">
      <formula>MOD(ROW(),2)=0</formula>
    </cfRule>
    <cfRule type="expression" dxfId="18" priority="10" stopIfTrue="1">
      <formula>MOD(ROW(),2)&lt;&gt;0</formula>
    </cfRule>
  </conditionalFormatting>
  <conditionalFormatting sqref="X7:AQ56">
    <cfRule type="expression" dxfId="17" priority="3" stopIfTrue="1">
      <formula>MOD(ROW(),2)=0</formula>
    </cfRule>
    <cfRule type="expression" dxfId="16" priority="4" stopIfTrue="1">
      <formula>MOD(ROW(),2)&lt;&gt;0</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760A6-AE59-4E06-A36A-D6FBE6139200}">
  <sheetPr codeName="Sheet6"/>
  <dimension ref="A2:AQ57"/>
  <sheetViews>
    <sheetView topLeftCell="P1" workbookViewId="0">
      <selection activeCell="C16" sqref="C16"/>
    </sheetView>
  </sheetViews>
  <sheetFormatPr defaultColWidth="9.140625" defaultRowHeight="15" x14ac:dyDescent="0.25"/>
  <cols>
    <col min="1" max="1" width="14.28515625" style="16" customWidth="1"/>
    <col min="2" max="3" width="8.85546875" style="16" customWidth="1"/>
    <col min="4" max="4" width="9.140625" style="16"/>
    <col min="5" max="5" width="8.85546875" style="16" customWidth="1"/>
    <col min="6" max="22" width="9.140625" style="16"/>
    <col min="23" max="23" width="14.28515625" style="16" customWidth="1"/>
    <col min="24" max="16384" width="9.140625" style="16"/>
  </cols>
  <sheetData>
    <row r="2" spans="1:43" x14ac:dyDescent="0.25">
      <c r="A2" s="17" t="s">
        <v>161</v>
      </c>
      <c r="W2" s="17" t="s">
        <v>161</v>
      </c>
    </row>
    <row r="3" spans="1:43" ht="21" x14ac:dyDescent="0.35">
      <c r="A3" s="17" t="s">
        <v>168</v>
      </c>
      <c r="K3" s="16" t="s">
        <v>73</v>
      </c>
      <c r="W3" s="17" t="s">
        <v>169</v>
      </c>
      <c r="AD3" s="16" t="s">
        <v>59</v>
      </c>
    </row>
    <row r="4" spans="1:43" ht="15.75" thickBot="1" x14ac:dyDescent="0.3"/>
    <row r="5" spans="1:43" ht="51" customHeight="1" thickBot="1" x14ac:dyDescent="0.3">
      <c r="A5" s="19" t="s">
        <v>157</v>
      </c>
      <c r="B5" s="212" t="s">
        <v>158</v>
      </c>
      <c r="C5" s="212"/>
      <c r="D5" s="212"/>
      <c r="E5" s="212"/>
      <c r="F5" s="212"/>
      <c r="G5" s="212"/>
      <c r="H5" s="212"/>
      <c r="I5" s="212"/>
      <c r="J5" s="212"/>
      <c r="K5" s="212"/>
      <c r="L5" s="212"/>
      <c r="M5" s="212"/>
      <c r="N5" s="212"/>
      <c r="O5" s="212"/>
      <c r="P5" s="212"/>
      <c r="Q5" s="212"/>
      <c r="R5" s="212"/>
      <c r="S5" s="212"/>
      <c r="T5" s="212"/>
      <c r="U5" s="212"/>
      <c r="W5" s="19" t="s">
        <v>157</v>
      </c>
      <c r="X5" s="212" t="s">
        <v>158</v>
      </c>
      <c r="Y5" s="212"/>
      <c r="Z5" s="212"/>
      <c r="AA5" s="212"/>
      <c r="AB5" s="212"/>
      <c r="AC5" s="212"/>
      <c r="AD5" s="212"/>
      <c r="AE5" s="212"/>
      <c r="AF5" s="212"/>
      <c r="AG5" s="212"/>
      <c r="AH5" s="212"/>
      <c r="AI5" s="212"/>
      <c r="AJ5" s="212"/>
      <c r="AK5" s="212"/>
      <c r="AL5" s="212"/>
      <c r="AM5" s="212"/>
      <c r="AN5" s="212"/>
      <c r="AO5" s="212"/>
      <c r="AP5" s="212"/>
      <c r="AQ5" s="212"/>
    </row>
    <row r="6" spans="1:43" ht="39" customHeight="1" thickBot="1" x14ac:dyDescent="0.3">
      <c r="A6" s="68" t="s">
        <v>159</v>
      </c>
      <c r="B6" s="20">
        <v>1</v>
      </c>
      <c r="C6" s="20">
        <v>2</v>
      </c>
      <c r="D6" s="20">
        <v>3</v>
      </c>
      <c r="E6" s="20">
        <v>4</v>
      </c>
      <c r="F6" s="20">
        <v>5</v>
      </c>
      <c r="G6" s="20">
        <v>6</v>
      </c>
      <c r="H6" s="20">
        <v>7</v>
      </c>
      <c r="I6" s="20">
        <v>8</v>
      </c>
      <c r="J6" s="20">
        <v>9</v>
      </c>
      <c r="K6" s="20">
        <v>10</v>
      </c>
      <c r="L6" s="20">
        <v>11</v>
      </c>
      <c r="M6" s="20">
        <v>12</v>
      </c>
      <c r="N6" s="20">
        <v>13</v>
      </c>
      <c r="O6" s="20">
        <v>14</v>
      </c>
      <c r="P6" s="20">
        <v>15</v>
      </c>
      <c r="Q6" s="20">
        <v>16</v>
      </c>
      <c r="R6" s="20">
        <v>17</v>
      </c>
      <c r="S6" s="20">
        <v>18</v>
      </c>
      <c r="T6" s="20">
        <v>19</v>
      </c>
      <c r="U6" s="20">
        <v>20</v>
      </c>
      <c r="W6" s="68" t="s">
        <v>159</v>
      </c>
      <c r="X6" s="20">
        <v>1</v>
      </c>
      <c r="Y6" s="20">
        <v>2</v>
      </c>
      <c r="Z6" s="20">
        <v>3</v>
      </c>
      <c r="AA6" s="20">
        <v>4</v>
      </c>
      <c r="AB6" s="20">
        <v>5</v>
      </c>
      <c r="AC6" s="20">
        <v>6</v>
      </c>
      <c r="AD6" s="20">
        <v>7</v>
      </c>
      <c r="AE6" s="20">
        <v>8</v>
      </c>
      <c r="AF6" s="20">
        <v>9</v>
      </c>
      <c r="AG6" s="20">
        <v>10</v>
      </c>
      <c r="AH6" s="20">
        <v>11</v>
      </c>
      <c r="AI6" s="20">
        <v>12</v>
      </c>
      <c r="AJ6" s="20">
        <v>13</v>
      </c>
      <c r="AK6" s="20">
        <v>14</v>
      </c>
      <c r="AL6" s="20">
        <v>15</v>
      </c>
      <c r="AM6" s="20">
        <v>16</v>
      </c>
      <c r="AN6" s="20">
        <v>17</v>
      </c>
      <c r="AO6" s="20">
        <v>18</v>
      </c>
      <c r="AP6" s="20">
        <v>19</v>
      </c>
      <c r="AQ6" s="20">
        <v>20</v>
      </c>
    </row>
    <row r="7" spans="1:43" x14ac:dyDescent="0.25">
      <c r="A7" s="92">
        <v>16</v>
      </c>
      <c r="B7" s="93">
        <v>158.1</v>
      </c>
      <c r="C7" s="93">
        <v>80.599999999999994</v>
      </c>
      <c r="D7" s="93">
        <v>54.8</v>
      </c>
      <c r="E7" s="93">
        <v>41.9</v>
      </c>
      <c r="F7" s="93">
        <v>34.200000000000003</v>
      </c>
      <c r="G7" s="93">
        <v>29</v>
      </c>
      <c r="H7" s="93">
        <v>25.4</v>
      </c>
      <c r="I7" s="93">
        <v>22.6</v>
      </c>
      <c r="J7" s="93">
        <v>20.5</v>
      </c>
      <c r="K7" s="93">
        <v>18.8</v>
      </c>
      <c r="L7" s="93">
        <v>17.399999999999999</v>
      </c>
      <c r="M7" s="93">
        <v>16.2</v>
      </c>
      <c r="N7" s="93">
        <v>15.3</v>
      </c>
      <c r="O7" s="93">
        <v>14.4</v>
      </c>
      <c r="P7" s="93">
        <v>13.7</v>
      </c>
      <c r="Q7" s="93">
        <v>13.1</v>
      </c>
      <c r="R7" s="93">
        <v>12.6</v>
      </c>
      <c r="S7" s="93">
        <v>12.1</v>
      </c>
      <c r="T7" s="93">
        <v>11.6</v>
      </c>
      <c r="U7" s="93">
        <v>11.2</v>
      </c>
      <c r="W7" s="92">
        <v>16</v>
      </c>
      <c r="X7" s="93">
        <v>147.19999999999999</v>
      </c>
      <c r="Y7" s="93">
        <v>75.099999999999994</v>
      </c>
      <c r="Z7" s="93">
        <v>51</v>
      </c>
      <c r="AA7" s="93">
        <v>39</v>
      </c>
      <c r="AB7" s="93">
        <v>31.8</v>
      </c>
      <c r="AC7" s="93">
        <v>27</v>
      </c>
      <c r="AD7" s="93">
        <v>23.6</v>
      </c>
      <c r="AE7" s="93">
        <v>21.1</v>
      </c>
      <c r="AF7" s="93">
        <v>19.100000000000001</v>
      </c>
      <c r="AG7" s="93">
        <v>17.5</v>
      </c>
      <c r="AH7" s="93">
        <v>16.2</v>
      </c>
      <c r="AI7" s="93">
        <v>15.1</v>
      </c>
      <c r="AJ7" s="93">
        <v>14.2</v>
      </c>
      <c r="AK7" s="93">
        <v>13.5</v>
      </c>
      <c r="AL7" s="93">
        <v>12.8</v>
      </c>
      <c r="AM7" s="93">
        <v>12.2</v>
      </c>
      <c r="AN7" s="93">
        <v>11.7</v>
      </c>
      <c r="AO7" s="93">
        <v>11.2</v>
      </c>
      <c r="AP7" s="93">
        <v>10.8</v>
      </c>
      <c r="AQ7" s="93">
        <v>10.5</v>
      </c>
    </row>
    <row r="8" spans="1:43" x14ac:dyDescent="0.25">
      <c r="A8" s="92">
        <v>17</v>
      </c>
      <c r="B8" s="93">
        <v>161.1</v>
      </c>
      <c r="C8" s="93">
        <v>82.2</v>
      </c>
      <c r="D8" s="93">
        <v>55.9</v>
      </c>
      <c r="E8" s="93">
        <v>42.7</v>
      </c>
      <c r="F8" s="93">
        <v>34.799999999999997</v>
      </c>
      <c r="G8" s="93">
        <v>29.6</v>
      </c>
      <c r="H8" s="93">
        <v>25.9</v>
      </c>
      <c r="I8" s="93">
        <v>23.1</v>
      </c>
      <c r="J8" s="93">
        <v>20.9</v>
      </c>
      <c r="K8" s="93">
        <v>19.2</v>
      </c>
      <c r="L8" s="93">
        <v>17.7</v>
      </c>
      <c r="M8" s="93">
        <v>16.600000000000001</v>
      </c>
      <c r="N8" s="93">
        <v>15.6</v>
      </c>
      <c r="O8" s="93">
        <v>14.7</v>
      </c>
      <c r="P8" s="93">
        <v>14</v>
      </c>
      <c r="Q8" s="93">
        <v>13.4</v>
      </c>
      <c r="R8" s="93">
        <v>12.8</v>
      </c>
      <c r="S8" s="93">
        <v>12.3</v>
      </c>
      <c r="T8" s="93">
        <v>11.9</v>
      </c>
      <c r="U8" s="93">
        <v>11.5</v>
      </c>
      <c r="W8" s="92">
        <v>17</v>
      </c>
      <c r="X8" s="93">
        <v>149.80000000000001</v>
      </c>
      <c r="Y8" s="93">
        <v>76.400000000000006</v>
      </c>
      <c r="Z8" s="93">
        <v>51.9</v>
      </c>
      <c r="AA8" s="93">
        <v>39.700000000000003</v>
      </c>
      <c r="AB8" s="93">
        <v>32.4</v>
      </c>
      <c r="AC8" s="93">
        <v>27.5</v>
      </c>
      <c r="AD8" s="93">
        <v>24</v>
      </c>
      <c r="AE8" s="93">
        <v>21.4</v>
      </c>
      <c r="AF8" s="93">
        <v>19.399999999999999</v>
      </c>
      <c r="AG8" s="93">
        <v>17.8</v>
      </c>
      <c r="AH8" s="93">
        <v>16.5</v>
      </c>
      <c r="AI8" s="93">
        <v>15.4</v>
      </c>
      <c r="AJ8" s="93">
        <v>14.5</v>
      </c>
      <c r="AK8" s="93">
        <v>13.7</v>
      </c>
      <c r="AL8" s="93">
        <v>13</v>
      </c>
      <c r="AM8" s="93">
        <v>12.4</v>
      </c>
      <c r="AN8" s="93">
        <v>11.9</v>
      </c>
      <c r="AO8" s="93">
        <v>11.4</v>
      </c>
      <c r="AP8" s="93">
        <v>11</v>
      </c>
      <c r="AQ8" s="93">
        <v>10.7</v>
      </c>
    </row>
    <row r="9" spans="1:43" x14ac:dyDescent="0.25">
      <c r="A9" s="92">
        <v>18</v>
      </c>
      <c r="B9" s="93">
        <v>164.3</v>
      </c>
      <c r="C9" s="93">
        <v>83.8</v>
      </c>
      <c r="D9" s="93">
        <v>57</v>
      </c>
      <c r="E9" s="93">
        <v>43.6</v>
      </c>
      <c r="F9" s="93">
        <v>35.5</v>
      </c>
      <c r="G9" s="93">
        <v>30.2</v>
      </c>
      <c r="H9" s="93">
        <v>26.4</v>
      </c>
      <c r="I9" s="93">
        <v>23.5</v>
      </c>
      <c r="J9" s="93">
        <v>21.3</v>
      </c>
      <c r="K9" s="93">
        <v>19.5</v>
      </c>
      <c r="L9" s="93">
        <v>18.100000000000001</v>
      </c>
      <c r="M9" s="93">
        <v>16.899999999999999</v>
      </c>
      <c r="N9" s="93">
        <v>15.9</v>
      </c>
      <c r="O9" s="93">
        <v>15</v>
      </c>
      <c r="P9" s="93">
        <v>14.3</v>
      </c>
      <c r="Q9" s="93">
        <v>13.6</v>
      </c>
      <c r="R9" s="93">
        <v>13.1</v>
      </c>
      <c r="S9" s="93">
        <v>12.6</v>
      </c>
      <c r="T9" s="93">
        <v>12.1</v>
      </c>
      <c r="U9" s="93">
        <v>11.7</v>
      </c>
      <c r="W9" s="92">
        <v>18</v>
      </c>
      <c r="X9" s="93">
        <v>152.5</v>
      </c>
      <c r="Y9" s="93">
        <v>77.8</v>
      </c>
      <c r="Z9" s="93">
        <v>52.9</v>
      </c>
      <c r="AA9" s="93">
        <v>40.4</v>
      </c>
      <c r="AB9" s="93">
        <v>33</v>
      </c>
      <c r="AC9" s="93">
        <v>28</v>
      </c>
      <c r="AD9" s="93">
        <v>24.5</v>
      </c>
      <c r="AE9" s="93">
        <v>21.8</v>
      </c>
      <c r="AF9" s="93">
        <v>19.8</v>
      </c>
      <c r="AG9" s="93">
        <v>18.100000000000001</v>
      </c>
      <c r="AH9" s="93">
        <v>16.8</v>
      </c>
      <c r="AI9" s="93">
        <v>15.7</v>
      </c>
      <c r="AJ9" s="93">
        <v>14.7</v>
      </c>
      <c r="AK9" s="93">
        <v>13.9</v>
      </c>
      <c r="AL9" s="93">
        <v>13.2</v>
      </c>
      <c r="AM9" s="93">
        <v>12.6</v>
      </c>
      <c r="AN9" s="93">
        <v>12.1</v>
      </c>
      <c r="AO9" s="93">
        <v>11.6</v>
      </c>
      <c r="AP9" s="93">
        <v>11.2</v>
      </c>
      <c r="AQ9" s="93">
        <v>10.9</v>
      </c>
    </row>
    <row r="10" spans="1:43" x14ac:dyDescent="0.25">
      <c r="A10" s="92">
        <v>19</v>
      </c>
      <c r="B10" s="93">
        <v>167.5</v>
      </c>
      <c r="C10" s="93">
        <v>85.4</v>
      </c>
      <c r="D10" s="93">
        <v>58.1</v>
      </c>
      <c r="E10" s="93">
        <v>44.4</v>
      </c>
      <c r="F10" s="93">
        <v>36.200000000000003</v>
      </c>
      <c r="G10" s="93">
        <v>30.8</v>
      </c>
      <c r="H10" s="93">
        <v>26.9</v>
      </c>
      <c r="I10" s="93">
        <v>24</v>
      </c>
      <c r="J10" s="93">
        <v>21.7</v>
      </c>
      <c r="K10" s="93">
        <v>19.899999999999999</v>
      </c>
      <c r="L10" s="93">
        <v>18.399999999999999</v>
      </c>
      <c r="M10" s="93">
        <v>17.2</v>
      </c>
      <c r="N10" s="93">
        <v>16.2</v>
      </c>
      <c r="O10" s="93">
        <v>15.3</v>
      </c>
      <c r="P10" s="93">
        <v>14.5</v>
      </c>
      <c r="Q10" s="93">
        <v>13.9</v>
      </c>
      <c r="R10" s="93">
        <v>13.3</v>
      </c>
      <c r="S10" s="93">
        <v>12.8</v>
      </c>
      <c r="T10" s="93">
        <v>12.3</v>
      </c>
      <c r="U10" s="93">
        <v>11.9</v>
      </c>
      <c r="W10" s="92">
        <v>19</v>
      </c>
      <c r="X10" s="93">
        <v>155.19999999999999</v>
      </c>
      <c r="Y10" s="93">
        <v>79.099999999999994</v>
      </c>
      <c r="Z10" s="93">
        <v>53.8</v>
      </c>
      <c r="AA10" s="93">
        <v>41.2</v>
      </c>
      <c r="AB10" s="93">
        <v>33.6</v>
      </c>
      <c r="AC10" s="93">
        <v>28.5</v>
      </c>
      <c r="AD10" s="93">
        <v>24.9</v>
      </c>
      <c r="AE10" s="93">
        <v>22.2</v>
      </c>
      <c r="AF10" s="93">
        <v>20.100000000000001</v>
      </c>
      <c r="AG10" s="93">
        <v>18.5</v>
      </c>
      <c r="AH10" s="93">
        <v>17.100000000000001</v>
      </c>
      <c r="AI10" s="93">
        <v>16</v>
      </c>
      <c r="AJ10" s="93">
        <v>15</v>
      </c>
      <c r="AK10" s="93">
        <v>14.2</v>
      </c>
      <c r="AL10" s="93">
        <v>13.5</v>
      </c>
      <c r="AM10" s="93">
        <v>12.9</v>
      </c>
      <c r="AN10" s="93">
        <v>12.3</v>
      </c>
      <c r="AO10" s="93">
        <v>11.9</v>
      </c>
      <c r="AP10" s="93">
        <v>11.4</v>
      </c>
      <c r="AQ10" s="93">
        <v>11.1</v>
      </c>
    </row>
    <row r="11" spans="1:43" x14ac:dyDescent="0.25">
      <c r="A11" s="92">
        <v>20</v>
      </c>
      <c r="B11" s="93">
        <v>170.4</v>
      </c>
      <c r="C11" s="93">
        <v>86.9</v>
      </c>
      <c r="D11" s="93">
        <v>59.1</v>
      </c>
      <c r="E11" s="93">
        <v>45.2</v>
      </c>
      <c r="F11" s="93">
        <v>36.9</v>
      </c>
      <c r="G11" s="93">
        <v>31.3</v>
      </c>
      <c r="H11" s="93">
        <v>27.4</v>
      </c>
      <c r="I11" s="93">
        <v>24.4</v>
      </c>
      <c r="J11" s="93">
        <v>22.1</v>
      </c>
      <c r="K11" s="93">
        <v>20.3</v>
      </c>
      <c r="L11" s="93">
        <v>18.8</v>
      </c>
      <c r="M11" s="93">
        <v>17.5</v>
      </c>
      <c r="N11" s="93">
        <v>16.5</v>
      </c>
      <c r="O11" s="93">
        <v>15.6</v>
      </c>
      <c r="P11" s="93">
        <v>14.8</v>
      </c>
      <c r="Q11" s="93">
        <v>14.1</v>
      </c>
      <c r="R11" s="93">
        <v>13.5</v>
      </c>
      <c r="S11" s="93">
        <v>13</v>
      </c>
      <c r="T11" s="93">
        <v>12.6</v>
      </c>
      <c r="U11" s="93">
        <v>12.1</v>
      </c>
      <c r="W11" s="92">
        <v>20</v>
      </c>
      <c r="X11" s="93">
        <v>158</v>
      </c>
      <c r="Y11" s="93">
        <v>80.599999999999994</v>
      </c>
      <c r="Z11" s="93">
        <v>54.8</v>
      </c>
      <c r="AA11" s="93">
        <v>41.9</v>
      </c>
      <c r="AB11" s="93">
        <v>34.200000000000003</v>
      </c>
      <c r="AC11" s="93">
        <v>29</v>
      </c>
      <c r="AD11" s="93">
        <v>25.4</v>
      </c>
      <c r="AE11" s="93">
        <v>22.6</v>
      </c>
      <c r="AF11" s="93">
        <v>20.5</v>
      </c>
      <c r="AG11" s="93">
        <v>18.8</v>
      </c>
      <c r="AH11" s="93">
        <v>17.399999999999999</v>
      </c>
      <c r="AI11" s="93">
        <v>16.2</v>
      </c>
      <c r="AJ11" s="93">
        <v>15.3</v>
      </c>
      <c r="AK11" s="93">
        <v>14.4</v>
      </c>
      <c r="AL11" s="93">
        <v>13.7</v>
      </c>
      <c r="AM11" s="93">
        <v>13.1</v>
      </c>
      <c r="AN11" s="93">
        <v>12.6</v>
      </c>
      <c r="AO11" s="93">
        <v>12.1</v>
      </c>
      <c r="AP11" s="93">
        <v>11.6</v>
      </c>
      <c r="AQ11" s="93">
        <v>11.2</v>
      </c>
    </row>
    <row r="12" spans="1:43" x14ac:dyDescent="0.25">
      <c r="A12" s="92">
        <v>21</v>
      </c>
      <c r="B12" s="93">
        <v>173.4</v>
      </c>
      <c r="C12" s="93">
        <v>88.4</v>
      </c>
      <c r="D12" s="93">
        <v>60.1</v>
      </c>
      <c r="E12" s="93">
        <v>46</v>
      </c>
      <c r="F12" s="93">
        <v>37.5</v>
      </c>
      <c r="G12" s="93">
        <v>31.9</v>
      </c>
      <c r="H12" s="93">
        <v>27.8</v>
      </c>
      <c r="I12" s="93">
        <v>24.8</v>
      </c>
      <c r="J12" s="93">
        <v>22.5</v>
      </c>
      <c r="K12" s="93">
        <v>20.6</v>
      </c>
      <c r="L12" s="93">
        <v>19.100000000000001</v>
      </c>
      <c r="M12" s="93">
        <v>17.8</v>
      </c>
      <c r="N12" s="93">
        <v>16.8</v>
      </c>
      <c r="O12" s="93">
        <v>15.9</v>
      </c>
      <c r="P12" s="93">
        <v>15.1</v>
      </c>
      <c r="Q12" s="93">
        <v>14.4</v>
      </c>
      <c r="R12" s="93">
        <v>13.8</v>
      </c>
      <c r="S12" s="93">
        <v>13.2</v>
      </c>
      <c r="T12" s="93">
        <v>12.8</v>
      </c>
      <c r="U12" s="93">
        <v>12.4</v>
      </c>
      <c r="W12" s="92">
        <v>21</v>
      </c>
      <c r="X12" s="93">
        <v>160.80000000000001</v>
      </c>
      <c r="Y12" s="93">
        <v>82</v>
      </c>
      <c r="Z12" s="93">
        <v>55.7</v>
      </c>
      <c r="AA12" s="93">
        <v>42.6</v>
      </c>
      <c r="AB12" s="93">
        <v>34.799999999999997</v>
      </c>
      <c r="AC12" s="93">
        <v>29.5</v>
      </c>
      <c r="AD12" s="93">
        <v>25.8</v>
      </c>
      <c r="AE12" s="93">
        <v>23</v>
      </c>
      <c r="AF12" s="93">
        <v>20.8</v>
      </c>
      <c r="AG12" s="93">
        <v>19.100000000000001</v>
      </c>
      <c r="AH12" s="93">
        <v>17.7</v>
      </c>
      <c r="AI12" s="93">
        <v>16.5</v>
      </c>
      <c r="AJ12" s="93">
        <v>15.5</v>
      </c>
      <c r="AK12" s="93">
        <v>14.7</v>
      </c>
      <c r="AL12" s="93">
        <v>14</v>
      </c>
      <c r="AM12" s="93">
        <v>13.3</v>
      </c>
      <c r="AN12" s="93">
        <v>12.8</v>
      </c>
      <c r="AO12" s="93">
        <v>12.3</v>
      </c>
      <c r="AP12" s="93">
        <v>11.8</v>
      </c>
      <c r="AQ12" s="93">
        <v>11.5</v>
      </c>
    </row>
    <row r="13" spans="1:43" x14ac:dyDescent="0.25">
      <c r="A13" s="92">
        <v>22</v>
      </c>
      <c r="B13" s="93">
        <v>176.4</v>
      </c>
      <c r="C13" s="93">
        <v>90</v>
      </c>
      <c r="D13" s="93">
        <v>61.2</v>
      </c>
      <c r="E13" s="93">
        <v>46.8</v>
      </c>
      <c r="F13" s="93">
        <v>38.200000000000003</v>
      </c>
      <c r="G13" s="93">
        <v>32.4</v>
      </c>
      <c r="H13" s="93">
        <v>28.3</v>
      </c>
      <c r="I13" s="93">
        <v>25.3</v>
      </c>
      <c r="J13" s="93">
        <v>22.9</v>
      </c>
      <c r="K13" s="93">
        <v>21</v>
      </c>
      <c r="L13" s="93">
        <v>19.399999999999999</v>
      </c>
      <c r="M13" s="93">
        <v>18.100000000000001</v>
      </c>
      <c r="N13" s="93">
        <v>17.100000000000001</v>
      </c>
      <c r="O13" s="93">
        <v>16.100000000000001</v>
      </c>
      <c r="P13" s="93">
        <v>15.3</v>
      </c>
      <c r="Q13" s="93">
        <v>14.6</v>
      </c>
      <c r="R13" s="93">
        <v>14</v>
      </c>
      <c r="S13" s="93">
        <v>13.5</v>
      </c>
      <c r="T13" s="93">
        <v>13</v>
      </c>
      <c r="U13" s="93">
        <v>12.6</v>
      </c>
      <c r="W13" s="92">
        <v>22</v>
      </c>
      <c r="X13" s="93">
        <v>163.6</v>
      </c>
      <c r="Y13" s="93">
        <v>83.4</v>
      </c>
      <c r="Z13" s="93">
        <v>56.7</v>
      </c>
      <c r="AA13" s="93">
        <v>43.4</v>
      </c>
      <c r="AB13" s="93">
        <v>35.4</v>
      </c>
      <c r="AC13" s="93">
        <v>30.1</v>
      </c>
      <c r="AD13" s="93">
        <v>26.3</v>
      </c>
      <c r="AE13" s="93">
        <v>23.4</v>
      </c>
      <c r="AF13" s="93">
        <v>21.2</v>
      </c>
      <c r="AG13" s="93">
        <v>19.5</v>
      </c>
      <c r="AH13" s="93">
        <v>18</v>
      </c>
      <c r="AI13" s="93">
        <v>16.8</v>
      </c>
      <c r="AJ13" s="93">
        <v>15.8</v>
      </c>
      <c r="AK13" s="93">
        <v>15</v>
      </c>
      <c r="AL13" s="93">
        <v>14.2</v>
      </c>
      <c r="AM13" s="93">
        <v>13.6</v>
      </c>
      <c r="AN13" s="93">
        <v>13</v>
      </c>
      <c r="AO13" s="93">
        <v>12.5</v>
      </c>
      <c r="AP13" s="93">
        <v>12.1</v>
      </c>
      <c r="AQ13" s="93">
        <v>11.7</v>
      </c>
    </row>
    <row r="14" spans="1:43" x14ac:dyDescent="0.25">
      <c r="A14" s="92">
        <v>23</v>
      </c>
      <c r="B14" s="93">
        <v>179.5</v>
      </c>
      <c r="C14" s="93">
        <v>91.5</v>
      </c>
      <c r="D14" s="93">
        <v>62.2</v>
      </c>
      <c r="E14" s="93">
        <v>47.6</v>
      </c>
      <c r="F14" s="93">
        <v>38.799999999999997</v>
      </c>
      <c r="G14" s="93">
        <v>33</v>
      </c>
      <c r="H14" s="93">
        <v>28.8</v>
      </c>
      <c r="I14" s="93">
        <v>25.7</v>
      </c>
      <c r="J14" s="93">
        <v>23.3</v>
      </c>
      <c r="K14" s="93">
        <v>21.3</v>
      </c>
      <c r="L14" s="93">
        <v>19.8</v>
      </c>
      <c r="M14" s="93">
        <v>18.5</v>
      </c>
      <c r="N14" s="93">
        <v>17.399999999999999</v>
      </c>
      <c r="O14" s="93">
        <v>16.399999999999999</v>
      </c>
      <c r="P14" s="93">
        <v>15.6</v>
      </c>
      <c r="Q14" s="93">
        <v>14.9</v>
      </c>
      <c r="R14" s="93">
        <v>14.3</v>
      </c>
      <c r="S14" s="93">
        <v>13.7</v>
      </c>
      <c r="T14" s="93">
        <v>13.2</v>
      </c>
      <c r="U14" s="93">
        <v>12.8</v>
      </c>
      <c r="W14" s="92">
        <v>23</v>
      </c>
      <c r="X14" s="93">
        <v>166.5</v>
      </c>
      <c r="Y14" s="93">
        <v>84.9</v>
      </c>
      <c r="Z14" s="93">
        <v>57.7</v>
      </c>
      <c r="AA14" s="93">
        <v>44.1</v>
      </c>
      <c r="AB14" s="93">
        <v>36</v>
      </c>
      <c r="AC14" s="93">
        <v>30.6</v>
      </c>
      <c r="AD14" s="93">
        <v>26.7</v>
      </c>
      <c r="AE14" s="93">
        <v>23.8</v>
      </c>
      <c r="AF14" s="93">
        <v>21.6</v>
      </c>
      <c r="AG14" s="93">
        <v>19.8</v>
      </c>
      <c r="AH14" s="93">
        <v>18.3</v>
      </c>
      <c r="AI14" s="93">
        <v>17.100000000000001</v>
      </c>
      <c r="AJ14" s="93">
        <v>16.100000000000001</v>
      </c>
      <c r="AK14" s="93">
        <v>15.2</v>
      </c>
      <c r="AL14" s="93">
        <v>14.5</v>
      </c>
      <c r="AM14" s="93">
        <v>13.8</v>
      </c>
      <c r="AN14" s="93">
        <v>13.2</v>
      </c>
      <c r="AO14" s="93">
        <v>12.7</v>
      </c>
      <c r="AP14" s="93">
        <v>12.3</v>
      </c>
      <c r="AQ14" s="93">
        <v>11.9</v>
      </c>
    </row>
    <row r="15" spans="1:43" x14ac:dyDescent="0.25">
      <c r="A15" s="92">
        <v>24</v>
      </c>
      <c r="B15" s="93">
        <v>182.6</v>
      </c>
      <c r="C15" s="93">
        <v>93.1</v>
      </c>
      <c r="D15" s="93">
        <v>63.3</v>
      </c>
      <c r="E15" s="93">
        <v>48.4</v>
      </c>
      <c r="F15" s="93">
        <v>39.5</v>
      </c>
      <c r="G15" s="93">
        <v>33.6</v>
      </c>
      <c r="H15" s="93">
        <v>29.3</v>
      </c>
      <c r="I15" s="93">
        <v>26.1</v>
      </c>
      <c r="J15" s="93">
        <v>23.7</v>
      </c>
      <c r="K15" s="93">
        <v>21.7</v>
      </c>
      <c r="L15" s="93">
        <v>20.100000000000001</v>
      </c>
      <c r="M15" s="93">
        <v>18.8</v>
      </c>
      <c r="N15" s="93">
        <v>17.7</v>
      </c>
      <c r="O15" s="93">
        <v>16.7</v>
      </c>
      <c r="P15" s="93">
        <v>15.9</v>
      </c>
      <c r="Q15" s="93">
        <v>15.2</v>
      </c>
      <c r="R15" s="93">
        <v>14.5</v>
      </c>
      <c r="S15" s="93">
        <v>14</v>
      </c>
      <c r="T15" s="93">
        <v>13.5</v>
      </c>
      <c r="U15" s="93">
        <v>13</v>
      </c>
      <c r="W15" s="92">
        <v>24</v>
      </c>
      <c r="X15" s="93">
        <v>169.4</v>
      </c>
      <c r="Y15" s="93">
        <v>86.4</v>
      </c>
      <c r="Z15" s="93">
        <v>58.7</v>
      </c>
      <c r="AA15" s="93">
        <v>44.9</v>
      </c>
      <c r="AB15" s="93">
        <v>36.6</v>
      </c>
      <c r="AC15" s="93">
        <v>31.1</v>
      </c>
      <c r="AD15" s="93">
        <v>27.2</v>
      </c>
      <c r="AE15" s="93">
        <v>24.3</v>
      </c>
      <c r="AF15" s="93">
        <v>22</v>
      </c>
      <c r="AG15" s="93">
        <v>20.100000000000001</v>
      </c>
      <c r="AH15" s="93">
        <v>18.7</v>
      </c>
      <c r="AI15" s="93">
        <v>17.399999999999999</v>
      </c>
      <c r="AJ15" s="93">
        <v>16.399999999999999</v>
      </c>
      <c r="AK15" s="93">
        <v>15.5</v>
      </c>
      <c r="AL15" s="93">
        <v>14.7</v>
      </c>
      <c r="AM15" s="93">
        <v>14.1</v>
      </c>
      <c r="AN15" s="93">
        <v>13.5</v>
      </c>
      <c r="AO15" s="93">
        <v>13</v>
      </c>
      <c r="AP15" s="93">
        <v>12.5</v>
      </c>
      <c r="AQ15" s="93">
        <v>12.1</v>
      </c>
    </row>
    <row r="16" spans="1:43" x14ac:dyDescent="0.25">
      <c r="A16" s="92">
        <v>25</v>
      </c>
      <c r="B16" s="93">
        <v>185.8</v>
      </c>
      <c r="C16" s="93">
        <v>94.8</v>
      </c>
      <c r="D16" s="93">
        <v>64.400000000000006</v>
      </c>
      <c r="E16" s="93">
        <v>49.3</v>
      </c>
      <c r="F16" s="93">
        <v>40.200000000000003</v>
      </c>
      <c r="G16" s="93">
        <v>34.1</v>
      </c>
      <c r="H16" s="93">
        <v>29.8</v>
      </c>
      <c r="I16" s="93">
        <v>26.6</v>
      </c>
      <c r="J16" s="93">
        <v>24.1</v>
      </c>
      <c r="K16" s="93">
        <v>22.1</v>
      </c>
      <c r="L16" s="93">
        <v>20.5</v>
      </c>
      <c r="M16" s="93">
        <v>19.100000000000001</v>
      </c>
      <c r="N16" s="93">
        <v>18</v>
      </c>
      <c r="O16" s="93">
        <v>17</v>
      </c>
      <c r="P16" s="93">
        <v>16.2</v>
      </c>
      <c r="Q16" s="93">
        <v>15.4</v>
      </c>
      <c r="R16" s="93">
        <v>14.8</v>
      </c>
      <c r="S16" s="93">
        <v>14.2</v>
      </c>
      <c r="T16" s="93">
        <v>13.7</v>
      </c>
      <c r="U16" s="93">
        <v>13.2</v>
      </c>
      <c r="W16" s="92">
        <v>25</v>
      </c>
      <c r="X16" s="93">
        <v>172.4</v>
      </c>
      <c r="Y16" s="93">
        <v>87.9</v>
      </c>
      <c r="Z16" s="93">
        <v>59.8</v>
      </c>
      <c r="AA16" s="93">
        <v>45.7</v>
      </c>
      <c r="AB16" s="93">
        <v>37.299999999999997</v>
      </c>
      <c r="AC16" s="93">
        <v>31.7</v>
      </c>
      <c r="AD16" s="93">
        <v>27.7</v>
      </c>
      <c r="AE16" s="93">
        <v>24.7</v>
      </c>
      <c r="AF16" s="93">
        <v>22.4</v>
      </c>
      <c r="AG16" s="93">
        <v>20.5</v>
      </c>
      <c r="AH16" s="93">
        <v>19</v>
      </c>
      <c r="AI16" s="93">
        <v>17.7</v>
      </c>
      <c r="AJ16" s="93">
        <v>16.7</v>
      </c>
      <c r="AK16" s="93">
        <v>15.8</v>
      </c>
      <c r="AL16" s="93">
        <v>15</v>
      </c>
      <c r="AM16" s="93">
        <v>14.3</v>
      </c>
      <c r="AN16" s="93">
        <v>13.7</v>
      </c>
      <c r="AO16" s="93">
        <v>13.2</v>
      </c>
      <c r="AP16" s="93">
        <v>12.7</v>
      </c>
      <c r="AQ16" s="93">
        <v>12.3</v>
      </c>
    </row>
    <row r="17" spans="1:43" x14ac:dyDescent="0.25">
      <c r="A17" s="92">
        <v>26</v>
      </c>
      <c r="B17" s="93">
        <v>189</v>
      </c>
      <c r="C17" s="93">
        <v>96.4</v>
      </c>
      <c r="D17" s="93">
        <v>65.5</v>
      </c>
      <c r="E17" s="93">
        <v>50.1</v>
      </c>
      <c r="F17" s="93">
        <v>40.9</v>
      </c>
      <c r="G17" s="93">
        <v>34.700000000000003</v>
      </c>
      <c r="H17" s="93">
        <v>30.4</v>
      </c>
      <c r="I17" s="93">
        <v>27.1</v>
      </c>
      <c r="J17" s="93">
        <v>24.5</v>
      </c>
      <c r="K17" s="93">
        <v>22.5</v>
      </c>
      <c r="L17" s="93">
        <v>20.8</v>
      </c>
      <c r="M17" s="93">
        <v>19.5</v>
      </c>
      <c r="N17" s="93">
        <v>18.3</v>
      </c>
      <c r="O17" s="93">
        <v>17.3</v>
      </c>
      <c r="P17" s="93">
        <v>16.399999999999999</v>
      </c>
      <c r="Q17" s="93">
        <v>15.7</v>
      </c>
      <c r="R17" s="93">
        <v>15</v>
      </c>
      <c r="S17" s="93">
        <v>14.5</v>
      </c>
      <c r="T17" s="93">
        <v>13.9</v>
      </c>
      <c r="U17" s="93">
        <v>13.5</v>
      </c>
      <c r="W17" s="92">
        <v>26</v>
      </c>
      <c r="X17" s="93">
        <v>175.4</v>
      </c>
      <c r="Y17" s="93">
        <v>89.4</v>
      </c>
      <c r="Z17" s="93">
        <v>60.8</v>
      </c>
      <c r="AA17" s="93">
        <v>46.5</v>
      </c>
      <c r="AB17" s="93">
        <v>37.9</v>
      </c>
      <c r="AC17" s="93">
        <v>32.200000000000003</v>
      </c>
      <c r="AD17" s="93">
        <v>28.2</v>
      </c>
      <c r="AE17" s="93">
        <v>25.1</v>
      </c>
      <c r="AF17" s="93">
        <v>22.8</v>
      </c>
      <c r="AG17" s="93">
        <v>20.9</v>
      </c>
      <c r="AH17" s="93">
        <v>19.3</v>
      </c>
      <c r="AI17" s="93">
        <v>18</v>
      </c>
      <c r="AJ17" s="93">
        <v>17</v>
      </c>
      <c r="AK17" s="93">
        <v>16</v>
      </c>
      <c r="AL17" s="93">
        <v>15.3</v>
      </c>
      <c r="AM17" s="93">
        <v>14.6</v>
      </c>
      <c r="AN17" s="93">
        <v>14</v>
      </c>
      <c r="AO17" s="93">
        <v>13.4</v>
      </c>
      <c r="AP17" s="93">
        <v>12.9</v>
      </c>
      <c r="AQ17" s="93">
        <v>12.5</v>
      </c>
    </row>
    <row r="18" spans="1:43" x14ac:dyDescent="0.25">
      <c r="A18" s="92">
        <v>27</v>
      </c>
      <c r="B18" s="93">
        <v>192.3</v>
      </c>
      <c r="C18" s="93">
        <v>98.1</v>
      </c>
      <c r="D18" s="93">
        <v>66.7</v>
      </c>
      <c r="E18" s="93">
        <v>51</v>
      </c>
      <c r="F18" s="93">
        <v>41.6</v>
      </c>
      <c r="G18" s="93">
        <v>35.299999999999997</v>
      </c>
      <c r="H18" s="93">
        <v>30.9</v>
      </c>
      <c r="I18" s="93">
        <v>27.5</v>
      </c>
      <c r="J18" s="93">
        <v>25</v>
      </c>
      <c r="K18" s="93">
        <v>22.9</v>
      </c>
      <c r="L18" s="93">
        <v>21.2</v>
      </c>
      <c r="M18" s="93">
        <v>19.8</v>
      </c>
      <c r="N18" s="93">
        <v>18.600000000000001</v>
      </c>
      <c r="O18" s="93">
        <v>17.600000000000001</v>
      </c>
      <c r="P18" s="93">
        <v>16.7</v>
      </c>
      <c r="Q18" s="93">
        <v>16</v>
      </c>
      <c r="R18" s="93">
        <v>15.3</v>
      </c>
      <c r="S18" s="93">
        <v>14.7</v>
      </c>
      <c r="T18" s="93">
        <v>14.2</v>
      </c>
      <c r="U18" s="93">
        <v>13.7</v>
      </c>
      <c r="W18" s="92">
        <v>27</v>
      </c>
      <c r="X18" s="93">
        <v>178.5</v>
      </c>
      <c r="Y18" s="93">
        <v>91</v>
      </c>
      <c r="Z18" s="93">
        <v>61.9</v>
      </c>
      <c r="AA18" s="93">
        <v>47.3</v>
      </c>
      <c r="AB18" s="93">
        <v>38.6</v>
      </c>
      <c r="AC18" s="93">
        <v>32.799999999999997</v>
      </c>
      <c r="AD18" s="93">
        <v>28.7</v>
      </c>
      <c r="AE18" s="93">
        <v>25.6</v>
      </c>
      <c r="AF18" s="93">
        <v>23.2</v>
      </c>
      <c r="AG18" s="93">
        <v>21.2</v>
      </c>
      <c r="AH18" s="93">
        <v>19.7</v>
      </c>
      <c r="AI18" s="93">
        <v>18.399999999999999</v>
      </c>
      <c r="AJ18" s="93">
        <v>17.3</v>
      </c>
      <c r="AK18" s="93">
        <v>16.3</v>
      </c>
      <c r="AL18" s="93">
        <v>15.5</v>
      </c>
      <c r="AM18" s="93">
        <v>14.8</v>
      </c>
      <c r="AN18" s="93">
        <v>14.2</v>
      </c>
      <c r="AO18" s="93">
        <v>13.7</v>
      </c>
      <c r="AP18" s="93">
        <v>13.2</v>
      </c>
      <c r="AQ18" s="93">
        <v>12.7</v>
      </c>
    </row>
    <row r="19" spans="1:43" x14ac:dyDescent="0.25">
      <c r="A19" s="92">
        <v>28</v>
      </c>
      <c r="B19" s="93">
        <v>195.6</v>
      </c>
      <c r="C19" s="93">
        <v>99.8</v>
      </c>
      <c r="D19" s="93">
        <v>67.8</v>
      </c>
      <c r="E19" s="93">
        <v>51.9</v>
      </c>
      <c r="F19" s="93">
        <v>42.3</v>
      </c>
      <c r="G19" s="93">
        <v>36</v>
      </c>
      <c r="H19" s="93">
        <v>31.4</v>
      </c>
      <c r="I19" s="93">
        <v>28</v>
      </c>
      <c r="J19" s="93">
        <v>25.4</v>
      </c>
      <c r="K19" s="93">
        <v>23.3</v>
      </c>
      <c r="L19" s="93">
        <v>21.6</v>
      </c>
      <c r="M19" s="93">
        <v>20.100000000000001</v>
      </c>
      <c r="N19" s="93">
        <v>18.899999999999999</v>
      </c>
      <c r="O19" s="93">
        <v>17.899999999999999</v>
      </c>
      <c r="P19" s="93">
        <v>17</v>
      </c>
      <c r="Q19" s="93">
        <v>16.3</v>
      </c>
      <c r="R19" s="93">
        <v>15.6</v>
      </c>
      <c r="S19" s="93">
        <v>15</v>
      </c>
      <c r="T19" s="93">
        <v>14.4</v>
      </c>
      <c r="U19" s="93">
        <v>14</v>
      </c>
      <c r="W19" s="92">
        <v>28</v>
      </c>
      <c r="X19" s="93">
        <v>181.6</v>
      </c>
      <c r="Y19" s="93">
        <v>92.6</v>
      </c>
      <c r="Z19" s="93">
        <v>63</v>
      </c>
      <c r="AA19" s="93">
        <v>48.2</v>
      </c>
      <c r="AB19" s="93">
        <v>39.299999999999997</v>
      </c>
      <c r="AC19" s="93">
        <v>33.4</v>
      </c>
      <c r="AD19" s="93">
        <v>29.2</v>
      </c>
      <c r="AE19" s="93">
        <v>26</v>
      </c>
      <c r="AF19" s="93">
        <v>23.6</v>
      </c>
      <c r="AG19" s="93">
        <v>21.6</v>
      </c>
      <c r="AH19" s="93">
        <v>20</v>
      </c>
      <c r="AI19" s="93">
        <v>18.7</v>
      </c>
      <c r="AJ19" s="93">
        <v>17.600000000000001</v>
      </c>
      <c r="AK19" s="93">
        <v>16.600000000000001</v>
      </c>
      <c r="AL19" s="93">
        <v>15.8</v>
      </c>
      <c r="AM19" s="93">
        <v>15.1</v>
      </c>
      <c r="AN19" s="93">
        <v>14.5</v>
      </c>
      <c r="AO19" s="93">
        <v>13.9</v>
      </c>
      <c r="AP19" s="93">
        <v>13.4</v>
      </c>
      <c r="AQ19" s="93">
        <v>13</v>
      </c>
    </row>
    <row r="20" spans="1:43" x14ac:dyDescent="0.25">
      <c r="A20" s="92">
        <v>29</v>
      </c>
      <c r="B20" s="93">
        <v>199</v>
      </c>
      <c r="C20" s="93">
        <v>101.5</v>
      </c>
      <c r="D20" s="93">
        <v>69</v>
      </c>
      <c r="E20" s="93">
        <v>52.8</v>
      </c>
      <c r="F20" s="93">
        <v>43.1</v>
      </c>
      <c r="G20" s="93">
        <v>36.6</v>
      </c>
      <c r="H20" s="93">
        <v>32</v>
      </c>
      <c r="I20" s="93">
        <v>28.5</v>
      </c>
      <c r="J20" s="93">
        <v>25.8</v>
      </c>
      <c r="K20" s="93">
        <v>23.7</v>
      </c>
      <c r="L20" s="93">
        <v>21.9</v>
      </c>
      <c r="M20" s="93">
        <v>20.5</v>
      </c>
      <c r="N20" s="93">
        <v>19.3</v>
      </c>
      <c r="O20" s="93">
        <v>18.2</v>
      </c>
      <c r="P20" s="93">
        <v>17.3</v>
      </c>
      <c r="Q20" s="93">
        <v>16.5</v>
      </c>
      <c r="R20" s="93">
        <v>15.9</v>
      </c>
      <c r="S20" s="93">
        <v>15.2</v>
      </c>
      <c r="T20" s="93">
        <v>14.7</v>
      </c>
      <c r="U20" s="93">
        <v>14.2</v>
      </c>
      <c r="W20" s="92">
        <v>29</v>
      </c>
      <c r="X20" s="93">
        <v>184.7</v>
      </c>
      <c r="Y20" s="93">
        <v>94.2</v>
      </c>
      <c r="Z20" s="93">
        <v>64.099999999999994</v>
      </c>
      <c r="AA20" s="93">
        <v>49</v>
      </c>
      <c r="AB20" s="93">
        <v>40</v>
      </c>
      <c r="AC20" s="93">
        <v>34</v>
      </c>
      <c r="AD20" s="93">
        <v>29.7</v>
      </c>
      <c r="AE20" s="93">
        <v>26.5</v>
      </c>
      <c r="AF20" s="93">
        <v>24</v>
      </c>
      <c r="AG20" s="93">
        <v>22</v>
      </c>
      <c r="AH20" s="93">
        <v>20.399999999999999</v>
      </c>
      <c r="AI20" s="93">
        <v>19</v>
      </c>
      <c r="AJ20" s="93">
        <v>17.899999999999999</v>
      </c>
      <c r="AK20" s="93">
        <v>16.899999999999999</v>
      </c>
      <c r="AL20" s="93">
        <v>16.100000000000001</v>
      </c>
      <c r="AM20" s="93">
        <v>15.4</v>
      </c>
      <c r="AN20" s="93">
        <v>14.7</v>
      </c>
      <c r="AO20" s="93">
        <v>14.1</v>
      </c>
      <c r="AP20" s="93">
        <v>13.6</v>
      </c>
      <c r="AQ20" s="93">
        <v>13.2</v>
      </c>
    </row>
    <row r="21" spans="1:43" x14ac:dyDescent="0.25">
      <c r="A21" s="92">
        <v>30</v>
      </c>
      <c r="B21" s="93">
        <v>202.5</v>
      </c>
      <c r="C21" s="93">
        <v>103.3</v>
      </c>
      <c r="D21" s="93">
        <v>70.2</v>
      </c>
      <c r="E21" s="93">
        <v>53.7</v>
      </c>
      <c r="F21" s="93">
        <v>43.8</v>
      </c>
      <c r="G21" s="93">
        <v>37.200000000000003</v>
      </c>
      <c r="H21" s="93">
        <v>32.5</v>
      </c>
      <c r="I21" s="93">
        <v>29</v>
      </c>
      <c r="J21" s="93">
        <v>26.3</v>
      </c>
      <c r="K21" s="93">
        <v>24.1</v>
      </c>
      <c r="L21" s="93">
        <v>22.3</v>
      </c>
      <c r="M21" s="93">
        <v>20.9</v>
      </c>
      <c r="N21" s="93">
        <v>19.600000000000001</v>
      </c>
      <c r="O21" s="93">
        <v>18.5</v>
      </c>
      <c r="P21" s="93">
        <v>17.600000000000001</v>
      </c>
      <c r="Q21" s="93">
        <v>16.8</v>
      </c>
      <c r="R21" s="93">
        <v>16.100000000000001</v>
      </c>
      <c r="S21" s="93">
        <v>15.5</v>
      </c>
      <c r="T21" s="93">
        <v>15</v>
      </c>
      <c r="U21" s="93">
        <v>14.5</v>
      </c>
      <c r="W21" s="92">
        <v>30</v>
      </c>
      <c r="X21" s="93">
        <v>187.9</v>
      </c>
      <c r="Y21" s="93">
        <v>95.8</v>
      </c>
      <c r="Z21" s="93">
        <v>65.2</v>
      </c>
      <c r="AA21" s="93">
        <v>49.8</v>
      </c>
      <c r="AB21" s="93">
        <v>40.700000000000003</v>
      </c>
      <c r="AC21" s="93">
        <v>34.5</v>
      </c>
      <c r="AD21" s="93">
        <v>30.2</v>
      </c>
      <c r="AE21" s="93">
        <v>26.9</v>
      </c>
      <c r="AF21" s="93">
        <v>24.4</v>
      </c>
      <c r="AG21" s="93">
        <v>22.4</v>
      </c>
      <c r="AH21" s="93">
        <v>20.7</v>
      </c>
      <c r="AI21" s="93">
        <v>19.399999999999999</v>
      </c>
      <c r="AJ21" s="93">
        <v>18.2</v>
      </c>
      <c r="AK21" s="93">
        <v>17.2</v>
      </c>
      <c r="AL21" s="93">
        <v>16.399999999999999</v>
      </c>
      <c r="AM21" s="93">
        <v>15.6</v>
      </c>
      <c r="AN21" s="93">
        <v>15</v>
      </c>
      <c r="AO21" s="93">
        <v>14.4</v>
      </c>
      <c r="AP21" s="93">
        <v>13.9</v>
      </c>
      <c r="AQ21" s="93">
        <v>13.4</v>
      </c>
    </row>
    <row r="22" spans="1:43" x14ac:dyDescent="0.25">
      <c r="A22" s="92">
        <v>31</v>
      </c>
      <c r="B22" s="93">
        <v>205.9</v>
      </c>
      <c r="C22" s="93">
        <v>105</v>
      </c>
      <c r="D22" s="93">
        <v>71.400000000000006</v>
      </c>
      <c r="E22" s="93">
        <v>54.6</v>
      </c>
      <c r="F22" s="93">
        <v>44.6</v>
      </c>
      <c r="G22" s="93">
        <v>37.9</v>
      </c>
      <c r="H22" s="93">
        <v>33.1</v>
      </c>
      <c r="I22" s="93">
        <v>29.5</v>
      </c>
      <c r="J22" s="93">
        <v>26.7</v>
      </c>
      <c r="K22" s="93">
        <v>24.5</v>
      </c>
      <c r="L22" s="93">
        <v>22.7</v>
      </c>
      <c r="M22" s="93">
        <v>21.2</v>
      </c>
      <c r="N22" s="93">
        <v>20</v>
      </c>
      <c r="O22" s="93">
        <v>18.899999999999999</v>
      </c>
      <c r="P22" s="93">
        <v>17.899999999999999</v>
      </c>
      <c r="Q22" s="93">
        <v>17.100000000000001</v>
      </c>
      <c r="R22" s="93">
        <v>16.399999999999999</v>
      </c>
      <c r="S22" s="93">
        <v>15.8</v>
      </c>
      <c r="T22" s="93">
        <v>15.2</v>
      </c>
      <c r="U22" s="93">
        <v>14.7</v>
      </c>
      <c r="W22" s="92">
        <v>31</v>
      </c>
      <c r="X22" s="93">
        <v>191.2</v>
      </c>
      <c r="Y22" s="93">
        <v>97.5</v>
      </c>
      <c r="Z22" s="93">
        <v>66.3</v>
      </c>
      <c r="AA22" s="93">
        <v>50.7</v>
      </c>
      <c r="AB22" s="93">
        <v>41.4</v>
      </c>
      <c r="AC22" s="93">
        <v>35.200000000000003</v>
      </c>
      <c r="AD22" s="93">
        <v>30.7</v>
      </c>
      <c r="AE22" s="93">
        <v>27.4</v>
      </c>
      <c r="AF22" s="93">
        <v>24.8</v>
      </c>
      <c r="AG22" s="93">
        <v>22.8</v>
      </c>
      <c r="AH22" s="93">
        <v>21.1</v>
      </c>
      <c r="AI22" s="93">
        <v>19.7</v>
      </c>
      <c r="AJ22" s="93">
        <v>18.5</v>
      </c>
      <c r="AK22" s="93">
        <v>17.5</v>
      </c>
      <c r="AL22" s="93">
        <v>16.7</v>
      </c>
      <c r="AM22" s="93">
        <v>15.9</v>
      </c>
      <c r="AN22" s="93">
        <v>15.2</v>
      </c>
      <c r="AO22" s="93">
        <v>14.7</v>
      </c>
      <c r="AP22" s="93">
        <v>14.1</v>
      </c>
      <c r="AQ22" s="93">
        <v>13.7</v>
      </c>
    </row>
    <row r="23" spans="1:43" x14ac:dyDescent="0.25">
      <c r="A23" s="92">
        <v>32</v>
      </c>
      <c r="B23" s="93">
        <v>209.5</v>
      </c>
      <c r="C23" s="93">
        <v>106.8</v>
      </c>
      <c r="D23" s="93">
        <v>72.7</v>
      </c>
      <c r="E23" s="93">
        <v>55.6</v>
      </c>
      <c r="F23" s="93">
        <v>45.3</v>
      </c>
      <c r="G23" s="93">
        <v>38.5</v>
      </c>
      <c r="H23" s="93">
        <v>33.700000000000003</v>
      </c>
      <c r="I23" s="93">
        <v>30</v>
      </c>
      <c r="J23" s="93">
        <v>27.2</v>
      </c>
      <c r="K23" s="93">
        <v>25</v>
      </c>
      <c r="L23" s="93">
        <v>23.1</v>
      </c>
      <c r="M23" s="93">
        <v>21.6</v>
      </c>
      <c r="N23" s="93">
        <v>20.3</v>
      </c>
      <c r="O23" s="93">
        <v>19.2</v>
      </c>
      <c r="P23" s="93">
        <v>18.3</v>
      </c>
      <c r="Q23" s="93">
        <v>17.399999999999999</v>
      </c>
      <c r="R23" s="93">
        <v>16.7</v>
      </c>
      <c r="S23" s="93">
        <v>16.100000000000001</v>
      </c>
      <c r="T23" s="93">
        <v>15.5</v>
      </c>
      <c r="U23" s="93">
        <v>15</v>
      </c>
      <c r="W23" s="92">
        <v>32</v>
      </c>
      <c r="X23" s="93">
        <v>194.5</v>
      </c>
      <c r="Y23" s="93">
        <v>99.2</v>
      </c>
      <c r="Z23" s="93">
        <v>67.5</v>
      </c>
      <c r="AA23" s="93">
        <v>51.6</v>
      </c>
      <c r="AB23" s="93">
        <v>42.1</v>
      </c>
      <c r="AC23" s="93">
        <v>35.799999999999997</v>
      </c>
      <c r="AD23" s="93">
        <v>31.3</v>
      </c>
      <c r="AE23" s="93">
        <v>27.9</v>
      </c>
      <c r="AF23" s="93">
        <v>25.3</v>
      </c>
      <c r="AG23" s="93">
        <v>23.2</v>
      </c>
      <c r="AH23" s="93">
        <v>21.5</v>
      </c>
      <c r="AI23" s="93">
        <v>20</v>
      </c>
      <c r="AJ23" s="93">
        <v>18.899999999999999</v>
      </c>
      <c r="AK23" s="93">
        <v>17.8</v>
      </c>
      <c r="AL23" s="93">
        <v>17</v>
      </c>
      <c r="AM23" s="93">
        <v>16.2</v>
      </c>
      <c r="AN23" s="93">
        <v>15.5</v>
      </c>
      <c r="AO23" s="93">
        <v>14.9</v>
      </c>
      <c r="AP23" s="93">
        <v>14.4</v>
      </c>
      <c r="AQ23" s="93">
        <v>13.9</v>
      </c>
    </row>
    <row r="24" spans="1:43" x14ac:dyDescent="0.25">
      <c r="A24" s="92">
        <v>33</v>
      </c>
      <c r="B24" s="93">
        <v>213.1</v>
      </c>
      <c r="C24" s="93">
        <v>108.7</v>
      </c>
      <c r="D24" s="93">
        <v>73.900000000000006</v>
      </c>
      <c r="E24" s="93">
        <v>56.5</v>
      </c>
      <c r="F24" s="93">
        <v>46.1</v>
      </c>
      <c r="G24" s="93">
        <v>39.200000000000003</v>
      </c>
      <c r="H24" s="93">
        <v>34.200000000000003</v>
      </c>
      <c r="I24" s="93">
        <v>30.5</v>
      </c>
      <c r="J24" s="93">
        <v>27.7</v>
      </c>
      <c r="K24" s="93">
        <v>25.4</v>
      </c>
      <c r="L24" s="93">
        <v>23.5</v>
      </c>
      <c r="M24" s="93">
        <v>22</v>
      </c>
      <c r="N24" s="93">
        <v>20.7</v>
      </c>
      <c r="O24" s="93">
        <v>19.5</v>
      </c>
      <c r="P24" s="93">
        <v>18.600000000000001</v>
      </c>
      <c r="Q24" s="93">
        <v>17.7</v>
      </c>
      <c r="R24" s="93">
        <v>17</v>
      </c>
      <c r="S24" s="93">
        <v>16.399999999999999</v>
      </c>
      <c r="T24" s="93">
        <v>15.8</v>
      </c>
      <c r="U24" s="93">
        <v>15.3</v>
      </c>
      <c r="W24" s="92">
        <v>33</v>
      </c>
      <c r="X24" s="93">
        <v>197.9</v>
      </c>
      <c r="Y24" s="93">
        <v>100.9</v>
      </c>
      <c r="Z24" s="93">
        <v>68.599999999999994</v>
      </c>
      <c r="AA24" s="93">
        <v>52.5</v>
      </c>
      <c r="AB24" s="93">
        <v>42.8</v>
      </c>
      <c r="AC24" s="93">
        <v>36.4</v>
      </c>
      <c r="AD24" s="93">
        <v>31.8</v>
      </c>
      <c r="AE24" s="93">
        <v>28.4</v>
      </c>
      <c r="AF24" s="93">
        <v>25.7</v>
      </c>
      <c r="AG24" s="93">
        <v>23.6</v>
      </c>
      <c r="AH24" s="93">
        <v>21.8</v>
      </c>
      <c r="AI24" s="93">
        <v>20.399999999999999</v>
      </c>
      <c r="AJ24" s="93">
        <v>19.2</v>
      </c>
      <c r="AK24" s="93">
        <v>18.100000000000001</v>
      </c>
      <c r="AL24" s="93">
        <v>17.3</v>
      </c>
      <c r="AM24" s="93">
        <v>16.5</v>
      </c>
      <c r="AN24" s="93">
        <v>15.8</v>
      </c>
      <c r="AO24" s="93">
        <v>15.2</v>
      </c>
      <c r="AP24" s="93">
        <v>14.6</v>
      </c>
      <c r="AQ24" s="93">
        <v>14.2</v>
      </c>
    </row>
    <row r="25" spans="1:43" x14ac:dyDescent="0.25">
      <c r="A25" s="92">
        <v>34</v>
      </c>
      <c r="B25" s="93">
        <v>216.7</v>
      </c>
      <c r="C25" s="93">
        <v>110.5</v>
      </c>
      <c r="D25" s="93">
        <v>75.2</v>
      </c>
      <c r="E25" s="93">
        <v>57.5</v>
      </c>
      <c r="F25" s="93">
        <v>46.9</v>
      </c>
      <c r="G25" s="93">
        <v>39.9</v>
      </c>
      <c r="H25" s="93">
        <v>34.799999999999997</v>
      </c>
      <c r="I25" s="93">
        <v>31.1</v>
      </c>
      <c r="J25" s="93">
        <v>28.2</v>
      </c>
      <c r="K25" s="93">
        <v>25.8</v>
      </c>
      <c r="L25" s="93">
        <v>23.9</v>
      </c>
      <c r="M25" s="93">
        <v>22.3</v>
      </c>
      <c r="N25" s="93">
        <v>21</v>
      </c>
      <c r="O25" s="93">
        <v>19.899999999999999</v>
      </c>
      <c r="P25" s="93">
        <v>18.899999999999999</v>
      </c>
      <c r="Q25" s="93">
        <v>18.100000000000001</v>
      </c>
      <c r="R25" s="93">
        <v>17.3</v>
      </c>
      <c r="S25" s="93">
        <v>16.600000000000001</v>
      </c>
      <c r="T25" s="93">
        <v>16.100000000000001</v>
      </c>
      <c r="U25" s="93">
        <v>15.5</v>
      </c>
      <c r="W25" s="92">
        <v>34</v>
      </c>
      <c r="X25" s="93">
        <v>201.3</v>
      </c>
      <c r="Y25" s="93">
        <v>102.7</v>
      </c>
      <c r="Z25" s="93">
        <v>69.8</v>
      </c>
      <c r="AA25" s="93">
        <v>53.4</v>
      </c>
      <c r="AB25" s="93">
        <v>43.6</v>
      </c>
      <c r="AC25" s="93">
        <v>37</v>
      </c>
      <c r="AD25" s="93">
        <v>32.4</v>
      </c>
      <c r="AE25" s="93">
        <v>28.9</v>
      </c>
      <c r="AF25" s="93">
        <v>26.1</v>
      </c>
      <c r="AG25" s="93">
        <v>24</v>
      </c>
      <c r="AH25" s="93">
        <v>22.2</v>
      </c>
      <c r="AI25" s="93">
        <v>20.8</v>
      </c>
      <c r="AJ25" s="93">
        <v>19.5</v>
      </c>
      <c r="AK25" s="93">
        <v>18.5</v>
      </c>
      <c r="AL25" s="93">
        <v>17.600000000000001</v>
      </c>
      <c r="AM25" s="93">
        <v>16.8</v>
      </c>
      <c r="AN25" s="93">
        <v>16.100000000000001</v>
      </c>
      <c r="AO25" s="93">
        <v>15.5</v>
      </c>
      <c r="AP25" s="93">
        <v>14.9</v>
      </c>
      <c r="AQ25" s="93">
        <v>14.4</v>
      </c>
    </row>
    <row r="26" spans="1:43" x14ac:dyDescent="0.25">
      <c r="A26" s="92">
        <v>35</v>
      </c>
      <c r="B26" s="93">
        <v>220.4</v>
      </c>
      <c r="C26" s="93">
        <v>112.4</v>
      </c>
      <c r="D26" s="93">
        <v>76.5</v>
      </c>
      <c r="E26" s="93">
        <v>58.5</v>
      </c>
      <c r="F26" s="93">
        <v>47.7</v>
      </c>
      <c r="G26" s="93">
        <v>40.5</v>
      </c>
      <c r="H26" s="93">
        <v>35.4</v>
      </c>
      <c r="I26" s="93">
        <v>31.6</v>
      </c>
      <c r="J26" s="93">
        <v>28.6</v>
      </c>
      <c r="K26" s="93">
        <v>26.3</v>
      </c>
      <c r="L26" s="93">
        <v>24.3</v>
      </c>
      <c r="M26" s="93">
        <v>22.7</v>
      </c>
      <c r="N26" s="93">
        <v>21.4</v>
      </c>
      <c r="O26" s="93">
        <v>20.2</v>
      </c>
      <c r="P26" s="93">
        <v>19.2</v>
      </c>
      <c r="Q26" s="93">
        <v>18.399999999999999</v>
      </c>
      <c r="R26" s="93">
        <v>17.600000000000001</v>
      </c>
      <c r="S26" s="93">
        <v>16.899999999999999</v>
      </c>
      <c r="T26" s="93">
        <v>16.3</v>
      </c>
      <c r="U26" s="93">
        <v>15.8</v>
      </c>
      <c r="W26" s="92">
        <v>35</v>
      </c>
      <c r="X26" s="93">
        <v>204.8</v>
      </c>
      <c r="Y26" s="93">
        <v>104.4</v>
      </c>
      <c r="Z26" s="93">
        <v>71</v>
      </c>
      <c r="AA26" s="93">
        <v>54.3</v>
      </c>
      <c r="AB26" s="93">
        <v>44.3</v>
      </c>
      <c r="AC26" s="93">
        <v>37.700000000000003</v>
      </c>
      <c r="AD26" s="93">
        <v>32.9</v>
      </c>
      <c r="AE26" s="93">
        <v>29.4</v>
      </c>
      <c r="AF26" s="93">
        <v>26.6</v>
      </c>
      <c r="AG26" s="93">
        <v>24.4</v>
      </c>
      <c r="AH26" s="93">
        <v>22.6</v>
      </c>
      <c r="AI26" s="93">
        <v>21.1</v>
      </c>
      <c r="AJ26" s="93">
        <v>19.899999999999999</v>
      </c>
      <c r="AK26" s="93">
        <v>18.8</v>
      </c>
      <c r="AL26" s="93">
        <v>17.899999999999999</v>
      </c>
      <c r="AM26" s="93">
        <v>17.100000000000001</v>
      </c>
      <c r="AN26" s="93">
        <v>16.399999999999999</v>
      </c>
      <c r="AO26" s="93">
        <v>15.7</v>
      </c>
      <c r="AP26" s="93">
        <v>15.2</v>
      </c>
      <c r="AQ26" s="93">
        <v>14.7</v>
      </c>
    </row>
    <row r="27" spans="1:43" x14ac:dyDescent="0.25">
      <c r="A27" s="92">
        <v>36</v>
      </c>
      <c r="B27" s="93">
        <v>224.2</v>
      </c>
      <c r="C27" s="93">
        <v>114.3</v>
      </c>
      <c r="D27" s="93">
        <v>77.8</v>
      </c>
      <c r="E27" s="93">
        <v>59.5</v>
      </c>
      <c r="F27" s="93">
        <v>48.5</v>
      </c>
      <c r="G27" s="93">
        <v>41.2</v>
      </c>
      <c r="H27" s="93">
        <v>36</v>
      </c>
      <c r="I27" s="93">
        <v>32.200000000000003</v>
      </c>
      <c r="J27" s="93">
        <v>29.1</v>
      </c>
      <c r="K27" s="93">
        <v>26.7</v>
      </c>
      <c r="L27" s="93">
        <v>24.8</v>
      </c>
      <c r="M27" s="93">
        <v>23.1</v>
      </c>
      <c r="N27" s="93">
        <v>21.8</v>
      </c>
      <c r="O27" s="93">
        <v>20.6</v>
      </c>
      <c r="P27" s="93">
        <v>19.600000000000001</v>
      </c>
      <c r="Q27" s="93">
        <v>18.7</v>
      </c>
      <c r="R27" s="93">
        <v>17.899999999999999</v>
      </c>
      <c r="S27" s="93">
        <v>17.2</v>
      </c>
      <c r="T27" s="93">
        <v>16.600000000000001</v>
      </c>
      <c r="U27" s="93">
        <v>16.100000000000001</v>
      </c>
      <c r="W27" s="92">
        <v>36</v>
      </c>
      <c r="X27" s="93">
        <v>208.3</v>
      </c>
      <c r="Y27" s="93">
        <v>106.2</v>
      </c>
      <c r="Z27" s="93">
        <v>72.3</v>
      </c>
      <c r="AA27" s="93">
        <v>55.3</v>
      </c>
      <c r="AB27" s="93">
        <v>45.1</v>
      </c>
      <c r="AC27" s="93">
        <v>38.299999999999997</v>
      </c>
      <c r="AD27" s="93">
        <v>33.5</v>
      </c>
      <c r="AE27" s="93">
        <v>29.9</v>
      </c>
      <c r="AF27" s="93">
        <v>27.1</v>
      </c>
      <c r="AG27" s="93">
        <v>24.8</v>
      </c>
      <c r="AH27" s="93">
        <v>23</v>
      </c>
      <c r="AI27" s="93">
        <v>21.5</v>
      </c>
      <c r="AJ27" s="93">
        <v>20.2</v>
      </c>
      <c r="AK27" s="93">
        <v>19.100000000000001</v>
      </c>
      <c r="AL27" s="93">
        <v>18.2</v>
      </c>
      <c r="AM27" s="93">
        <v>17.399999999999999</v>
      </c>
      <c r="AN27" s="93">
        <v>16.7</v>
      </c>
      <c r="AO27" s="93">
        <v>16</v>
      </c>
      <c r="AP27" s="93">
        <v>15.5</v>
      </c>
      <c r="AQ27" s="93">
        <v>15</v>
      </c>
    </row>
    <row r="28" spans="1:43" x14ac:dyDescent="0.25">
      <c r="A28" s="92">
        <v>37</v>
      </c>
      <c r="B28" s="93">
        <v>228</v>
      </c>
      <c r="C28" s="93">
        <v>116.3</v>
      </c>
      <c r="D28" s="93">
        <v>79.099999999999994</v>
      </c>
      <c r="E28" s="93">
        <v>60.5</v>
      </c>
      <c r="F28" s="93">
        <v>49.4</v>
      </c>
      <c r="G28" s="93">
        <v>42</v>
      </c>
      <c r="H28" s="93">
        <v>36.700000000000003</v>
      </c>
      <c r="I28" s="93">
        <v>32.700000000000003</v>
      </c>
      <c r="J28" s="93">
        <v>29.6</v>
      </c>
      <c r="K28" s="93">
        <v>27.2</v>
      </c>
      <c r="L28" s="93">
        <v>25.2</v>
      </c>
      <c r="M28" s="93">
        <v>23.5</v>
      </c>
      <c r="N28" s="93">
        <v>22.1</v>
      </c>
      <c r="O28" s="93">
        <v>21</v>
      </c>
      <c r="P28" s="93">
        <v>19.899999999999999</v>
      </c>
      <c r="Q28" s="93">
        <v>19</v>
      </c>
      <c r="R28" s="93">
        <v>18.2</v>
      </c>
      <c r="S28" s="93">
        <v>17.600000000000001</v>
      </c>
      <c r="T28" s="93">
        <v>16.899999999999999</v>
      </c>
      <c r="U28" s="93">
        <v>16.399999999999999</v>
      </c>
      <c r="W28" s="92">
        <v>37</v>
      </c>
      <c r="X28" s="93">
        <v>211.9</v>
      </c>
      <c r="Y28" s="93">
        <v>108.1</v>
      </c>
      <c r="Z28" s="93">
        <v>73.5</v>
      </c>
      <c r="AA28" s="93">
        <v>56.2</v>
      </c>
      <c r="AB28" s="93">
        <v>45.9</v>
      </c>
      <c r="AC28" s="93">
        <v>39</v>
      </c>
      <c r="AD28" s="93">
        <v>34.1</v>
      </c>
      <c r="AE28" s="93">
        <v>30.4</v>
      </c>
      <c r="AF28" s="93">
        <v>27.5</v>
      </c>
      <c r="AG28" s="93">
        <v>25.3</v>
      </c>
      <c r="AH28" s="93">
        <v>23.4</v>
      </c>
      <c r="AI28" s="93">
        <v>21.9</v>
      </c>
      <c r="AJ28" s="93">
        <v>20.6</v>
      </c>
      <c r="AK28" s="93">
        <v>19.5</v>
      </c>
      <c r="AL28" s="93">
        <v>18.5</v>
      </c>
      <c r="AM28" s="93">
        <v>17.7</v>
      </c>
      <c r="AN28" s="93">
        <v>17</v>
      </c>
      <c r="AO28" s="93">
        <v>16.3</v>
      </c>
      <c r="AP28" s="93">
        <v>15.7</v>
      </c>
      <c r="AQ28" s="93">
        <v>15.2</v>
      </c>
    </row>
    <row r="29" spans="1:43" x14ac:dyDescent="0.25">
      <c r="A29" s="92">
        <v>38</v>
      </c>
      <c r="B29" s="93">
        <v>231.9</v>
      </c>
      <c r="C29" s="93">
        <v>118.3</v>
      </c>
      <c r="D29" s="93">
        <v>80.400000000000006</v>
      </c>
      <c r="E29" s="93">
        <v>61.5</v>
      </c>
      <c r="F29" s="93">
        <v>50.2</v>
      </c>
      <c r="G29" s="93">
        <v>42.7</v>
      </c>
      <c r="H29" s="93">
        <v>37.299999999999997</v>
      </c>
      <c r="I29" s="93">
        <v>33.299999999999997</v>
      </c>
      <c r="J29" s="93">
        <v>30.2</v>
      </c>
      <c r="K29" s="93">
        <v>27.7</v>
      </c>
      <c r="L29" s="93">
        <v>25.6</v>
      </c>
      <c r="M29" s="93">
        <v>24</v>
      </c>
      <c r="N29" s="93">
        <v>22.5</v>
      </c>
      <c r="O29" s="93">
        <v>21.3</v>
      </c>
      <c r="P29" s="93">
        <v>20.3</v>
      </c>
      <c r="Q29" s="93">
        <v>19.399999999999999</v>
      </c>
      <c r="R29" s="93">
        <v>18.600000000000001</v>
      </c>
      <c r="S29" s="93">
        <v>17.899999999999999</v>
      </c>
      <c r="T29" s="93">
        <v>17.2</v>
      </c>
      <c r="U29" s="93">
        <v>16.7</v>
      </c>
      <c r="W29" s="92">
        <v>38</v>
      </c>
      <c r="X29" s="93">
        <v>215.5</v>
      </c>
      <c r="Y29" s="93">
        <v>109.9</v>
      </c>
      <c r="Z29" s="93">
        <v>74.8</v>
      </c>
      <c r="AA29" s="93">
        <v>57.2</v>
      </c>
      <c r="AB29" s="93">
        <v>46.7</v>
      </c>
      <c r="AC29" s="93">
        <v>39.700000000000003</v>
      </c>
      <c r="AD29" s="93">
        <v>34.700000000000003</v>
      </c>
      <c r="AE29" s="93">
        <v>30.9</v>
      </c>
      <c r="AF29" s="93">
        <v>28</v>
      </c>
      <c r="AG29" s="93">
        <v>25.7</v>
      </c>
      <c r="AH29" s="93">
        <v>23.8</v>
      </c>
      <c r="AI29" s="93">
        <v>22.3</v>
      </c>
      <c r="AJ29" s="93">
        <v>20.9</v>
      </c>
      <c r="AK29" s="93">
        <v>19.8</v>
      </c>
      <c r="AL29" s="93">
        <v>18.8</v>
      </c>
      <c r="AM29" s="93">
        <v>18</v>
      </c>
      <c r="AN29" s="93">
        <v>17.3</v>
      </c>
      <c r="AO29" s="93">
        <v>16.600000000000001</v>
      </c>
      <c r="AP29" s="93">
        <v>16</v>
      </c>
      <c r="AQ29" s="93">
        <v>15.5</v>
      </c>
    </row>
    <row r="30" spans="1:43" x14ac:dyDescent="0.25">
      <c r="A30" s="92">
        <v>39</v>
      </c>
      <c r="B30" s="93">
        <v>235.8</v>
      </c>
      <c r="C30" s="93">
        <v>120.3</v>
      </c>
      <c r="D30" s="93">
        <v>81.8</v>
      </c>
      <c r="E30" s="93">
        <v>62.6</v>
      </c>
      <c r="F30" s="93">
        <v>51.1</v>
      </c>
      <c r="G30" s="93">
        <v>43.4</v>
      </c>
      <c r="H30" s="93">
        <v>37.9</v>
      </c>
      <c r="I30" s="93">
        <v>33.9</v>
      </c>
      <c r="J30" s="93">
        <v>30.7</v>
      </c>
      <c r="K30" s="93">
        <v>28.2</v>
      </c>
      <c r="L30" s="93">
        <v>26.1</v>
      </c>
      <c r="M30" s="93">
        <v>24.4</v>
      </c>
      <c r="N30" s="93">
        <v>22.9</v>
      </c>
      <c r="O30" s="93">
        <v>21.7</v>
      </c>
      <c r="P30" s="93">
        <v>20.6</v>
      </c>
      <c r="Q30" s="93">
        <v>19.7</v>
      </c>
      <c r="R30" s="93">
        <v>18.899999999999999</v>
      </c>
      <c r="S30" s="93">
        <v>18.2</v>
      </c>
      <c r="T30" s="93">
        <v>17.600000000000001</v>
      </c>
      <c r="U30" s="93">
        <v>17</v>
      </c>
      <c r="W30" s="92">
        <v>39</v>
      </c>
      <c r="X30" s="93">
        <v>219.3</v>
      </c>
      <c r="Y30" s="93">
        <v>111.9</v>
      </c>
      <c r="Z30" s="93">
        <v>76.099999999999994</v>
      </c>
      <c r="AA30" s="93">
        <v>58.2</v>
      </c>
      <c r="AB30" s="93">
        <v>47.5</v>
      </c>
      <c r="AC30" s="93">
        <v>40.4</v>
      </c>
      <c r="AD30" s="93">
        <v>35.299999999999997</v>
      </c>
      <c r="AE30" s="93">
        <v>31.5</v>
      </c>
      <c r="AF30" s="93">
        <v>28.5</v>
      </c>
      <c r="AG30" s="93">
        <v>26.2</v>
      </c>
      <c r="AH30" s="93">
        <v>24.3</v>
      </c>
      <c r="AI30" s="93">
        <v>22.7</v>
      </c>
      <c r="AJ30" s="93">
        <v>21.3</v>
      </c>
      <c r="AK30" s="93">
        <v>20.2</v>
      </c>
      <c r="AL30" s="93">
        <v>19.2</v>
      </c>
      <c r="AM30" s="93">
        <v>18.3</v>
      </c>
      <c r="AN30" s="93">
        <v>17.600000000000001</v>
      </c>
      <c r="AO30" s="93">
        <v>16.899999999999999</v>
      </c>
      <c r="AP30" s="93">
        <v>16.3</v>
      </c>
      <c r="AQ30" s="93">
        <v>15.8</v>
      </c>
    </row>
    <row r="31" spans="1:43" x14ac:dyDescent="0.25">
      <c r="A31" s="92">
        <v>40</v>
      </c>
      <c r="B31" s="93">
        <v>239.8</v>
      </c>
      <c r="C31" s="93">
        <v>122.4</v>
      </c>
      <c r="D31" s="93">
        <v>83.2</v>
      </c>
      <c r="E31" s="93">
        <v>63.7</v>
      </c>
      <c r="F31" s="93">
        <v>52</v>
      </c>
      <c r="G31" s="93">
        <v>44.2</v>
      </c>
      <c r="H31" s="93">
        <v>38.6</v>
      </c>
      <c r="I31" s="93">
        <v>34.5</v>
      </c>
      <c r="J31" s="93">
        <v>31.2</v>
      </c>
      <c r="K31" s="93">
        <v>28.7</v>
      </c>
      <c r="L31" s="93">
        <v>26.6</v>
      </c>
      <c r="M31" s="93">
        <v>24.8</v>
      </c>
      <c r="N31" s="93">
        <v>23.3</v>
      </c>
      <c r="O31" s="93">
        <v>22.1</v>
      </c>
      <c r="P31" s="93">
        <v>21</v>
      </c>
      <c r="Q31" s="93">
        <v>20.100000000000001</v>
      </c>
      <c r="R31" s="93">
        <v>19.3</v>
      </c>
      <c r="S31" s="93">
        <v>18.5</v>
      </c>
      <c r="T31" s="93">
        <v>17.899999999999999</v>
      </c>
      <c r="U31" s="93">
        <v>17.3</v>
      </c>
      <c r="W31" s="92">
        <v>40</v>
      </c>
      <c r="X31" s="93">
        <v>223.1</v>
      </c>
      <c r="Y31" s="93">
        <v>113.8</v>
      </c>
      <c r="Z31" s="93">
        <v>77.400000000000006</v>
      </c>
      <c r="AA31" s="93">
        <v>59.2</v>
      </c>
      <c r="AB31" s="93">
        <v>48.3</v>
      </c>
      <c r="AC31" s="93">
        <v>41.1</v>
      </c>
      <c r="AD31" s="93">
        <v>35.9</v>
      </c>
      <c r="AE31" s="93">
        <v>32</v>
      </c>
      <c r="AF31" s="93">
        <v>29</v>
      </c>
      <c r="AG31" s="93">
        <v>26.6</v>
      </c>
      <c r="AH31" s="93">
        <v>24.7</v>
      </c>
      <c r="AI31" s="93">
        <v>23.1</v>
      </c>
      <c r="AJ31" s="93">
        <v>21.7</v>
      </c>
      <c r="AK31" s="93">
        <v>20.5</v>
      </c>
      <c r="AL31" s="93">
        <v>19.5</v>
      </c>
      <c r="AM31" s="93">
        <v>18.7</v>
      </c>
      <c r="AN31" s="93">
        <v>17.899999999999999</v>
      </c>
      <c r="AO31" s="93">
        <v>17.2</v>
      </c>
      <c r="AP31" s="93">
        <v>16.600000000000001</v>
      </c>
      <c r="AQ31" s="93">
        <v>16.100000000000001</v>
      </c>
    </row>
    <row r="32" spans="1:43" x14ac:dyDescent="0.25">
      <c r="A32" s="92">
        <v>41</v>
      </c>
      <c r="B32" s="93">
        <v>244</v>
      </c>
      <c r="C32" s="93">
        <v>124.5</v>
      </c>
      <c r="D32" s="93">
        <v>84.7</v>
      </c>
      <c r="E32" s="93">
        <v>64.8</v>
      </c>
      <c r="F32" s="93">
        <v>52.9</v>
      </c>
      <c r="G32" s="93">
        <v>44.9</v>
      </c>
      <c r="H32" s="93">
        <v>39.299999999999997</v>
      </c>
      <c r="I32" s="93">
        <v>35.1</v>
      </c>
      <c r="J32" s="93">
        <v>31.8</v>
      </c>
      <c r="K32" s="93">
        <v>29.2</v>
      </c>
      <c r="L32" s="93">
        <v>27</v>
      </c>
      <c r="M32" s="93">
        <v>25.3</v>
      </c>
      <c r="N32" s="93">
        <v>23.8</v>
      </c>
      <c r="O32" s="93">
        <v>22.5</v>
      </c>
      <c r="P32" s="93">
        <v>21.4</v>
      </c>
      <c r="Q32" s="93">
        <v>20.5</v>
      </c>
      <c r="R32" s="93">
        <v>19.600000000000001</v>
      </c>
      <c r="S32" s="93">
        <v>18.899999999999999</v>
      </c>
      <c r="T32" s="93">
        <v>18.2</v>
      </c>
      <c r="U32" s="93">
        <v>17.7</v>
      </c>
      <c r="W32" s="92">
        <v>41</v>
      </c>
      <c r="X32" s="93">
        <v>227</v>
      </c>
      <c r="Y32" s="93">
        <v>115.8</v>
      </c>
      <c r="Z32" s="93">
        <v>78.8</v>
      </c>
      <c r="AA32" s="93">
        <v>60.3</v>
      </c>
      <c r="AB32" s="93">
        <v>49.2</v>
      </c>
      <c r="AC32" s="93">
        <v>41.8</v>
      </c>
      <c r="AD32" s="93">
        <v>36.5</v>
      </c>
      <c r="AE32" s="93">
        <v>32.6</v>
      </c>
      <c r="AF32" s="93">
        <v>29.6</v>
      </c>
      <c r="AG32" s="93">
        <v>27.1</v>
      </c>
      <c r="AH32" s="93">
        <v>25.1</v>
      </c>
      <c r="AI32" s="93">
        <v>23.5</v>
      </c>
      <c r="AJ32" s="93">
        <v>22.1</v>
      </c>
      <c r="AK32" s="93">
        <v>20.9</v>
      </c>
      <c r="AL32" s="93">
        <v>19.899999999999999</v>
      </c>
      <c r="AM32" s="93">
        <v>19</v>
      </c>
      <c r="AN32" s="93">
        <v>18.3</v>
      </c>
      <c r="AO32" s="93">
        <v>17.600000000000001</v>
      </c>
      <c r="AP32" s="93">
        <v>17</v>
      </c>
      <c r="AQ32" s="93">
        <v>16.399999999999999</v>
      </c>
    </row>
    <row r="33" spans="1:43" x14ac:dyDescent="0.25">
      <c r="A33" s="92">
        <v>42</v>
      </c>
      <c r="B33" s="93">
        <v>248.2</v>
      </c>
      <c r="C33" s="93">
        <v>126.6</v>
      </c>
      <c r="D33" s="93">
        <v>86.1</v>
      </c>
      <c r="E33" s="93">
        <v>65.900000000000006</v>
      </c>
      <c r="F33" s="93">
        <v>53.8</v>
      </c>
      <c r="G33" s="93">
        <v>45.7</v>
      </c>
      <c r="H33" s="93">
        <v>40</v>
      </c>
      <c r="I33" s="93">
        <v>35.700000000000003</v>
      </c>
      <c r="J33" s="93">
        <v>32.299999999999997</v>
      </c>
      <c r="K33" s="93">
        <v>29.7</v>
      </c>
      <c r="L33" s="93">
        <v>27.5</v>
      </c>
      <c r="M33" s="93">
        <v>25.7</v>
      </c>
      <c r="N33" s="93">
        <v>24.2</v>
      </c>
      <c r="O33" s="93">
        <v>22.9</v>
      </c>
      <c r="P33" s="93">
        <v>21.8</v>
      </c>
      <c r="Q33" s="93">
        <v>20.8</v>
      </c>
      <c r="R33" s="93">
        <v>20</v>
      </c>
      <c r="S33" s="93">
        <v>19.2</v>
      </c>
      <c r="T33" s="93">
        <v>18.600000000000001</v>
      </c>
      <c r="U33" s="93">
        <v>18</v>
      </c>
      <c r="W33" s="92">
        <v>42</v>
      </c>
      <c r="X33" s="93">
        <v>230.9</v>
      </c>
      <c r="Y33" s="93">
        <v>117.8</v>
      </c>
      <c r="Z33" s="93">
        <v>80.2</v>
      </c>
      <c r="AA33" s="93">
        <v>61.3</v>
      </c>
      <c r="AB33" s="93">
        <v>50.1</v>
      </c>
      <c r="AC33" s="93">
        <v>42.6</v>
      </c>
      <c r="AD33" s="93">
        <v>37.200000000000003</v>
      </c>
      <c r="AE33" s="93">
        <v>33.200000000000003</v>
      </c>
      <c r="AF33" s="93">
        <v>30.1</v>
      </c>
      <c r="AG33" s="93">
        <v>27.6</v>
      </c>
      <c r="AH33" s="93">
        <v>25.6</v>
      </c>
      <c r="AI33" s="93">
        <v>23.9</v>
      </c>
      <c r="AJ33" s="93">
        <v>22.5</v>
      </c>
      <c r="AK33" s="93">
        <v>21.3</v>
      </c>
      <c r="AL33" s="93">
        <v>20.3</v>
      </c>
      <c r="AM33" s="93">
        <v>19.399999999999999</v>
      </c>
      <c r="AN33" s="93">
        <v>18.600000000000001</v>
      </c>
      <c r="AO33" s="93">
        <v>17.899999999999999</v>
      </c>
      <c r="AP33" s="93">
        <v>17.3</v>
      </c>
      <c r="AQ33" s="93">
        <v>16.7</v>
      </c>
    </row>
    <row r="34" spans="1:43" x14ac:dyDescent="0.25">
      <c r="A34" s="92">
        <v>43</v>
      </c>
      <c r="B34" s="93">
        <v>252.4</v>
      </c>
      <c r="C34" s="93">
        <v>128.80000000000001</v>
      </c>
      <c r="D34" s="93">
        <v>87.6</v>
      </c>
      <c r="E34" s="93">
        <v>67.099999999999994</v>
      </c>
      <c r="F34" s="93">
        <v>54.7</v>
      </c>
      <c r="G34" s="93">
        <v>46.5</v>
      </c>
      <c r="H34" s="93">
        <v>40.700000000000003</v>
      </c>
      <c r="I34" s="93">
        <v>36.299999999999997</v>
      </c>
      <c r="J34" s="93">
        <v>32.9</v>
      </c>
      <c r="K34" s="93">
        <v>30.2</v>
      </c>
      <c r="L34" s="93">
        <v>28</v>
      </c>
      <c r="M34" s="93">
        <v>26.2</v>
      </c>
      <c r="N34" s="93">
        <v>24.6</v>
      </c>
      <c r="O34" s="93">
        <v>23.3</v>
      </c>
      <c r="P34" s="93">
        <v>22.2</v>
      </c>
      <c r="Q34" s="93">
        <v>21.2</v>
      </c>
      <c r="R34" s="93">
        <v>20.399999999999999</v>
      </c>
      <c r="S34" s="93">
        <v>19.600000000000001</v>
      </c>
      <c r="T34" s="93">
        <v>18.899999999999999</v>
      </c>
      <c r="U34" s="93">
        <v>18.399999999999999</v>
      </c>
      <c r="W34" s="92">
        <v>43</v>
      </c>
      <c r="X34" s="93">
        <v>235</v>
      </c>
      <c r="Y34" s="93">
        <v>119.9</v>
      </c>
      <c r="Z34" s="93">
        <v>81.599999999999994</v>
      </c>
      <c r="AA34" s="93">
        <v>62.4</v>
      </c>
      <c r="AB34" s="93">
        <v>50.9</v>
      </c>
      <c r="AC34" s="93">
        <v>43.3</v>
      </c>
      <c r="AD34" s="93">
        <v>37.9</v>
      </c>
      <c r="AE34" s="93">
        <v>33.799999999999997</v>
      </c>
      <c r="AF34" s="93">
        <v>30.6</v>
      </c>
      <c r="AG34" s="93">
        <v>28.1</v>
      </c>
      <c r="AH34" s="93">
        <v>26.1</v>
      </c>
      <c r="AI34" s="93">
        <v>24.4</v>
      </c>
      <c r="AJ34" s="93">
        <v>22.9</v>
      </c>
      <c r="AK34" s="93">
        <v>21.7</v>
      </c>
      <c r="AL34" s="93">
        <v>20.7</v>
      </c>
      <c r="AM34" s="93">
        <v>19.8</v>
      </c>
      <c r="AN34" s="93">
        <v>19</v>
      </c>
      <c r="AO34" s="93">
        <v>18.3</v>
      </c>
      <c r="AP34" s="93">
        <v>17.600000000000001</v>
      </c>
      <c r="AQ34" s="93">
        <v>17.100000000000001</v>
      </c>
    </row>
    <row r="35" spans="1:43" x14ac:dyDescent="0.25">
      <c r="A35" s="92">
        <v>44</v>
      </c>
      <c r="B35" s="93">
        <v>256.7</v>
      </c>
      <c r="C35" s="93">
        <v>131</v>
      </c>
      <c r="D35" s="93">
        <v>89.1</v>
      </c>
      <c r="E35" s="93">
        <v>68.2</v>
      </c>
      <c r="F35" s="93">
        <v>55.7</v>
      </c>
      <c r="G35" s="93">
        <v>47.3</v>
      </c>
      <c r="H35" s="93">
        <v>41.4</v>
      </c>
      <c r="I35" s="93">
        <v>36.9</v>
      </c>
      <c r="J35" s="93">
        <v>33.5</v>
      </c>
      <c r="K35" s="93">
        <v>30.7</v>
      </c>
      <c r="L35" s="93">
        <v>28.5</v>
      </c>
      <c r="M35" s="93">
        <v>26.7</v>
      </c>
      <c r="N35" s="93">
        <v>25.1</v>
      </c>
      <c r="O35" s="93">
        <v>23.8</v>
      </c>
      <c r="P35" s="93">
        <v>22.6</v>
      </c>
      <c r="Q35" s="93">
        <v>21.6</v>
      </c>
      <c r="R35" s="93">
        <v>20.8</v>
      </c>
      <c r="S35" s="93">
        <v>20</v>
      </c>
      <c r="T35" s="93">
        <v>19.3</v>
      </c>
      <c r="U35" s="93">
        <v>18.7</v>
      </c>
      <c r="W35" s="92">
        <v>44</v>
      </c>
      <c r="X35" s="93">
        <v>239.1</v>
      </c>
      <c r="Y35" s="93">
        <v>122</v>
      </c>
      <c r="Z35" s="93">
        <v>83</v>
      </c>
      <c r="AA35" s="93">
        <v>63.5</v>
      </c>
      <c r="AB35" s="93">
        <v>51.8</v>
      </c>
      <c r="AC35" s="93">
        <v>44.1</v>
      </c>
      <c r="AD35" s="93">
        <v>38.5</v>
      </c>
      <c r="AE35" s="93">
        <v>34.4</v>
      </c>
      <c r="AF35" s="93">
        <v>31.2</v>
      </c>
      <c r="AG35" s="93">
        <v>28.6</v>
      </c>
      <c r="AH35" s="93">
        <v>26.5</v>
      </c>
      <c r="AI35" s="93">
        <v>24.8</v>
      </c>
      <c r="AJ35" s="93">
        <v>23.4</v>
      </c>
      <c r="AK35" s="93">
        <v>22.1</v>
      </c>
      <c r="AL35" s="93">
        <v>21.1</v>
      </c>
      <c r="AM35" s="93">
        <v>20.100000000000001</v>
      </c>
      <c r="AN35" s="93">
        <v>19.3</v>
      </c>
      <c r="AO35" s="93">
        <v>18.600000000000001</v>
      </c>
      <c r="AP35" s="93">
        <v>18</v>
      </c>
      <c r="AQ35" s="93">
        <v>17.399999999999999</v>
      </c>
    </row>
    <row r="36" spans="1:43" x14ac:dyDescent="0.25">
      <c r="A36" s="92">
        <v>45</v>
      </c>
      <c r="B36" s="93">
        <v>261.10000000000002</v>
      </c>
      <c r="C36" s="93">
        <v>133.19999999999999</v>
      </c>
      <c r="D36" s="93">
        <v>90.7</v>
      </c>
      <c r="E36" s="93">
        <v>69.400000000000006</v>
      </c>
      <c r="F36" s="93">
        <v>56.6</v>
      </c>
      <c r="G36" s="93">
        <v>48.2</v>
      </c>
      <c r="H36" s="93">
        <v>42.1</v>
      </c>
      <c r="I36" s="93">
        <v>37.6</v>
      </c>
      <c r="J36" s="93">
        <v>34.1</v>
      </c>
      <c r="K36" s="93">
        <v>31.3</v>
      </c>
      <c r="L36" s="93">
        <v>29</v>
      </c>
      <c r="M36" s="93">
        <v>27.1</v>
      </c>
      <c r="N36" s="93">
        <v>25.6</v>
      </c>
      <c r="O36" s="93">
        <v>24.2</v>
      </c>
      <c r="P36" s="93">
        <v>23.1</v>
      </c>
      <c r="Q36" s="93">
        <v>22</v>
      </c>
      <c r="R36" s="93">
        <v>21.2</v>
      </c>
      <c r="S36" s="93">
        <v>20.399999999999999</v>
      </c>
      <c r="T36" s="93">
        <v>19.7</v>
      </c>
      <c r="U36" s="93">
        <v>19.100000000000001</v>
      </c>
      <c r="W36" s="92">
        <v>45</v>
      </c>
      <c r="X36" s="93">
        <v>243.2</v>
      </c>
      <c r="Y36" s="93">
        <v>124.1</v>
      </c>
      <c r="Z36" s="93">
        <v>84.4</v>
      </c>
      <c r="AA36" s="93">
        <v>64.599999999999994</v>
      </c>
      <c r="AB36" s="93">
        <v>52.8</v>
      </c>
      <c r="AC36" s="93">
        <v>44.9</v>
      </c>
      <c r="AD36" s="93">
        <v>39.200000000000003</v>
      </c>
      <c r="AE36" s="93">
        <v>35</v>
      </c>
      <c r="AF36" s="93">
        <v>31.8</v>
      </c>
      <c r="AG36" s="93">
        <v>29.2</v>
      </c>
      <c r="AH36" s="93">
        <v>27</v>
      </c>
      <c r="AI36" s="93">
        <v>25.3</v>
      </c>
      <c r="AJ36" s="93">
        <v>23.8</v>
      </c>
      <c r="AK36" s="93">
        <v>22.6</v>
      </c>
      <c r="AL36" s="93">
        <v>21.5</v>
      </c>
      <c r="AM36" s="93">
        <v>20.5</v>
      </c>
      <c r="AN36" s="93">
        <v>19.7</v>
      </c>
      <c r="AO36" s="93">
        <v>19</v>
      </c>
      <c r="AP36" s="93">
        <v>18.399999999999999</v>
      </c>
      <c r="AQ36" s="93">
        <v>17.8</v>
      </c>
    </row>
    <row r="37" spans="1:43" x14ac:dyDescent="0.25">
      <c r="A37" s="92">
        <v>46</v>
      </c>
      <c r="B37" s="93">
        <v>265.5</v>
      </c>
      <c r="C37" s="93">
        <v>135.5</v>
      </c>
      <c r="D37" s="93">
        <v>92.2</v>
      </c>
      <c r="E37" s="93">
        <v>70.599999999999994</v>
      </c>
      <c r="F37" s="93">
        <v>57.6</v>
      </c>
      <c r="G37" s="93">
        <v>49</v>
      </c>
      <c r="H37" s="93">
        <v>42.8</v>
      </c>
      <c r="I37" s="93">
        <v>38.299999999999997</v>
      </c>
      <c r="J37" s="93">
        <v>34.700000000000003</v>
      </c>
      <c r="K37" s="93">
        <v>31.9</v>
      </c>
      <c r="L37" s="93">
        <v>29.6</v>
      </c>
      <c r="M37" s="93">
        <v>27.6</v>
      </c>
      <c r="N37" s="93">
        <v>26</v>
      </c>
      <c r="O37" s="93">
        <v>24.7</v>
      </c>
      <c r="P37" s="93">
        <v>23.5</v>
      </c>
      <c r="Q37" s="93">
        <v>22.5</v>
      </c>
      <c r="R37" s="93">
        <v>21.6</v>
      </c>
      <c r="S37" s="93">
        <v>20.8</v>
      </c>
      <c r="T37" s="93">
        <v>20.100000000000001</v>
      </c>
      <c r="U37" s="93">
        <v>19.5</v>
      </c>
      <c r="W37" s="92">
        <v>46</v>
      </c>
      <c r="X37" s="93">
        <v>247.4</v>
      </c>
      <c r="Y37" s="93">
        <v>126.3</v>
      </c>
      <c r="Z37" s="93">
        <v>85.9</v>
      </c>
      <c r="AA37" s="93">
        <v>65.8</v>
      </c>
      <c r="AB37" s="93">
        <v>53.7</v>
      </c>
      <c r="AC37" s="93">
        <v>45.6</v>
      </c>
      <c r="AD37" s="93">
        <v>39.9</v>
      </c>
      <c r="AE37" s="93">
        <v>35.6</v>
      </c>
      <c r="AF37" s="93">
        <v>32.299999999999997</v>
      </c>
      <c r="AG37" s="93">
        <v>29.7</v>
      </c>
      <c r="AH37" s="93">
        <v>27.5</v>
      </c>
      <c r="AI37" s="93">
        <v>25.8</v>
      </c>
      <c r="AJ37" s="93">
        <v>24.3</v>
      </c>
      <c r="AK37" s="93">
        <v>23</v>
      </c>
      <c r="AL37" s="93">
        <v>21.9</v>
      </c>
      <c r="AM37" s="93">
        <v>20.9</v>
      </c>
      <c r="AN37" s="93">
        <v>20.100000000000001</v>
      </c>
      <c r="AO37" s="93">
        <v>19.399999999999999</v>
      </c>
      <c r="AP37" s="93">
        <v>18.7</v>
      </c>
      <c r="AQ37" s="93">
        <v>18.2</v>
      </c>
    </row>
    <row r="38" spans="1:43" x14ac:dyDescent="0.25">
      <c r="A38" s="92">
        <v>47</v>
      </c>
      <c r="B38" s="93">
        <v>269.89999999999998</v>
      </c>
      <c r="C38" s="93">
        <v>137.80000000000001</v>
      </c>
      <c r="D38" s="93">
        <v>93.7</v>
      </c>
      <c r="E38" s="93">
        <v>71.8</v>
      </c>
      <c r="F38" s="93">
        <v>58.6</v>
      </c>
      <c r="G38" s="93">
        <v>49.8</v>
      </c>
      <c r="H38" s="93">
        <v>43.6</v>
      </c>
      <c r="I38" s="93">
        <v>38.9</v>
      </c>
      <c r="J38" s="93">
        <v>35.299999999999997</v>
      </c>
      <c r="K38" s="93">
        <v>32.4</v>
      </c>
      <c r="L38" s="93">
        <v>30.1</v>
      </c>
      <c r="M38" s="93">
        <v>28.2</v>
      </c>
      <c r="N38" s="93">
        <v>26.5</v>
      </c>
      <c r="O38" s="93">
        <v>25.1</v>
      </c>
      <c r="P38" s="93">
        <v>23.9</v>
      </c>
      <c r="Q38" s="93">
        <v>22.9</v>
      </c>
      <c r="R38" s="93">
        <v>22</v>
      </c>
      <c r="S38" s="93">
        <v>21.2</v>
      </c>
      <c r="T38" s="93">
        <v>20.5</v>
      </c>
      <c r="U38" s="93">
        <v>19.899999999999999</v>
      </c>
      <c r="W38" s="92">
        <v>47</v>
      </c>
      <c r="X38" s="93">
        <v>251.6</v>
      </c>
      <c r="Y38" s="93">
        <v>128.4</v>
      </c>
      <c r="Z38" s="93">
        <v>87.4</v>
      </c>
      <c r="AA38" s="93">
        <v>66.900000000000006</v>
      </c>
      <c r="AB38" s="93">
        <v>54.6</v>
      </c>
      <c r="AC38" s="93">
        <v>46.5</v>
      </c>
      <c r="AD38" s="93">
        <v>40.6</v>
      </c>
      <c r="AE38" s="93">
        <v>36.299999999999997</v>
      </c>
      <c r="AF38" s="93">
        <v>32.9</v>
      </c>
      <c r="AG38" s="93">
        <v>30.2</v>
      </c>
      <c r="AH38" s="93">
        <v>28.1</v>
      </c>
      <c r="AI38" s="93">
        <v>26.3</v>
      </c>
      <c r="AJ38" s="93">
        <v>24.7</v>
      </c>
      <c r="AK38" s="93">
        <v>23.4</v>
      </c>
      <c r="AL38" s="93">
        <v>22.3</v>
      </c>
      <c r="AM38" s="93">
        <v>21.4</v>
      </c>
      <c r="AN38" s="93">
        <v>20.5</v>
      </c>
      <c r="AO38" s="93">
        <v>19.8</v>
      </c>
      <c r="AP38" s="93">
        <v>19.100000000000001</v>
      </c>
      <c r="AQ38" s="93">
        <v>18.5</v>
      </c>
    </row>
    <row r="39" spans="1:43" x14ac:dyDescent="0.25">
      <c r="A39" s="92">
        <v>48</v>
      </c>
      <c r="B39" s="93">
        <v>274.5</v>
      </c>
      <c r="C39" s="93">
        <v>140.1</v>
      </c>
      <c r="D39" s="93">
        <v>95.3</v>
      </c>
      <c r="E39" s="93">
        <v>73</v>
      </c>
      <c r="F39" s="93">
        <v>59.6</v>
      </c>
      <c r="G39" s="93">
        <v>50.7</v>
      </c>
      <c r="H39" s="93">
        <v>44.4</v>
      </c>
      <c r="I39" s="93">
        <v>39.6</v>
      </c>
      <c r="J39" s="93">
        <v>36</v>
      </c>
      <c r="K39" s="93">
        <v>33</v>
      </c>
      <c r="L39" s="93">
        <v>30.7</v>
      </c>
      <c r="M39" s="93">
        <v>28.7</v>
      </c>
      <c r="N39" s="93">
        <v>27</v>
      </c>
      <c r="O39" s="93">
        <v>25.6</v>
      </c>
      <c r="P39" s="93">
        <v>24.4</v>
      </c>
      <c r="Q39" s="93">
        <v>23.4</v>
      </c>
      <c r="R39" s="93">
        <v>22.5</v>
      </c>
      <c r="S39" s="93">
        <v>21.6</v>
      </c>
      <c r="T39" s="93">
        <v>20.9</v>
      </c>
      <c r="U39" s="93"/>
      <c r="W39" s="92">
        <v>48</v>
      </c>
      <c r="X39" s="93">
        <v>256</v>
      </c>
      <c r="Y39" s="93">
        <v>130.69999999999999</v>
      </c>
      <c r="Z39" s="93">
        <v>88.9</v>
      </c>
      <c r="AA39" s="93">
        <v>68.099999999999994</v>
      </c>
      <c r="AB39" s="93">
        <v>55.6</v>
      </c>
      <c r="AC39" s="93">
        <v>47.3</v>
      </c>
      <c r="AD39" s="93">
        <v>41.4</v>
      </c>
      <c r="AE39" s="93">
        <v>37</v>
      </c>
      <c r="AF39" s="93">
        <v>33.5</v>
      </c>
      <c r="AG39" s="93">
        <v>30.8</v>
      </c>
      <c r="AH39" s="93">
        <v>28.6</v>
      </c>
      <c r="AI39" s="93">
        <v>26.8</v>
      </c>
      <c r="AJ39" s="93">
        <v>25.2</v>
      </c>
      <c r="AK39" s="93">
        <v>23.9</v>
      </c>
      <c r="AL39" s="93">
        <v>22.8</v>
      </c>
      <c r="AM39" s="93">
        <v>21.8</v>
      </c>
      <c r="AN39" s="93">
        <v>20.9</v>
      </c>
      <c r="AO39" s="93">
        <v>20.2</v>
      </c>
      <c r="AP39" s="93">
        <v>19.5</v>
      </c>
      <c r="AQ39" s="93"/>
    </row>
    <row r="40" spans="1:43" x14ac:dyDescent="0.25">
      <c r="A40" s="92">
        <v>49</v>
      </c>
      <c r="B40" s="93">
        <v>279.2</v>
      </c>
      <c r="C40" s="93">
        <v>142.5</v>
      </c>
      <c r="D40" s="93">
        <v>97</v>
      </c>
      <c r="E40" s="93">
        <v>74.3</v>
      </c>
      <c r="F40" s="93">
        <v>60.7</v>
      </c>
      <c r="G40" s="93">
        <v>51.6</v>
      </c>
      <c r="H40" s="93">
        <v>45.2</v>
      </c>
      <c r="I40" s="93">
        <v>40.4</v>
      </c>
      <c r="J40" s="93">
        <v>36.6</v>
      </c>
      <c r="K40" s="93">
        <v>33.700000000000003</v>
      </c>
      <c r="L40" s="93">
        <v>31.3</v>
      </c>
      <c r="M40" s="93">
        <v>29.3</v>
      </c>
      <c r="N40" s="93">
        <v>27.6</v>
      </c>
      <c r="O40" s="93">
        <v>26.1</v>
      </c>
      <c r="P40" s="93">
        <v>24.9</v>
      </c>
      <c r="Q40" s="93">
        <v>23.9</v>
      </c>
      <c r="R40" s="93">
        <v>22.9</v>
      </c>
      <c r="S40" s="93">
        <v>22.1</v>
      </c>
      <c r="T40" s="93"/>
      <c r="U40" s="93"/>
      <c r="W40" s="92">
        <v>49</v>
      </c>
      <c r="X40" s="93">
        <v>260.5</v>
      </c>
      <c r="Y40" s="93">
        <v>133</v>
      </c>
      <c r="Z40" s="93">
        <v>90.5</v>
      </c>
      <c r="AA40" s="93">
        <v>69.3</v>
      </c>
      <c r="AB40" s="93">
        <v>56.6</v>
      </c>
      <c r="AC40" s="93">
        <v>48.2</v>
      </c>
      <c r="AD40" s="93">
        <v>42.2</v>
      </c>
      <c r="AE40" s="93">
        <v>37.700000000000003</v>
      </c>
      <c r="AF40" s="93">
        <v>34.200000000000003</v>
      </c>
      <c r="AG40" s="93">
        <v>31.4</v>
      </c>
      <c r="AH40" s="93">
        <v>29.2</v>
      </c>
      <c r="AI40" s="93">
        <v>27.3</v>
      </c>
      <c r="AJ40" s="93">
        <v>25.7</v>
      </c>
      <c r="AK40" s="93">
        <v>24.4</v>
      </c>
      <c r="AL40" s="93">
        <v>23.3</v>
      </c>
      <c r="AM40" s="93">
        <v>22.3</v>
      </c>
      <c r="AN40" s="93">
        <v>21.4</v>
      </c>
      <c r="AO40" s="93">
        <v>20.6</v>
      </c>
      <c r="AP40" s="93"/>
      <c r="AQ40" s="93"/>
    </row>
    <row r="41" spans="1:43" x14ac:dyDescent="0.25">
      <c r="A41" s="92">
        <v>50</v>
      </c>
      <c r="B41" s="93">
        <v>284.10000000000002</v>
      </c>
      <c r="C41" s="93">
        <v>145.1</v>
      </c>
      <c r="D41" s="93">
        <v>98.8</v>
      </c>
      <c r="E41" s="93">
        <v>75.599999999999994</v>
      </c>
      <c r="F41" s="93">
        <v>61.8</v>
      </c>
      <c r="G41" s="93">
        <v>52.6</v>
      </c>
      <c r="H41" s="93">
        <v>46.1</v>
      </c>
      <c r="I41" s="93">
        <v>41.2</v>
      </c>
      <c r="J41" s="93">
        <v>37.4</v>
      </c>
      <c r="K41" s="93">
        <v>34.299999999999997</v>
      </c>
      <c r="L41" s="93">
        <v>31.9</v>
      </c>
      <c r="M41" s="93">
        <v>29.9</v>
      </c>
      <c r="N41" s="93">
        <v>28.1</v>
      </c>
      <c r="O41" s="93">
        <v>26.7</v>
      </c>
      <c r="P41" s="93">
        <v>25.4</v>
      </c>
      <c r="Q41" s="93">
        <v>24.4</v>
      </c>
      <c r="R41" s="93">
        <v>23.4</v>
      </c>
      <c r="S41" s="93"/>
      <c r="T41" s="93"/>
      <c r="U41" s="93"/>
      <c r="W41" s="92">
        <v>50</v>
      </c>
      <c r="X41" s="93">
        <v>265.2</v>
      </c>
      <c r="Y41" s="93">
        <v>135.4</v>
      </c>
      <c r="Z41" s="93">
        <v>92.2</v>
      </c>
      <c r="AA41" s="93">
        <v>70.599999999999994</v>
      </c>
      <c r="AB41" s="93">
        <v>57.7</v>
      </c>
      <c r="AC41" s="93">
        <v>49.1</v>
      </c>
      <c r="AD41" s="93">
        <v>43</v>
      </c>
      <c r="AE41" s="93">
        <v>38.4</v>
      </c>
      <c r="AF41" s="93">
        <v>34.9</v>
      </c>
      <c r="AG41" s="93">
        <v>32.1</v>
      </c>
      <c r="AH41" s="93">
        <v>29.8</v>
      </c>
      <c r="AI41" s="93">
        <v>27.9</v>
      </c>
      <c r="AJ41" s="93">
        <v>26.3</v>
      </c>
      <c r="AK41" s="93">
        <v>24.9</v>
      </c>
      <c r="AL41" s="93">
        <v>23.8</v>
      </c>
      <c r="AM41" s="93">
        <v>22.7</v>
      </c>
      <c r="AN41" s="93">
        <v>21.9</v>
      </c>
      <c r="AO41" s="93"/>
      <c r="AP41" s="93"/>
      <c r="AQ41" s="93"/>
    </row>
    <row r="42" spans="1:43" x14ac:dyDescent="0.25">
      <c r="A42" s="92">
        <v>51</v>
      </c>
      <c r="B42" s="93">
        <v>289.10000000000002</v>
      </c>
      <c r="C42" s="93">
        <v>147.69999999999999</v>
      </c>
      <c r="D42" s="93">
        <v>100.6</v>
      </c>
      <c r="E42" s="93">
        <v>77</v>
      </c>
      <c r="F42" s="93">
        <v>63</v>
      </c>
      <c r="G42" s="93">
        <v>53.6</v>
      </c>
      <c r="H42" s="93">
        <v>46.9</v>
      </c>
      <c r="I42" s="93">
        <v>42</v>
      </c>
      <c r="J42" s="93">
        <v>38.1</v>
      </c>
      <c r="K42" s="93">
        <v>35</v>
      </c>
      <c r="L42" s="93">
        <v>32.5</v>
      </c>
      <c r="M42" s="93">
        <v>30.5</v>
      </c>
      <c r="N42" s="93">
        <v>28.7</v>
      </c>
      <c r="O42" s="93">
        <v>27.3</v>
      </c>
      <c r="P42" s="93">
        <v>26</v>
      </c>
      <c r="Q42" s="93">
        <v>24.9</v>
      </c>
      <c r="R42" s="93"/>
      <c r="S42" s="93"/>
      <c r="T42" s="93"/>
      <c r="U42" s="93"/>
      <c r="W42" s="92">
        <v>51</v>
      </c>
      <c r="X42" s="93">
        <v>270</v>
      </c>
      <c r="Y42" s="93">
        <v>137.9</v>
      </c>
      <c r="Z42" s="93">
        <v>93.9</v>
      </c>
      <c r="AA42" s="93">
        <v>72</v>
      </c>
      <c r="AB42" s="93">
        <v>58.8</v>
      </c>
      <c r="AC42" s="93">
        <v>50.1</v>
      </c>
      <c r="AD42" s="93">
        <v>43.8</v>
      </c>
      <c r="AE42" s="93">
        <v>39.200000000000003</v>
      </c>
      <c r="AF42" s="93">
        <v>35.6</v>
      </c>
      <c r="AG42" s="93">
        <v>32.700000000000003</v>
      </c>
      <c r="AH42" s="93">
        <v>30.4</v>
      </c>
      <c r="AI42" s="93">
        <v>28.5</v>
      </c>
      <c r="AJ42" s="93">
        <v>26.8</v>
      </c>
      <c r="AK42" s="93">
        <v>25.5</v>
      </c>
      <c r="AL42" s="93">
        <v>24.3</v>
      </c>
      <c r="AM42" s="93">
        <v>23.3</v>
      </c>
      <c r="AN42" s="93"/>
      <c r="AO42" s="93"/>
      <c r="AP42" s="93"/>
      <c r="AQ42" s="93"/>
    </row>
    <row r="43" spans="1:43" x14ac:dyDescent="0.25">
      <c r="A43" s="92">
        <v>52</v>
      </c>
      <c r="B43" s="93">
        <v>294.2</v>
      </c>
      <c r="C43" s="93">
        <v>150.30000000000001</v>
      </c>
      <c r="D43" s="93">
        <v>102.4</v>
      </c>
      <c r="E43" s="93">
        <v>78.5</v>
      </c>
      <c r="F43" s="93">
        <v>64.099999999999994</v>
      </c>
      <c r="G43" s="93">
        <v>54.6</v>
      </c>
      <c r="H43" s="93">
        <v>47.8</v>
      </c>
      <c r="I43" s="93">
        <v>42.8</v>
      </c>
      <c r="J43" s="93">
        <v>38.9</v>
      </c>
      <c r="K43" s="93">
        <v>35.700000000000003</v>
      </c>
      <c r="L43" s="93">
        <v>33.200000000000003</v>
      </c>
      <c r="M43" s="93">
        <v>31.1</v>
      </c>
      <c r="N43" s="93">
        <v>29.3</v>
      </c>
      <c r="O43" s="93">
        <v>27.8</v>
      </c>
      <c r="P43" s="93">
        <v>26.5</v>
      </c>
      <c r="Q43" s="93"/>
      <c r="R43" s="93"/>
      <c r="S43" s="93"/>
      <c r="T43" s="93"/>
      <c r="U43" s="93"/>
      <c r="W43" s="92">
        <v>52</v>
      </c>
      <c r="X43" s="93">
        <v>275</v>
      </c>
      <c r="Y43" s="93">
        <v>140.5</v>
      </c>
      <c r="Z43" s="93">
        <v>95.7</v>
      </c>
      <c r="AA43" s="93">
        <v>73.3</v>
      </c>
      <c r="AB43" s="93">
        <v>59.9</v>
      </c>
      <c r="AC43" s="93">
        <v>51</v>
      </c>
      <c r="AD43" s="93">
        <v>44.7</v>
      </c>
      <c r="AE43" s="93">
        <v>40</v>
      </c>
      <c r="AF43" s="93">
        <v>36.299999999999997</v>
      </c>
      <c r="AG43" s="93">
        <v>33.4</v>
      </c>
      <c r="AH43" s="93">
        <v>31</v>
      </c>
      <c r="AI43" s="93">
        <v>29.1</v>
      </c>
      <c r="AJ43" s="93">
        <v>27.4</v>
      </c>
      <c r="AK43" s="93">
        <v>26</v>
      </c>
      <c r="AL43" s="93">
        <v>24.8</v>
      </c>
      <c r="AM43" s="93"/>
      <c r="AN43" s="93"/>
      <c r="AO43" s="93"/>
      <c r="AP43" s="93"/>
      <c r="AQ43" s="93"/>
    </row>
    <row r="44" spans="1:43" x14ac:dyDescent="0.25">
      <c r="A44" s="92">
        <v>53</v>
      </c>
      <c r="B44" s="93">
        <v>299.39999999999998</v>
      </c>
      <c r="C44" s="93">
        <v>153</v>
      </c>
      <c r="D44" s="93">
        <v>104.2</v>
      </c>
      <c r="E44" s="93">
        <v>79.900000000000006</v>
      </c>
      <c r="F44" s="93">
        <v>65.3</v>
      </c>
      <c r="G44" s="93">
        <v>55.7</v>
      </c>
      <c r="H44" s="93">
        <v>48.8</v>
      </c>
      <c r="I44" s="93">
        <v>43.6</v>
      </c>
      <c r="J44" s="93">
        <v>39.6</v>
      </c>
      <c r="K44" s="93">
        <v>36.5</v>
      </c>
      <c r="L44" s="93">
        <v>33.9</v>
      </c>
      <c r="M44" s="93">
        <v>31.7</v>
      </c>
      <c r="N44" s="93">
        <v>30</v>
      </c>
      <c r="O44" s="93">
        <v>28.4</v>
      </c>
      <c r="P44" s="93"/>
      <c r="Q44" s="93"/>
      <c r="R44" s="93"/>
      <c r="S44" s="93"/>
      <c r="T44" s="93"/>
      <c r="U44" s="93"/>
      <c r="W44" s="92">
        <v>53</v>
      </c>
      <c r="X44" s="93">
        <v>280</v>
      </c>
      <c r="Y44" s="93">
        <v>143.1</v>
      </c>
      <c r="Z44" s="93">
        <v>97.5</v>
      </c>
      <c r="AA44" s="93">
        <v>74.7</v>
      </c>
      <c r="AB44" s="93">
        <v>61.1</v>
      </c>
      <c r="AC44" s="93">
        <v>52.1</v>
      </c>
      <c r="AD44" s="93">
        <v>45.6</v>
      </c>
      <c r="AE44" s="93">
        <v>40.799999999999997</v>
      </c>
      <c r="AF44" s="93">
        <v>37.1</v>
      </c>
      <c r="AG44" s="93">
        <v>34.1</v>
      </c>
      <c r="AH44" s="93">
        <v>31.7</v>
      </c>
      <c r="AI44" s="93">
        <v>29.7</v>
      </c>
      <c r="AJ44" s="93">
        <v>28</v>
      </c>
      <c r="AK44" s="93">
        <v>26.6</v>
      </c>
      <c r="AL44" s="93"/>
      <c r="AM44" s="93"/>
      <c r="AN44" s="93"/>
      <c r="AO44" s="93"/>
      <c r="AP44" s="93"/>
      <c r="AQ44" s="93"/>
    </row>
    <row r="45" spans="1:43" x14ac:dyDescent="0.25">
      <c r="A45" s="92">
        <v>54</v>
      </c>
      <c r="B45" s="93">
        <v>304.60000000000002</v>
      </c>
      <c r="C45" s="93">
        <v>155.69999999999999</v>
      </c>
      <c r="D45" s="93">
        <v>106.1</v>
      </c>
      <c r="E45" s="93">
        <v>81.400000000000006</v>
      </c>
      <c r="F45" s="93">
        <v>66.599999999999994</v>
      </c>
      <c r="G45" s="93">
        <v>56.7</v>
      </c>
      <c r="H45" s="93">
        <v>49.7</v>
      </c>
      <c r="I45" s="93">
        <v>44.5</v>
      </c>
      <c r="J45" s="93">
        <v>40.4</v>
      </c>
      <c r="K45" s="93">
        <v>37.200000000000003</v>
      </c>
      <c r="L45" s="93">
        <v>34.6</v>
      </c>
      <c r="M45" s="93">
        <v>32.4</v>
      </c>
      <c r="N45" s="93">
        <v>30.6</v>
      </c>
      <c r="O45" s="93"/>
      <c r="P45" s="93"/>
      <c r="Q45" s="93"/>
      <c r="R45" s="93"/>
      <c r="S45" s="93"/>
      <c r="T45" s="93"/>
      <c r="U45" s="93"/>
      <c r="W45" s="92">
        <v>54</v>
      </c>
      <c r="X45" s="93">
        <v>285.10000000000002</v>
      </c>
      <c r="Y45" s="93">
        <v>145.69999999999999</v>
      </c>
      <c r="Z45" s="93">
        <v>99.3</v>
      </c>
      <c r="AA45" s="93">
        <v>76.2</v>
      </c>
      <c r="AB45" s="93">
        <v>62.3</v>
      </c>
      <c r="AC45" s="93">
        <v>53.1</v>
      </c>
      <c r="AD45" s="93">
        <v>46.5</v>
      </c>
      <c r="AE45" s="93">
        <v>41.6</v>
      </c>
      <c r="AF45" s="93">
        <v>37.799999999999997</v>
      </c>
      <c r="AG45" s="93">
        <v>34.799999999999997</v>
      </c>
      <c r="AH45" s="93">
        <v>32.4</v>
      </c>
      <c r="AI45" s="93">
        <v>30.3</v>
      </c>
      <c r="AJ45" s="93">
        <v>28.6</v>
      </c>
      <c r="AK45" s="93"/>
      <c r="AL45" s="93"/>
      <c r="AM45" s="93"/>
      <c r="AN45" s="93"/>
      <c r="AO45" s="93"/>
      <c r="AP45" s="93"/>
      <c r="AQ45" s="93"/>
    </row>
    <row r="46" spans="1:43" x14ac:dyDescent="0.25">
      <c r="A46" s="92">
        <v>55</v>
      </c>
      <c r="B46" s="93">
        <v>310</v>
      </c>
      <c r="C46" s="93">
        <v>158.5</v>
      </c>
      <c r="D46" s="93">
        <v>108.1</v>
      </c>
      <c r="E46" s="93">
        <v>82.9</v>
      </c>
      <c r="F46" s="93">
        <v>67.8</v>
      </c>
      <c r="G46" s="93">
        <v>57.8</v>
      </c>
      <c r="H46" s="93">
        <v>50.7</v>
      </c>
      <c r="I46" s="93">
        <v>45.4</v>
      </c>
      <c r="J46" s="93">
        <v>41.2</v>
      </c>
      <c r="K46" s="93">
        <v>38</v>
      </c>
      <c r="L46" s="93">
        <v>35.299999999999997</v>
      </c>
      <c r="M46" s="93">
        <v>33.1</v>
      </c>
      <c r="N46" s="93"/>
      <c r="O46" s="93"/>
      <c r="P46" s="93"/>
      <c r="Q46" s="93"/>
      <c r="R46" s="93"/>
      <c r="S46" s="93"/>
      <c r="T46" s="93"/>
      <c r="U46" s="93"/>
      <c r="W46" s="92">
        <v>55</v>
      </c>
      <c r="X46" s="93">
        <v>290.3</v>
      </c>
      <c r="Y46" s="93">
        <v>148.4</v>
      </c>
      <c r="Z46" s="93">
        <v>101.2</v>
      </c>
      <c r="AA46" s="93">
        <v>77.599999999999994</v>
      </c>
      <c r="AB46" s="93">
        <v>63.5</v>
      </c>
      <c r="AC46" s="93">
        <v>54.1</v>
      </c>
      <c r="AD46" s="93">
        <v>47.5</v>
      </c>
      <c r="AE46" s="93">
        <v>42.5</v>
      </c>
      <c r="AF46" s="93">
        <v>38.6</v>
      </c>
      <c r="AG46" s="93">
        <v>35.5</v>
      </c>
      <c r="AH46" s="93">
        <v>33</v>
      </c>
      <c r="AI46" s="93">
        <v>31</v>
      </c>
      <c r="AJ46" s="93"/>
      <c r="AK46" s="93"/>
      <c r="AL46" s="93"/>
      <c r="AM46" s="93"/>
      <c r="AN46" s="93"/>
      <c r="AO46" s="93"/>
      <c r="AP46" s="93"/>
      <c r="AQ46" s="93"/>
    </row>
    <row r="47" spans="1:43" x14ac:dyDescent="0.25">
      <c r="A47" s="92">
        <v>56</v>
      </c>
      <c r="B47" s="93">
        <v>315.5</v>
      </c>
      <c r="C47" s="93">
        <v>161.4</v>
      </c>
      <c r="D47" s="93">
        <v>110</v>
      </c>
      <c r="E47" s="93">
        <v>84.4</v>
      </c>
      <c r="F47" s="93">
        <v>69.099999999999994</v>
      </c>
      <c r="G47" s="93">
        <v>58.9</v>
      </c>
      <c r="H47" s="93">
        <v>51.7</v>
      </c>
      <c r="I47" s="93">
        <v>46.3</v>
      </c>
      <c r="J47" s="93">
        <v>42.1</v>
      </c>
      <c r="K47" s="93">
        <v>38.700000000000003</v>
      </c>
      <c r="L47" s="93">
        <v>36</v>
      </c>
      <c r="M47" s="93"/>
      <c r="N47" s="93"/>
      <c r="O47" s="93"/>
      <c r="P47" s="93"/>
      <c r="Q47" s="93"/>
      <c r="R47" s="93"/>
      <c r="S47" s="93"/>
      <c r="T47" s="93"/>
      <c r="U47" s="93"/>
      <c r="W47" s="92">
        <v>56</v>
      </c>
      <c r="X47" s="93">
        <v>295.7</v>
      </c>
      <c r="Y47" s="93">
        <v>151.19999999999999</v>
      </c>
      <c r="Z47" s="93">
        <v>103.1</v>
      </c>
      <c r="AA47" s="93">
        <v>79.099999999999994</v>
      </c>
      <c r="AB47" s="93">
        <v>64.8</v>
      </c>
      <c r="AC47" s="93">
        <v>55.2</v>
      </c>
      <c r="AD47" s="93">
        <v>48.4</v>
      </c>
      <c r="AE47" s="93">
        <v>43.3</v>
      </c>
      <c r="AF47" s="93">
        <v>39.4</v>
      </c>
      <c r="AG47" s="93">
        <v>36.299999999999997</v>
      </c>
      <c r="AH47" s="93">
        <v>33.799999999999997</v>
      </c>
      <c r="AI47" s="93"/>
      <c r="AJ47" s="93"/>
      <c r="AK47" s="93"/>
      <c r="AL47" s="93"/>
      <c r="AM47" s="93"/>
      <c r="AN47" s="93"/>
      <c r="AO47" s="93"/>
      <c r="AP47" s="93"/>
      <c r="AQ47" s="93"/>
    </row>
    <row r="48" spans="1:43" x14ac:dyDescent="0.25">
      <c r="A48" s="92">
        <v>57</v>
      </c>
      <c r="B48" s="93">
        <v>321</v>
      </c>
      <c r="C48" s="93">
        <v>164.2</v>
      </c>
      <c r="D48" s="93">
        <v>112.1</v>
      </c>
      <c r="E48" s="93">
        <v>86</v>
      </c>
      <c r="F48" s="93">
        <v>70.400000000000006</v>
      </c>
      <c r="G48" s="93">
        <v>60.1</v>
      </c>
      <c r="H48" s="93">
        <v>52.7</v>
      </c>
      <c r="I48" s="93">
        <v>47.2</v>
      </c>
      <c r="J48" s="93">
        <v>42.9</v>
      </c>
      <c r="K48" s="93">
        <v>39.5</v>
      </c>
      <c r="L48" s="93"/>
      <c r="M48" s="93"/>
      <c r="N48" s="93"/>
      <c r="O48" s="93"/>
      <c r="P48" s="93"/>
      <c r="Q48" s="93"/>
      <c r="R48" s="93"/>
      <c r="S48" s="93"/>
      <c r="T48" s="93"/>
      <c r="U48" s="93"/>
      <c r="W48" s="92">
        <v>57</v>
      </c>
      <c r="X48" s="93">
        <v>301.10000000000002</v>
      </c>
      <c r="Y48" s="93">
        <v>154.1</v>
      </c>
      <c r="Z48" s="93">
        <v>105.1</v>
      </c>
      <c r="AA48" s="93">
        <v>80.7</v>
      </c>
      <c r="AB48" s="93">
        <v>66</v>
      </c>
      <c r="AC48" s="93">
        <v>56.3</v>
      </c>
      <c r="AD48" s="93">
        <v>49.4</v>
      </c>
      <c r="AE48" s="93">
        <v>44.2</v>
      </c>
      <c r="AF48" s="93">
        <v>40.299999999999997</v>
      </c>
      <c r="AG48" s="93">
        <v>37.1</v>
      </c>
      <c r="AH48" s="93"/>
      <c r="AI48" s="93"/>
      <c r="AJ48" s="93"/>
      <c r="AK48" s="93"/>
      <c r="AL48" s="93"/>
      <c r="AM48" s="93"/>
      <c r="AN48" s="93"/>
      <c r="AO48" s="93"/>
      <c r="AP48" s="93"/>
      <c r="AQ48" s="93"/>
    </row>
    <row r="49" spans="1:43" x14ac:dyDescent="0.25">
      <c r="A49" s="92">
        <v>58</v>
      </c>
      <c r="B49" s="93">
        <v>326.7</v>
      </c>
      <c r="C49" s="93">
        <v>167.2</v>
      </c>
      <c r="D49" s="93">
        <v>114.1</v>
      </c>
      <c r="E49" s="93">
        <v>87.6</v>
      </c>
      <c r="F49" s="93">
        <v>71.7</v>
      </c>
      <c r="G49" s="93">
        <v>61.2</v>
      </c>
      <c r="H49" s="93">
        <v>53.7</v>
      </c>
      <c r="I49" s="93">
        <v>48.1</v>
      </c>
      <c r="J49" s="93">
        <v>43.8</v>
      </c>
      <c r="K49" s="93"/>
      <c r="L49" s="93"/>
      <c r="M49" s="93"/>
      <c r="N49" s="93"/>
      <c r="O49" s="93"/>
      <c r="P49" s="93"/>
      <c r="Q49" s="93"/>
      <c r="R49" s="93"/>
      <c r="S49" s="93"/>
      <c r="T49" s="93"/>
      <c r="U49" s="93"/>
      <c r="W49" s="92">
        <v>58</v>
      </c>
      <c r="X49" s="93">
        <v>306.7</v>
      </c>
      <c r="Y49" s="93">
        <v>157</v>
      </c>
      <c r="Z49" s="93">
        <v>107.1</v>
      </c>
      <c r="AA49" s="93">
        <v>82.3</v>
      </c>
      <c r="AB49" s="93">
        <v>67.400000000000006</v>
      </c>
      <c r="AC49" s="93">
        <v>57.5</v>
      </c>
      <c r="AD49" s="93">
        <v>50.4</v>
      </c>
      <c r="AE49" s="93">
        <v>45.2</v>
      </c>
      <c r="AF49" s="93">
        <v>41.1</v>
      </c>
      <c r="AG49" s="93"/>
      <c r="AH49" s="93"/>
      <c r="AI49" s="93"/>
      <c r="AJ49" s="93"/>
      <c r="AK49" s="93"/>
      <c r="AL49" s="93"/>
      <c r="AM49" s="93"/>
      <c r="AN49" s="93"/>
      <c r="AO49" s="93"/>
      <c r="AP49" s="93"/>
      <c r="AQ49" s="93"/>
    </row>
    <row r="50" spans="1:43" x14ac:dyDescent="0.25">
      <c r="A50" s="92">
        <v>59</v>
      </c>
      <c r="B50" s="93">
        <v>332.5</v>
      </c>
      <c r="C50" s="93">
        <v>170.2</v>
      </c>
      <c r="D50" s="93">
        <v>116.2</v>
      </c>
      <c r="E50" s="93">
        <v>89.2</v>
      </c>
      <c r="F50" s="93">
        <v>73.099999999999994</v>
      </c>
      <c r="G50" s="93">
        <v>62.4</v>
      </c>
      <c r="H50" s="93">
        <v>54.8</v>
      </c>
      <c r="I50" s="93">
        <v>49.1</v>
      </c>
      <c r="J50" s="93"/>
      <c r="K50" s="93"/>
      <c r="L50" s="93"/>
      <c r="M50" s="93"/>
      <c r="N50" s="93"/>
      <c r="O50" s="93"/>
      <c r="P50" s="93"/>
      <c r="Q50" s="93"/>
      <c r="R50" s="93"/>
      <c r="S50" s="93"/>
      <c r="T50" s="93"/>
      <c r="U50" s="93"/>
      <c r="W50" s="92">
        <v>59</v>
      </c>
      <c r="X50" s="93">
        <v>312.39999999999998</v>
      </c>
      <c r="Y50" s="93">
        <v>160</v>
      </c>
      <c r="Z50" s="93">
        <v>109.2</v>
      </c>
      <c r="AA50" s="93">
        <v>83.9</v>
      </c>
      <c r="AB50" s="93">
        <v>68.7</v>
      </c>
      <c r="AC50" s="93">
        <v>58.6</v>
      </c>
      <c r="AD50" s="93">
        <v>51.5</v>
      </c>
      <c r="AE50" s="93">
        <v>46.2</v>
      </c>
      <c r="AF50" s="93"/>
      <c r="AG50" s="93"/>
      <c r="AH50" s="93"/>
      <c r="AI50" s="93"/>
      <c r="AJ50" s="93"/>
      <c r="AK50" s="93"/>
      <c r="AL50" s="93"/>
      <c r="AM50" s="93"/>
      <c r="AN50" s="93"/>
      <c r="AO50" s="93"/>
      <c r="AP50" s="93"/>
      <c r="AQ50" s="93"/>
    </row>
    <row r="51" spans="1:43" x14ac:dyDescent="0.25">
      <c r="A51" s="92">
        <v>60</v>
      </c>
      <c r="B51" s="93">
        <v>338.3</v>
      </c>
      <c r="C51" s="93">
        <v>173.3</v>
      </c>
      <c r="D51" s="93">
        <v>118.3</v>
      </c>
      <c r="E51" s="93">
        <v>90.9</v>
      </c>
      <c r="F51" s="93">
        <v>74.5</v>
      </c>
      <c r="G51" s="93">
        <v>63.6</v>
      </c>
      <c r="H51" s="93">
        <v>55.9</v>
      </c>
      <c r="I51" s="93"/>
      <c r="J51" s="93"/>
      <c r="K51" s="93"/>
      <c r="L51" s="93"/>
      <c r="M51" s="93"/>
      <c r="N51" s="93"/>
      <c r="O51" s="93"/>
      <c r="P51" s="93"/>
      <c r="Q51" s="93"/>
      <c r="R51" s="93"/>
      <c r="S51" s="93"/>
      <c r="T51" s="93"/>
      <c r="U51" s="93"/>
      <c r="W51" s="92">
        <v>60</v>
      </c>
      <c r="X51" s="93">
        <v>318.3</v>
      </c>
      <c r="Y51" s="93">
        <v>163</v>
      </c>
      <c r="Z51" s="93">
        <v>111.3</v>
      </c>
      <c r="AA51" s="93">
        <v>85.5</v>
      </c>
      <c r="AB51" s="93">
        <v>70.099999999999994</v>
      </c>
      <c r="AC51" s="93">
        <v>59.8</v>
      </c>
      <c r="AD51" s="93">
        <v>52.6</v>
      </c>
      <c r="AE51" s="93"/>
      <c r="AF51" s="93"/>
      <c r="AG51" s="93"/>
      <c r="AH51" s="93"/>
      <c r="AI51" s="93"/>
      <c r="AJ51" s="93"/>
      <c r="AK51" s="93"/>
      <c r="AL51" s="93"/>
      <c r="AM51" s="93"/>
      <c r="AN51" s="93"/>
      <c r="AO51" s="93"/>
      <c r="AP51" s="93"/>
      <c r="AQ51" s="93"/>
    </row>
    <row r="52" spans="1:43" x14ac:dyDescent="0.25">
      <c r="A52" s="92">
        <v>61</v>
      </c>
      <c r="B52" s="93">
        <v>344.4</v>
      </c>
      <c r="C52" s="93">
        <v>176.4</v>
      </c>
      <c r="D52" s="93">
        <v>120.5</v>
      </c>
      <c r="E52" s="93">
        <v>92.6</v>
      </c>
      <c r="F52" s="93">
        <v>75.900000000000006</v>
      </c>
      <c r="G52" s="93">
        <v>64.900000000000006</v>
      </c>
      <c r="H52" s="93"/>
      <c r="I52" s="93"/>
      <c r="J52" s="93"/>
      <c r="K52" s="93"/>
      <c r="L52" s="93"/>
      <c r="M52" s="93"/>
      <c r="N52" s="93"/>
      <c r="O52" s="93"/>
      <c r="P52" s="93"/>
      <c r="Q52" s="93"/>
      <c r="R52" s="93"/>
      <c r="S52" s="93"/>
      <c r="T52" s="93"/>
      <c r="U52" s="93"/>
      <c r="W52" s="92">
        <v>61</v>
      </c>
      <c r="X52" s="93">
        <v>324.3</v>
      </c>
      <c r="Y52" s="93">
        <v>166.1</v>
      </c>
      <c r="Z52" s="93">
        <v>113.5</v>
      </c>
      <c r="AA52" s="93">
        <v>87.2</v>
      </c>
      <c r="AB52" s="93">
        <v>71.5</v>
      </c>
      <c r="AC52" s="93">
        <v>61.1</v>
      </c>
      <c r="AD52" s="93"/>
      <c r="AE52" s="93"/>
      <c r="AF52" s="93"/>
      <c r="AG52" s="93"/>
      <c r="AH52" s="93"/>
      <c r="AI52" s="93"/>
      <c r="AJ52" s="93"/>
      <c r="AK52" s="93"/>
      <c r="AL52" s="93"/>
      <c r="AM52" s="93"/>
      <c r="AN52" s="93"/>
      <c r="AO52" s="93"/>
      <c r="AP52" s="93"/>
      <c r="AQ52" s="93"/>
    </row>
    <row r="53" spans="1:43" x14ac:dyDescent="0.25">
      <c r="A53" s="92">
        <v>62</v>
      </c>
      <c r="B53" s="93">
        <v>350.6</v>
      </c>
      <c r="C53" s="93">
        <v>179.7</v>
      </c>
      <c r="D53" s="93">
        <v>122.8</v>
      </c>
      <c r="E53" s="93">
        <v>94.4</v>
      </c>
      <c r="F53" s="93">
        <v>77.400000000000006</v>
      </c>
      <c r="G53" s="93"/>
      <c r="H53" s="93"/>
      <c r="I53" s="93"/>
      <c r="J53" s="93"/>
      <c r="K53" s="93"/>
      <c r="L53" s="93"/>
      <c r="M53" s="93"/>
      <c r="N53" s="93"/>
      <c r="O53" s="93"/>
      <c r="P53" s="93"/>
      <c r="Q53" s="93"/>
      <c r="R53" s="93"/>
      <c r="S53" s="93"/>
      <c r="T53" s="93"/>
      <c r="U53" s="93"/>
      <c r="W53" s="92">
        <v>62</v>
      </c>
      <c r="X53" s="93">
        <v>330.5</v>
      </c>
      <c r="Y53" s="93">
        <v>169.4</v>
      </c>
      <c r="Z53" s="93">
        <v>115.7</v>
      </c>
      <c r="AA53" s="93">
        <v>89</v>
      </c>
      <c r="AB53" s="93">
        <v>73</v>
      </c>
      <c r="AC53" s="93"/>
      <c r="AD53" s="93"/>
      <c r="AE53" s="93"/>
      <c r="AF53" s="93"/>
      <c r="AG53" s="93"/>
      <c r="AH53" s="93"/>
      <c r="AI53" s="93"/>
      <c r="AJ53" s="93"/>
      <c r="AK53" s="93"/>
      <c r="AL53" s="93"/>
      <c r="AM53" s="93"/>
      <c r="AN53" s="93"/>
      <c r="AO53" s="93"/>
      <c r="AP53" s="93"/>
      <c r="AQ53" s="93"/>
    </row>
    <row r="54" spans="1:43" x14ac:dyDescent="0.25">
      <c r="A54" s="92">
        <v>63</v>
      </c>
      <c r="B54" s="93">
        <v>357.1</v>
      </c>
      <c r="C54" s="93">
        <v>183.1</v>
      </c>
      <c r="D54" s="93">
        <v>125.1</v>
      </c>
      <c r="E54" s="93">
        <v>96.3</v>
      </c>
      <c r="F54" s="93"/>
      <c r="G54" s="93"/>
      <c r="H54" s="93"/>
      <c r="I54" s="93"/>
      <c r="J54" s="93"/>
      <c r="K54" s="93"/>
      <c r="L54" s="93"/>
      <c r="M54" s="93"/>
      <c r="N54" s="93"/>
      <c r="O54" s="93"/>
      <c r="P54" s="93"/>
      <c r="Q54" s="93"/>
      <c r="R54" s="93"/>
      <c r="S54" s="93"/>
      <c r="T54" s="93"/>
      <c r="U54" s="93"/>
      <c r="W54" s="92">
        <v>63</v>
      </c>
      <c r="X54" s="93">
        <v>337</v>
      </c>
      <c r="Y54" s="93">
        <v>172.8</v>
      </c>
      <c r="Z54" s="93">
        <v>118.1</v>
      </c>
      <c r="AA54" s="93">
        <v>90.9</v>
      </c>
      <c r="AB54" s="93"/>
      <c r="AC54" s="93"/>
      <c r="AD54" s="93"/>
      <c r="AE54" s="93"/>
      <c r="AF54" s="93"/>
      <c r="AG54" s="93"/>
      <c r="AH54" s="93"/>
      <c r="AI54" s="93"/>
      <c r="AJ54" s="93"/>
      <c r="AK54" s="93"/>
      <c r="AL54" s="93"/>
      <c r="AM54" s="93"/>
      <c r="AN54" s="93"/>
      <c r="AO54" s="93"/>
      <c r="AP54" s="93"/>
      <c r="AQ54" s="93"/>
    </row>
    <row r="55" spans="1:43" x14ac:dyDescent="0.25">
      <c r="A55" s="92">
        <v>64</v>
      </c>
      <c r="B55" s="93">
        <v>363.9</v>
      </c>
      <c r="C55" s="93">
        <v>186.6</v>
      </c>
      <c r="D55" s="93">
        <v>127.6</v>
      </c>
      <c r="E55" s="93"/>
      <c r="F55" s="93"/>
      <c r="G55" s="93"/>
      <c r="H55" s="93"/>
      <c r="I55" s="93"/>
      <c r="J55" s="93"/>
      <c r="K55" s="93"/>
      <c r="L55" s="93"/>
      <c r="M55" s="93"/>
      <c r="N55" s="93"/>
      <c r="O55" s="93"/>
      <c r="P55" s="93"/>
      <c r="Q55" s="93"/>
      <c r="R55" s="93"/>
      <c r="S55" s="93"/>
      <c r="T55" s="93"/>
      <c r="U55" s="93"/>
      <c r="W55" s="92">
        <v>64</v>
      </c>
      <c r="X55" s="93">
        <v>343.9</v>
      </c>
      <c r="Y55" s="93">
        <v>176.4</v>
      </c>
      <c r="Z55" s="93">
        <v>120.6</v>
      </c>
      <c r="AA55" s="93"/>
      <c r="AB55" s="93"/>
      <c r="AC55" s="93"/>
      <c r="AD55" s="93"/>
      <c r="AE55" s="93"/>
      <c r="AF55" s="93"/>
      <c r="AG55" s="93"/>
      <c r="AH55" s="93"/>
      <c r="AI55" s="93"/>
      <c r="AJ55" s="93"/>
      <c r="AK55" s="93"/>
      <c r="AL55" s="93"/>
      <c r="AM55" s="93"/>
      <c r="AN55" s="93"/>
      <c r="AO55" s="93"/>
      <c r="AP55" s="93"/>
      <c r="AQ55" s="93"/>
    </row>
    <row r="56" spans="1:43" x14ac:dyDescent="0.25">
      <c r="A56" s="92">
        <v>65</v>
      </c>
      <c r="B56" s="93">
        <v>371.2</v>
      </c>
      <c r="C56" s="93">
        <v>190.4</v>
      </c>
      <c r="D56" s="93"/>
      <c r="E56" s="93"/>
      <c r="F56" s="93"/>
      <c r="G56" s="93"/>
      <c r="H56" s="93"/>
      <c r="I56" s="93"/>
      <c r="J56" s="93"/>
      <c r="K56" s="93"/>
      <c r="L56" s="93"/>
      <c r="M56" s="93"/>
      <c r="N56" s="93"/>
      <c r="O56" s="93"/>
      <c r="P56" s="93"/>
      <c r="Q56" s="93"/>
      <c r="R56" s="93"/>
      <c r="S56" s="93"/>
      <c r="T56" s="93"/>
      <c r="U56" s="93"/>
      <c r="W56" s="92">
        <v>65</v>
      </c>
      <c r="X56" s="93">
        <v>351.2</v>
      </c>
      <c r="Y56" s="93">
        <v>180.2</v>
      </c>
      <c r="Z56" s="93"/>
      <c r="AA56" s="93"/>
      <c r="AB56" s="93"/>
      <c r="AC56" s="93"/>
      <c r="AD56" s="93"/>
      <c r="AE56" s="93"/>
      <c r="AF56" s="93"/>
      <c r="AG56" s="93"/>
      <c r="AH56" s="93"/>
      <c r="AI56" s="93"/>
      <c r="AJ56" s="93"/>
      <c r="AK56" s="93"/>
      <c r="AL56" s="93"/>
      <c r="AM56" s="93"/>
      <c r="AN56" s="93"/>
      <c r="AO56" s="93"/>
      <c r="AP56" s="93"/>
      <c r="AQ56" s="93"/>
    </row>
    <row r="57" spans="1:43" x14ac:dyDescent="0.25">
      <c r="A57" s="92">
        <v>66</v>
      </c>
      <c r="B57" s="93">
        <v>378.3</v>
      </c>
      <c r="C57" s="93"/>
      <c r="D57" s="93"/>
      <c r="E57" s="93"/>
      <c r="F57" s="93"/>
      <c r="G57" s="93"/>
      <c r="H57" s="93"/>
      <c r="I57" s="93"/>
      <c r="J57" s="93"/>
      <c r="K57" s="93"/>
      <c r="L57" s="93"/>
      <c r="M57" s="93"/>
      <c r="N57" s="93"/>
      <c r="O57" s="93"/>
      <c r="P57" s="93"/>
      <c r="Q57" s="93"/>
      <c r="R57" s="93"/>
      <c r="S57" s="93"/>
      <c r="T57" s="93"/>
      <c r="U57" s="93"/>
      <c r="W57" s="92">
        <v>66</v>
      </c>
      <c r="X57" s="93">
        <v>358.4</v>
      </c>
      <c r="Y57" s="93"/>
      <c r="Z57" s="93"/>
      <c r="AA57" s="93"/>
      <c r="AB57" s="93"/>
      <c r="AC57" s="93"/>
      <c r="AD57" s="93"/>
      <c r="AE57" s="93"/>
      <c r="AF57" s="93"/>
      <c r="AG57" s="93"/>
      <c r="AH57" s="93"/>
      <c r="AI57" s="93"/>
      <c r="AJ57" s="93"/>
      <c r="AK57" s="93"/>
      <c r="AL57" s="93"/>
      <c r="AM57" s="93"/>
      <c r="AN57" s="93"/>
      <c r="AO57" s="93"/>
      <c r="AP57" s="93"/>
      <c r="AQ57" s="93"/>
    </row>
  </sheetData>
  <mergeCells count="2">
    <mergeCell ref="B5:U5"/>
    <mergeCell ref="X5:AQ5"/>
  </mergeCells>
  <conditionalFormatting sqref="A7:A57">
    <cfRule type="expression" dxfId="15" priority="5" stopIfTrue="1">
      <formula>MOD(ROW(),2)=0</formula>
    </cfRule>
    <cfRule type="expression" dxfId="14" priority="6" stopIfTrue="1">
      <formula>MOD(ROW(),2)&lt;&gt;0</formula>
    </cfRule>
  </conditionalFormatting>
  <conditionalFormatting sqref="B7:U57">
    <cfRule type="expression" dxfId="13" priority="1" stopIfTrue="1">
      <formula>MOD(ROW(),2)=0</formula>
    </cfRule>
    <cfRule type="expression" dxfId="12" priority="2" stopIfTrue="1">
      <formula>MOD(ROW(),2)&lt;&gt;0</formula>
    </cfRule>
  </conditionalFormatting>
  <conditionalFormatting sqref="W7:W57">
    <cfRule type="expression" dxfId="11" priority="9" stopIfTrue="1">
      <formula>MOD(ROW(),2)=0</formula>
    </cfRule>
    <cfRule type="expression" dxfId="10" priority="10" stopIfTrue="1">
      <formula>MOD(ROW(),2)&lt;&gt;0</formula>
    </cfRule>
  </conditionalFormatting>
  <conditionalFormatting sqref="X7:AQ57">
    <cfRule type="expression" dxfId="9" priority="3" stopIfTrue="1">
      <formula>MOD(ROW(),2)=0</formula>
    </cfRule>
    <cfRule type="expression" dxfId="8" priority="4" stopIfTrue="1">
      <formula>MOD(ROW(),2)&lt;&gt;0</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58D05-E56C-48C8-AE6C-5003698F196B}">
  <sheetPr codeName="Sheet8"/>
  <dimension ref="A2:AQ58"/>
  <sheetViews>
    <sheetView topLeftCell="O3" workbookViewId="0">
      <selection activeCell="C16" sqref="C16"/>
    </sheetView>
  </sheetViews>
  <sheetFormatPr defaultColWidth="9.140625" defaultRowHeight="15" x14ac:dyDescent="0.25"/>
  <cols>
    <col min="1" max="1" width="14.28515625" style="16" customWidth="1"/>
    <col min="2" max="3" width="8.85546875" style="16" customWidth="1"/>
    <col min="4" max="4" width="9.140625" style="16"/>
    <col min="5" max="5" width="8.85546875" style="16" customWidth="1"/>
    <col min="6" max="22" width="9.140625" style="16"/>
    <col min="23" max="23" width="14.28515625" style="16" customWidth="1"/>
    <col min="24" max="16384" width="9.140625" style="16"/>
  </cols>
  <sheetData>
    <row r="2" spans="1:43" x14ac:dyDescent="0.25">
      <c r="A2" s="17" t="s">
        <v>161</v>
      </c>
      <c r="W2" s="17" t="s">
        <v>161</v>
      </c>
    </row>
    <row r="3" spans="1:43" ht="21" x14ac:dyDescent="0.35">
      <c r="A3" s="17" t="s">
        <v>170</v>
      </c>
      <c r="J3" s="16" t="s">
        <v>76</v>
      </c>
      <c r="W3" s="17" t="s">
        <v>171</v>
      </c>
      <c r="AE3" s="16" t="s">
        <v>63</v>
      </c>
    </row>
    <row r="4" spans="1:43" ht="15.75" thickBot="1" x14ac:dyDescent="0.3"/>
    <row r="5" spans="1:43" ht="51" customHeight="1" thickBot="1" x14ac:dyDescent="0.3">
      <c r="A5" s="19" t="s">
        <v>157</v>
      </c>
      <c r="B5" s="212" t="s">
        <v>158</v>
      </c>
      <c r="C5" s="212"/>
      <c r="D5" s="212"/>
      <c r="E5" s="212"/>
      <c r="F5" s="212"/>
      <c r="G5" s="212"/>
      <c r="H5" s="212"/>
      <c r="I5" s="212"/>
      <c r="J5" s="212"/>
      <c r="K5" s="212"/>
      <c r="L5" s="212"/>
      <c r="M5" s="212"/>
      <c r="N5" s="212"/>
      <c r="O5" s="212"/>
      <c r="P5" s="212"/>
      <c r="Q5" s="212"/>
      <c r="R5" s="212"/>
      <c r="S5" s="212"/>
      <c r="T5" s="212"/>
      <c r="U5" s="212"/>
      <c r="W5" s="19" t="s">
        <v>157</v>
      </c>
      <c r="X5" s="212" t="s">
        <v>158</v>
      </c>
      <c r="Y5" s="212"/>
      <c r="Z5" s="212"/>
      <c r="AA5" s="212"/>
      <c r="AB5" s="212"/>
      <c r="AC5" s="212"/>
      <c r="AD5" s="212"/>
      <c r="AE5" s="212"/>
      <c r="AF5" s="212"/>
      <c r="AG5" s="212"/>
      <c r="AH5" s="212"/>
      <c r="AI5" s="212"/>
      <c r="AJ5" s="212"/>
      <c r="AK5" s="212"/>
      <c r="AL5" s="212"/>
      <c r="AM5" s="212"/>
      <c r="AN5" s="212"/>
      <c r="AO5" s="212"/>
      <c r="AP5" s="212"/>
      <c r="AQ5" s="212"/>
    </row>
    <row r="6" spans="1:43" ht="39" customHeight="1" thickBot="1" x14ac:dyDescent="0.3">
      <c r="A6" s="68" t="s">
        <v>159</v>
      </c>
      <c r="B6" s="20">
        <v>1</v>
      </c>
      <c r="C6" s="20">
        <v>2</v>
      </c>
      <c r="D6" s="20">
        <v>3</v>
      </c>
      <c r="E6" s="20">
        <v>4</v>
      </c>
      <c r="F6" s="20">
        <v>5</v>
      </c>
      <c r="G6" s="20">
        <v>6</v>
      </c>
      <c r="H6" s="20">
        <v>7</v>
      </c>
      <c r="I6" s="20">
        <v>8</v>
      </c>
      <c r="J6" s="20">
        <v>9</v>
      </c>
      <c r="K6" s="20">
        <v>10</v>
      </c>
      <c r="L6" s="20">
        <v>11</v>
      </c>
      <c r="M6" s="20">
        <v>12</v>
      </c>
      <c r="N6" s="20">
        <v>13</v>
      </c>
      <c r="O6" s="20">
        <v>14</v>
      </c>
      <c r="P6" s="20">
        <v>15</v>
      </c>
      <c r="Q6" s="20">
        <v>16</v>
      </c>
      <c r="R6" s="20">
        <v>17</v>
      </c>
      <c r="S6" s="20">
        <v>18</v>
      </c>
      <c r="T6" s="20">
        <v>19</v>
      </c>
      <c r="U6" s="20">
        <v>20</v>
      </c>
      <c r="W6" s="68" t="s">
        <v>159</v>
      </c>
      <c r="X6" s="20">
        <v>1</v>
      </c>
      <c r="Y6" s="20">
        <v>2</v>
      </c>
      <c r="Z6" s="20">
        <v>3</v>
      </c>
      <c r="AA6" s="20">
        <v>4</v>
      </c>
      <c r="AB6" s="20">
        <v>5</v>
      </c>
      <c r="AC6" s="20">
        <v>6</v>
      </c>
      <c r="AD6" s="20">
        <v>7</v>
      </c>
      <c r="AE6" s="20">
        <v>8</v>
      </c>
      <c r="AF6" s="20">
        <v>9</v>
      </c>
      <c r="AG6" s="20">
        <v>10</v>
      </c>
      <c r="AH6" s="20">
        <v>11</v>
      </c>
      <c r="AI6" s="20">
        <v>12</v>
      </c>
      <c r="AJ6" s="20">
        <v>13</v>
      </c>
      <c r="AK6" s="20">
        <v>14</v>
      </c>
      <c r="AL6" s="20">
        <v>15</v>
      </c>
      <c r="AM6" s="20">
        <v>16</v>
      </c>
      <c r="AN6" s="20">
        <v>17</v>
      </c>
      <c r="AO6" s="20">
        <v>18</v>
      </c>
      <c r="AP6" s="20">
        <v>19</v>
      </c>
      <c r="AQ6" s="20">
        <v>20</v>
      </c>
    </row>
    <row r="7" spans="1:43" x14ac:dyDescent="0.25">
      <c r="A7" s="92">
        <v>16</v>
      </c>
      <c r="B7" s="93">
        <v>151.5</v>
      </c>
      <c r="C7" s="93">
        <v>77.2</v>
      </c>
      <c r="D7" s="93">
        <v>52.5</v>
      </c>
      <c r="E7" s="93">
        <v>40.200000000000003</v>
      </c>
      <c r="F7" s="93">
        <v>32.799999999999997</v>
      </c>
      <c r="G7" s="93">
        <v>27.8</v>
      </c>
      <c r="H7" s="93">
        <v>24.3</v>
      </c>
      <c r="I7" s="93">
        <v>21.7</v>
      </c>
      <c r="J7" s="93">
        <v>19.600000000000001</v>
      </c>
      <c r="K7" s="93">
        <v>18</v>
      </c>
      <c r="L7" s="93">
        <v>16.7</v>
      </c>
      <c r="M7" s="93">
        <v>15.6</v>
      </c>
      <c r="N7" s="93">
        <v>14.6</v>
      </c>
      <c r="O7" s="93">
        <v>13.8</v>
      </c>
      <c r="P7" s="93">
        <v>13.2</v>
      </c>
      <c r="Q7" s="93">
        <v>12.6</v>
      </c>
      <c r="R7" s="93">
        <v>12</v>
      </c>
      <c r="S7" s="93">
        <v>11.6</v>
      </c>
      <c r="T7" s="93">
        <v>11.2</v>
      </c>
      <c r="U7" s="93">
        <v>10.8</v>
      </c>
      <c r="W7" s="92">
        <v>16</v>
      </c>
      <c r="X7" s="93">
        <v>140.5</v>
      </c>
      <c r="Y7" s="93">
        <v>71.599999999999994</v>
      </c>
      <c r="Z7" s="93">
        <v>48.7</v>
      </c>
      <c r="AA7" s="93">
        <v>37.299999999999997</v>
      </c>
      <c r="AB7" s="93">
        <v>30.4</v>
      </c>
      <c r="AC7" s="93">
        <v>25.8</v>
      </c>
      <c r="AD7" s="93">
        <v>22.6</v>
      </c>
      <c r="AE7" s="93">
        <v>20.100000000000001</v>
      </c>
      <c r="AF7" s="93">
        <v>18.2</v>
      </c>
      <c r="AG7" s="93">
        <v>16.7</v>
      </c>
      <c r="AH7" s="93">
        <v>15.5</v>
      </c>
      <c r="AI7" s="93">
        <v>14.4</v>
      </c>
      <c r="AJ7" s="93">
        <v>13.6</v>
      </c>
      <c r="AK7" s="93">
        <v>12.8</v>
      </c>
      <c r="AL7" s="93">
        <v>12.2</v>
      </c>
      <c r="AM7" s="93">
        <v>11.6</v>
      </c>
      <c r="AN7" s="93">
        <v>11.2</v>
      </c>
      <c r="AO7" s="93">
        <v>10.7</v>
      </c>
      <c r="AP7" s="93">
        <v>10.3</v>
      </c>
      <c r="AQ7" s="93">
        <v>10</v>
      </c>
    </row>
    <row r="8" spans="1:43" x14ac:dyDescent="0.25">
      <c r="A8" s="92">
        <v>17</v>
      </c>
      <c r="B8" s="93">
        <v>154.4</v>
      </c>
      <c r="C8" s="93">
        <v>78.7</v>
      </c>
      <c r="D8" s="93">
        <v>53.5</v>
      </c>
      <c r="E8" s="93">
        <v>40.9</v>
      </c>
      <c r="F8" s="93">
        <v>33.4</v>
      </c>
      <c r="G8" s="93">
        <v>28.4</v>
      </c>
      <c r="H8" s="93">
        <v>24.8</v>
      </c>
      <c r="I8" s="93">
        <v>22.1</v>
      </c>
      <c r="J8" s="93">
        <v>20</v>
      </c>
      <c r="K8" s="93">
        <v>18.399999999999999</v>
      </c>
      <c r="L8" s="93">
        <v>17</v>
      </c>
      <c r="M8" s="93">
        <v>15.9</v>
      </c>
      <c r="N8" s="93">
        <v>14.9</v>
      </c>
      <c r="O8" s="93">
        <v>14.1</v>
      </c>
      <c r="P8" s="93">
        <v>13.4</v>
      </c>
      <c r="Q8" s="93">
        <v>12.8</v>
      </c>
      <c r="R8" s="93">
        <v>12.3</v>
      </c>
      <c r="S8" s="93">
        <v>11.8</v>
      </c>
      <c r="T8" s="93">
        <v>11.4</v>
      </c>
      <c r="U8" s="93">
        <v>11</v>
      </c>
      <c r="W8" s="92">
        <v>17</v>
      </c>
      <c r="X8" s="93">
        <v>143</v>
      </c>
      <c r="Y8" s="93">
        <v>72.900000000000006</v>
      </c>
      <c r="Z8" s="93">
        <v>49.6</v>
      </c>
      <c r="AA8" s="93">
        <v>37.9</v>
      </c>
      <c r="AB8" s="93">
        <v>30.9</v>
      </c>
      <c r="AC8" s="93">
        <v>26.3</v>
      </c>
      <c r="AD8" s="93">
        <v>23</v>
      </c>
      <c r="AE8" s="93">
        <v>20.5</v>
      </c>
      <c r="AF8" s="93">
        <v>18.5</v>
      </c>
      <c r="AG8" s="93">
        <v>17</v>
      </c>
      <c r="AH8" s="93">
        <v>15.7</v>
      </c>
      <c r="AI8" s="93">
        <v>14.7</v>
      </c>
      <c r="AJ8" s="93">
        <v>13.8</v>
      </c>
      <c r="AK8" s="93">
        <v>13.1</v>
      </c>
      <c r="AL8" s="93">
        <v>12.4</v>
      </c>
      <c r="AM8" s="93">
        <v>11.9</v>
      </c>
      <c r="AN8" s="93">
        <v>11.4</v>
      </c>
      <c r="AO8" s="93">
        <v>10.9</v>
      </c>
      <c r="AP8" s="93">
        <v>10.5</v>
      </c>
      <c r="AQ8" s="93">
        <v>10.199999999999999</v>
      </c>
    </row>
    <row r="9" spans="1:43" x14ac:dyDescent="0.25">
      <c r="A9" s="92">
        <v>18</v>
      </c>
      <c r="B9" s="93">
        <v>157.5</v>
      </c>
      <c r="C9" s="93">
        <v>80.3</v>
      </c>
      <c r="D9" s="93">
        <v>54.6</v>
      </c>
      <c r="E9" s="93">
        <v>41.8</v>
      </c>
      <c r="F9" s="93">
        <v>34.1</v>
      </c>
      <c r="G9" s="93">
        <v>28.9</v>
      </c>
      <c r="H9" s="93">
        <v>25.3</v>
      </c>
      <c r="I9" s="93">
        <v>22.5</v>
      </c>
      <c r="J9" s="93">
        <v>20.399999999999999</v>
      </c>
      <c r="K9" s="93">
        <v>18.7</v>
      </c>
      <c r="L9" s="93">
        <v>17.3</v>
      </c>
      <c r="M9" s="93">
        <v>16.2</v>
      </c>
      <c r="N9" s="93">
        <v>15.2</v>
      </c>
      <c r="O9" s="93">
        <v>14.4</v>
      </c>
      <c r="P9" s="93">
        <v>13.7</v>
      </c>
      <c r="Q9" s="93">
        <v>13.1</v>
      </c>
      <c r="R9" s="93">
        <v>12.5</v>
      </c>
      <c r="S9" s="93">
        <v>12</v>
      </c>
      <c r="T9" s="93">
        <v>11.6</v>
      </c>
      <c r="U9" s="93">
        <v>11.2</v>
      </c>
      <c r="W9" s="92">
        <v>18</v>
      </c>
      <c r="X9" s="93">
        <v>145.6</v>
      </c>
      <c r="Y9" s="93">
        <v>74.2</v>
      </c>
      <c r="Z9" s="93">
        <v>50.5</v>
      </c>
      <c r="AA9" s="93">
        <v>38.6</v>
      </c>
      <c r="AB9" s="93">
        <v>31.5</v>
      </c>
      <c r="AC9" s="93">
        <v>26.7</v>
      </c>
      <c r="AD9" s="93">
        <v>23.4</v>
      </c>
      <c r="AE9" s="93">
        <v>20.8</v>
      </c>
      <c r="AF9" s="93">
        <v>18.899999999999999</v>
      </c>
      <c r="AG9" s="93">
        <v>17.3</v>
      </c>
      <c r="AH9" s="93">
        <v>16</v>
      </c>
      <c r="AI9" s="93">
        <v>15</v>
      </c>
      <c r="AJ9" s="93">
        <v>14.1</v>
      </c>
      <c r="AK9" s="93">
        <v>13.3</v>
      </c>
      <c r="AL9" s="93">
        <v>12.6</v>
      </c>
      <c r="AM9" s="93">
        <v>12.1</v>
      </c>
      <c r="AN9" s="93">
        <v>11.6</v>
      </c>
      <c r="AO9" s="93">
        <v>11.1</v>
      </c>
      <c r="AP9" s="93">
        <v>10.7</v>
      </c>
      <c r="AQ9" s="93">
        <v>10.4</v>
      </c>
    </row>
    <row r="10" spans="1:43" x14ac:dyDescent="0.25">
      <c r="A10" s="92">
        <v>19</v>
      </c>
      <c r="B10" s="93">
        <v>160.5</v>
      </c>
      <c r="C10" s="93">
        <v>81.8</v>
      </c>
      <c r="D10" s="93">
        <v>55.6</v>
      </c>
      <c r="E10" s="93">
        <v>42.5</v>
      </c>
      <c r="F10" s="93">
        <v>34.700000000000003</v>
      </c>
      <c r="G10" s="93">
        <v>29.5</v>
      </c>
      <c r="H10" s="93">
        <v>25.8</v>
      </c>
      <c r="I10" s="93">
        <v>23</v>
      </c>
      <c r="J10" s="93">
        <v>20.8</v>
      </c>
      <c r="K10" s="93">
        <v>19.100000000000001</v>
      </c>
      <c r="L10" s="93">
        <v>17.7</v>
      </c>
      <c r="M10" s="93">
        <v>16.5</v>
      </c>
      <c r="N10" s="93">
        <v>15.5</v>
      </c>
      <c r="O10" s="93">
        <v>14.7</v>
      </c>
      <c r="P10" s="93">
        <v>13.9</v>
      </c>
      <c r="Q10" s="93">
        <v>13.3</v>
      </c>
      <c r="R10" s="93">
        <v>12.8</v>
      </c>
      <c r="S10" s="93">
        <v>12.3</v>
      </c>
      <c r="T10" s="93">
        <v>11.8</v>
      </c>
      <c r="U10" s="93">
        <v>11.4</v>
      </c>
      <c r="W10" s="92">
        <v>19</v>
      </c>
      <c r="X10" s="93">
        <v>148.1</v>
      </c>
      <c r="Y10" s="93">
        <v>75.5</v>
      </c>
      <c r="Z10" s="93">
        <v>51.4</v>
      </c>
      <c r="AA10" s="93">
        <v>39.299999999999997</v>
      </c>
      <c r="AB10" s="93">
        <v>32</v>
      </c>
      <c r="AC10" s="93">
        <v>27.2</v>
      </c>
      <c r="AD10" s="93">
        <v>23.8</v>
      </c>
      <c r="AE10" s="93">
        <v>21.2</v>
      </c>
      <c r="AF10" s="93">
        <v>19.2</v>
      </c>
      <c r="AG10" s="93">
        <v>17.600000000000001</v>
      </c>
      <c r="AH10" s="93">
        <v>16.3</v>
      </c>
      <c r="AI10" s="93">
        <v>15.2</v>
      </c>
      <c r="AJ10" s="93">
        <v>14.3</v>
      </c>
      <c r="AK10" s="93">
        <v>13.5</v>
      </c>
      <c r="AL10" s="93">
        <v>12.9</v>
      </c>
      <c r="AM10" s="93">
        <v>12.3</v>
      </c>
      <c r="AN10" s="93">
        <v>11.8</v>
      </c>
      <c r="AO10" s="93">
        <v>11.3</v>
      </c>
      <c r="AP10" s="93">
        <v>10.9</v>
      </c>
      <c r="AQ10" s="93">
        <v>10.5</v>
      </c>
    </row>
    <row r="11" spans="1:43" x14ac:dyDescent="0.25">
      <c r="A11" s="92">
        <v>20</v>
      </c>
      <c r="B11" s="93">
        <v>163.30000000000001</v>
      </c>
      <c r="C11" s="93">
        <v>83.3</v>
      </c>
      <c r="D11" s="93">
        <v>56.6</v>
      </c>
      <c r="E11" s="93">
        <v>43.3</v>
      </c>
      <c r="F11" s="93">
        <v>35.299999999999997</v>
      </c>
      <c r="G11" s="93">
        <v>30</v>
      </c>
      <c r="H11" s="93">
        <v>26.2</v>
      </c>
      <c r="I11" s="93">
        <v>23.4</v>
      </c>
      <c r="J11" s="93">
        <v>21.2</v>
      </c>
      <c r="K11" s="93">
        <v>19.399999999999999</v>
      </c>
      <c r="L11" s="93">
        <v>18</v>
      </c>
      <c r="M11" s="93">
        <v>16.8</v>
      </c>
      <c r="N11" s="93">
        <v>15.8</v>
      </c>
      <c r="O11" s="93">
        <v>14.9</v>
      </c>
      <c r="P11" s="93">
        <v>14.2</v>
      </c>
      <c r="Q11" s="93">
        <v>13.5</v>
      </c>
      <c r="R11" s="93">
        <v>13</v>
      </c>
      <c r="S11" s="93">
        <v>12.5</v>
      </c>
      <c r="T11" s="93">
        <v>12</v>
      </c>
      <c r="U11" s="93">
        <v>11.6</v>
      </c>
      <c r="W11" s="92">
        <v>20</v>
      </c>
      <c r="X11" s="93">
        <v>150.80000000000001</v>
      </c>
      <c r="Y11" s="93">
        <v>76.900000000000006</v>
      </c>
      <c r="Z11" s="93">
        <v>52.3</v>
      </c>
      <c r="AA11" s="93">
        <v>40</v>
      </c>
      <c r="AB11" s="93">
        <v>32.6</v>
      </c>
      <c r="AC11" s="93">
        <v>27.7</v>
      </c>
      <c r="AD11" s="93">
        <v>24.2</v>
      </c>
      <c r="AE11" s="93">
        <v>21.6</v>
      </c>
      <c r="AF11" s="93">
        <v>19.5</v>
      </c>
      <c r="AG11" s="93">
        <v>17.899999999999999</v>
      </c>
      <c r="AH11" s="93">
        <v>16.600000000000001</v>
      </c>
      <c r="AI11" s="93">
        <v>15.5</v>
      </c>
      <c r="AJ11" s="93">
        <v>14.6</v>
      </c>
      <c r="AK11" s="93">
        <v>13.8</v>
      </c>
      <c r="AL11" s="93">
        <v>13.1</v>
      </c>
      <c r="AM11" s="93">
        <v>12.5</v>
      </c>
      <c r="AN11" s="93">
        <v>12</v>
      </c>
      <c r="AO11" s="93">
        <v>11.5</v>
      </c>
      <c r="AP11" s="93">
        <v>11.1</v>
      </c>
      <c r="AQ11" s="93">
        <v>10.7</v>
      </c>
    </row>
    <row r="12" spans="1:43" x14ac:dyDescent="0.25">
      <c r="A12" s="92">
        <v>21</v>
      </c>
      <c r="B12" s="93">
        <v>166.1</v>
      </c>
      <c r="C12" s="93">
        <v>84.7</v>
      </c>
      <c r="D12" s="93">
        <v>57.6</v>
      </c>
      <c r="E12" s="93">
        <v>44</v>
      </c>
      <c r="F12" s="93">
        <v>35.9</v>
      </c>
      <c r="G12" s="93">
        <v>30.5</v>
      </c>
      <c r="H12" s="93">
        <v>26.7</v>
      </c>
      <c r="I12" s="93">
        <v>23.8</v>
      </c>
      <c r="J12" s="93">
        <v>21.5</v>
      </c>
      <c r="K12" s="93">
        <v>19.8</v>
      </c>
      <c r="L12" s="93">
        <v>18.3</v>
      </c>
      <c r="M12" s="93">
        <v>17.100000000000001</v>
      </c>
      <c r="N12" s="93">
        <v>16.100000000000001</v>
      </c>
      <c r="O12" s="93">
        <v>15.2</v>
      </c>
      <c r="P12" s="93">
        <v>14.4</v>
      </c>
      <c r="Q12" s="93">
        <v>13.8</v>
      </c>
      <c r="R12" s="93">
        <v>13.2</v>
      </c>
      <c r="S12" s="93">
        <v>12.7</v>
      </c>
      <c r="T12" s="93">
        <v>12.2</v>
      </c>
      <c r="U12" s="93">
        <v>11.8</v>
      </c>
      <c r="W12" s="92">
        <v>21</v>
      </c>
      <c r="X12" s="93">
        <v>153.4</v>
      </c>
      <c r="Y12" s="93">
        <v>78.2</v>
      </c>
      <c r="Z12" s="93">
        <v>53.2</v>
      </c>
      <c r="AA12" s="93">
        <v>40.700000000000003</v>
      </c>
      <c r="AB12" s="93">
        <v>33.200000000000003</v>
      </c>
      <c r="AC12" s="93">
        <v>28.2</v>
      </c>
      <c r="AD12" s="93">
        <v>24.6</v>
      </c>
      <c r="AE12" s="93">
        <v>22</v>
      </c>
      <c r="AF12" s="93">
        <v>19.899999999999999</v>
      </c>
      <c r="AG12" s="93">
        <v>18.2</v>
      </c>
      <c r="AH12" s="93">
        <v>16.899999999999999</v>
      </c>
      <c r="AI12" s="93">
        <v>15.8</v>
      </c>
      <c r="AJ12" s="93">
        <v>14.8</v>
      </c>
      <c r="AK12" s="93">
        <v>14</v>
      </c>
      <c r="AL12" s="93">
        <v>13.3</v>
      </c>
      <c r="AM12" s="93">
        <v>12.7</v>
      </c>
      <c r="AN12" s="93">
        <v>12.2</v>
      </c>
      <c r="AO12" s="93">
        <v>11.7</v>
      </c>
      <c r="AP12" s="93">
        <v>11.3</v>
      </c>
      <c r="AQ12" s="93">
        <v>10.9</v>
      </c>
    </row>
    <row r="13" spans="1:43" x14ac:dyDescent="0.25">
      <c r="A13" s="92">
        <v>22</v>
      </c>
      <c r="B13" s="93">
        <v>169</v>
      </c>
      <c r="C13" s="93">
        <v>86.2</v>
      </c>
      <c r="D13" s="93">
        <v>58.6</v>
      </c>
      <c r="E13" s="93">
        <v>44.8</v>
      </c>
      <c r="F13" s="93">
        <v>36.6</v>
      </c>
      <c r="G13" s="93">
        <v>31.1</v>
      </c>
      <c r="H13" s="93">
        <v>27.1</v>
      </c>
      <c r="I13" s="93">
        <v>24.2</v>
      </c>
      <c r="J13" s="93">
        <v>21.9</v>
      </c>
      <c r="K13" s="93">
        <v>20.100000000000001</v>
      </c>
      <c r="L13" s="93">
        <v>18.600000000000001</v>
      </c>
      <c r="M13" s="93">
        <v>17.399999999999999</v>
      </c>
      <c r="N13" s="93">
        <v>16.3</v>
      </c>
      <c r="O13" s="93">
        <v>15.5</v>
      </c>
      <c r="P13" s="93">
        <v>14.7</v>
      </c>
      <c r="Q13" s="93">
        <v>14</v>
      </c>
      <c r="R13" s="93">
        <v>13.4</v>
      </c>
      <c r="S13" s="93">
        <v>12.9</v>
      </c>
      <c r="T13" s="93">
        <v>12.5</v>
      </c>
      <c r="U13" s="93">
        <v>12</v>
      </c>
      <c r="W13" s="92">
        <v>22</v>
      </c>
      <c r="X13" s="93">
        <v>156.1</v>
      </c>
      <c r="Y13" s="93">
        <v>79.599999999999994</v>
      </c>
      <c r="Z13" s="93">
        <v>54.1</v>
      </c>
      <c r="AA13" s="93">
        <v>41.4</v>
      </c>
      <c r="AB13" s="93">
        <v>33.799999999999997</v>
      </c>
      <c r="AC13" s="93">
        <v>28.7</v>
      </c>
      <c r="AD13" s="93">
        <v>25.1</v>
      </c>
      <c r="AE13" s="93">
        <v>22.3</v>
      </c>
      <c r="AF13" s="93">
        <v>20.2</v>
      </c>
      <c r="AG13" s="93">
        <v>18.600000000000001</v>
      </c>
      <c r="AH13" s="93">
        <v>17.2</v>
      </c>
      <c r="AI13" s="93">
        <v>16.100000000000001</v>
      </c>
      <c r="AJ13" s="93">
        <v>15.1</v>
      </c>
      <c r="AK13" s="93">
        <v>14.3</v>
      </c>
      <c r="AL13" s="93">
        <v>13.6</v>
      </c>
      <c r="AM13" s="93">
        <v>13</v>
      </c>
      <c r="AN13" s="93">
        <v>12.4</v>
      </c>
      <c r="AO13" s="93">
        <v>11.9</v>
      </c>
      <c r="AP13" s="93">
        <v>11.5</v>
      </c>
      <c r="AQ13" s="93">
        <v>11.1</v>
      </c>
    </row>
    <row r="14" spans="1:43" x14ac:dyDescent="0.25">
      <c r="A14" s="92">
        <v>23</v>
      </c>
      <c r="B14" s="93">
        <v>171.9</v>
      </c>
      <c r="C14" s="93">
        <v>87.7</v>
      </c>
      <c r="D14" s="93">
        <v>59.6</v>
      </c>
      <c r="E14" s="93">
        <v>45.6</v>
      </c>
      <c r="F14" s="93">
        <v>37.200000000000003</v>
      </c>
      <c r="G14" s="93">
        <v>31.6</v>
      </c>
      <c r="H14" s="93">
        <v>27.6</v>
      </c>
      <c r="I14" s="93">
        <v>24.6</v>
      </c>
      <c r="J14" s="93">
        <v>22.3</v>
      </c>
      <c r="K14" s="93">
        <v>20.399999999999999</v>
      </c>
      <c r="L14" s="93">
        <v>18.899999999999999</v>
      </c>
      <c r="M14" s="93">
        <v>17.7</v>
      </c>
      <c r="N14" s="93">
        <v>16.600000000000001</v>
      </c>
      <c r="O14" s="93">
        <v>15.7</v>
      </c>
      <c r="P14" s="93">
        <v>14.9</v>
      </c>
      <c r="Q14" s="93">
        <v>14.3</v>
      </c>
      <c r="R14" s="93">
        <v>13.7</v>
      </c>
      <c r="S14" s="93">
        <v>13.1</v>
      </c>
      <c r="T14" s="93">
        <v>12.7</v>
      </c>
      <c r="U14" s="93">
        <v>12.3</v>
      </c>
      <c r="W14" s="92">
        <v>23</v>
      </c>
      <c r="X14" s="93">
        <v>158.80000000000001</v>
      </c>
      <c r="Y14" s="93">
        <v>81</v>
      </c>
      <c r="Z14" s="93">
        <v>55.1</v>
      </c>
      <c r="AA14" s="93">
        <v>42.1</v>
      </c>
      <c r="AB14" s="93">
        <v>34.4</v>
      </c>
      <c r="AC14" s="93">
        <v>29.2</v>
      </c>
      <c r="AD14" s="93">
        <v>25.5</v>
      </c>
      <c r="AE14" s="93">
        <v>22.7</v>
      </c>
      <c r="AF14" s="93">
        <v>20.6</v>
      </c>
      <c r="AG14" s="93">
        <v>18.899999999999999</v>
      </c>
      <c r="AH14" s="93">
        <v>17.5</v>
      </c>
      <c r="AI14" s="93">
        <v>16.3</v>
      </c>
      <c r="AJ14" s="93">
        <v>15.4</v>
      </c>
      <c r="AK14" s="93">
        <v>14.5</v>
      </c>
      <c r="AL14" s="93">
        <v>13.8</v>
      </c>
      <c r="AM14" s="93">
        <v>13.2</v>
      </c>
      <c r="AN14" s="93">
        <v>12.6</v>
      </c>
      <c r="AO14" s="93">
        <v>12.1</v>
      </c>
      <c r="AP14" s="93">
        <v>11.7</v>
      </c>
      <c r="AQ14" s="93">
        <v>11.3</v>
      </c>
    </row>
    <row r="15" spans="1:43" x14ac:dyDescent="0.25">
      <c r="A15" s="92">
        <v>24</v>
      </c>
      <c r="B15" s="93">
        <v>174.9</v>
      </c>
      <c r="C15" s="93">
        <v>89.2</v>
      </c>
      <c r="D15" s="93">
        <v>60.7</v>
      </c>
      <c r="E15" s="93">
        <v>46.4</v>
      </c>
      <c r="F15" s="93">
        <v>37.799999999999997</v>
      </c>
      <c r="G15" s="93">
        <v>32.1</v>
      </c>
      <c r="H15" s="93">
        <v>28.1</v>
      </c>
      <c r="I15" s="93">
        <v>25</v>
      </c>
      <c r="J15" s="93">
        <v>22.7</v>
      </c>
      <c r="K15" s="93">
        <v>20.8</v>
      </c>
      <c r="L15" s="93">
        <v>19.3</v>
      </c>
      <c r="M15" s="93">
        <v>18</v>
      </c>
      <c r="N15" s="93">
        <v>16.899999999999999</v>
      </c>
      <c r="O15" s="93">
        <v>16</v>
      </c>
      <c r="P15" s="93">
        <v>15.2</v>
      </c>
      <c r="Q15" s="93">
        <v>14.5</v>
      </c>
      <c r="R15" s="93">
        <v>13.9</v>
      </c>
      <c r="S15" s="93">
        <v>13.4</v>
      </c>
      <c r="T15" s="93">
        <v>12.9</v>
      </c>
      <c r="U15" s="93">
        <v>12.5</v>
      </c>
      <c r="W15" s="92">
        <v>24</v>
      </c>
      <c r="X15" s="93">
        <v>161.6</v>
      </c>
      <c r="Y15" s="93">
        <v>82.4</v>
      </c>
      <c r="Z15" s="93">
        <v>56</v>
      </c>
      <c r="AA15" s="93">
        <v>42.9</v>
      </c>
      <c r="AB15" s="93">
        <v>35</v>
      </c>
      <c r="AC15" s="93">
        <v>29.7</v>
      </c>
      <c r="AD15" s="93">
        <v>25.9</v>
      </c>
      <c r="AE15" s="93">
        <v>23.1</v>
      </c>
      <c r="AF15" s="93">
        <v>21</v>
      </c>
      <c r="AG15" s="93">
        <v>19.2</v>
      </c>
      <c r="AH15" s="93">
        <v>17.8</v>
      </c>
      <c r="AI15" s="93">
        <v>16.600000000000001</v>
      </c>
      <c r="AJ15" s="93">
        <v>15.6</v>
      </c>
      <c r="AK15" s="93">
        <v>14.8</v>
      </c>
      <c r="AL15" s="93">
        <v>14.1</v>
      </c>
      <c r="AM15" s="93">
        <v>13.4</v>
      </c>
      <c r="AN15" s="93">
        <v>12.9</v>
      </c>
      <c r="AO15" s="93">
        <v>12.4</v>
      </c>
      <c r="AP15" s="93">
        <v>11.9</v>
      </c>
      <c r="AQ15" s="93">
        <v>11.5</v>
      </c>
    </row>
    <row r="16" spans="1:43" x14ac:dyDescent="0.25">
      <c r="A16" s="92">
        <v>25</v>
      </c>
      <c r="B16" s="93">
        <v>178</v>
      </c>
      <c r="C16" s="93">
        <v>90.8</v>
      </c>
      <c r="D16" s="93">
        <v>61.7</v>
      </c>
      <c r="E16" s="93">
        <v>47.2</v>
      </c>
      <c r="F16" s="93">
        <v>38.5</v>
      </c>
      <c r="G16" s="93">
        <v>32.700000000000003</v>
      </c>
      <c r="H16" s="93">
        <v>28.6</v>
      </c>
      <c r="I16" s="93">
        <v>25.5</v>
      </c>
      <c r="J16" s="93">
        <v>23.1</v>
      </c>
      <c r="K16" s="93">
        <v>21.2</v>
      </c>
      <c r="L16" s="93">
        <v>19.600000000000001</v>
      </c>
      <c r="M16" s="93">
        <v>18.3</v>
      </c>
      <c r="N16" s="93">
        <v>17.2</v>
      </c>
      <c r="O16" s="93">
        <v>16.3</v>
      </c>
      <c r="P16" s="93">
        <v>15.5</v>
      </c>
      <c r="Q16" s="93">
        <v>14.8</v>
      </c>
      <c r="R16" s="93">
        <v>14.2</v>
      </c>
      <c r="S16" s="93">
        <v>13.6</v>
      </c>
      <c r="T16" s="93">
        <v>13.1</v>
      </c>
      <c r="U16" s="93">
        <v>12.7</v>
      </c>
      <c r="W16" s="92">
        <v>25</v>
      </c>
      <c r="X16" s="93">
        <v>164.4</v>
      </c>
      <c r="Y16" s="93">
        <v>83.9</v>
      </c>
      <c r="Z16" s="93">
        <v>57</v>
      </c>
      <c r="AA16" s="93">
        <v>43.6</v>
      </c>
      <c r="AB16" s="93">
        <v>35.6</v>
      </c>
      <c r="AC16" s="93">
        <v>30.2</v>
      </c>
      <c r="AD16" s="93">
        <v>26.4</v>
      </c>
      <c r="AE16" s="93">
        <v>23.5</v>
      </c>
      <c r="AF16" s="93">
        <v>21.3</v>
      </c>
      <c r="AG16" s="93">
        <v>19.600000000000001</v>
      </c>
      <c r="AH16" s="93">
        <v>18.100000000000001</v>
      </c>
      <c r="AI16" s="93">
        <v>16.899999999999999</v>
      </c>
      <c r="AJ16" s="93">
        <v>15.9</v>
      </c>
      <c r="AK16" s="93">
        <v>15</v>
      </c>
      <c r="AL16" s="93">
        <v>14.3</v>
      </c>
      <c r="AM16" s="93">
        <v>13.6</v>
      </c>
      <c r="AN16" s="93">
        <v>13.1</v>
      </c>
      <c r="AO16" s="93">
        <v>12.6</v>
      </c>
      <c r="AP16" s="93">
        <v>12.1</v>
      </c>
      <c r="AQ16" s="93">
        <v>11.7</v>
      </c>
    </row>
    <row r="17" spans="1:43" x14ac:dyDescent="0.25">
      <c r="A17" s="92">
        <v>26</v>
      </c>
      <c r="B17" s="93">
        <v>181</v>
      </c>
      <c r="C17" s="93">
        <v>92.3</v>
      </c>
      <c r="D17" s="93">
        <v>62.8</v>
      </c>
      <c r="E17" s="93">
        <v>48</v>
      </c>
      <c r="F17" s="93">
        <v>39.200000000000003</v>
      </c>
      <c r="G17" s="93">
        <v>33.299999999999997</v>
      </c>
      <c r="H17" s="93">
        <v>29.1</v>
      </c>
      <c r="I17" s="93">
        <v>25.9</v>
      </c>
      <c r="J17" s="93">
        <v>23.5</v>
      </c>
      <c r="K17" s="93">
        <v>21.5</v>
      </c>
      <c r="L17" s="93">
        <v>19.899999999999999</v>
      </c>
      <c r="M17" s="93">
        <v>18.600000000000001</v>
      </c>
      <c r="N17" s="93">
        <v>17.5</v>
      </c>
      <c r="O17" s="93">
        <v>16.600000000000001</v>
      </c>
      <c r="P17" s="93">
        <v>15.7</v>
      </c>
      <c r="Q17" s="93">
        <v>15</v>
      </c>
      <c r="R17" s="93">
        <v>14.4</v>
      </c>
      <c r="S17" s="93">
        <v>13.8</v>
      </c>
      <c r="T17" s="93">
        <v>13.4</v>
      </c>
      <c r="U17" s="93">
        <v>12.9</v>
      </c>
      <c r="W17" s="92">
        <v>26</v>
      </c>
      <c r="X17" s="93">
        <v>167.3</v>
      </c>
      <c r="Y17" s="93">
        <v>85.3</v>
      </c>
      <c r="Z17" s="93">
        <v>58</v>
      </c>
      <c r="AA17" s="93">
        <v>44.4</v>
      </c>
      <c r="AB17" s="93">
        <v>36.200000000000003</v>
      </c>
      <c r="AC17" s="93">
        <v>30.7</v>
      </c>
      <c r="AD17" s="93">
        <v>26.9</v>
      </c>
      <c r="AE17" s="93">
        <v>24</v>
      </c>
      <c r="AF17" s="93">
        <v>21.7</v>
      </c>
      <c r="AG17" s="93">
        <v>19.899999999999999</v>
      </c>
      <c r="AH17" s="93">
        <v>18.399999999999999</v>
      </c>
      <c r="AI17" s="93">
        <v>17.2</v>
      </c>
      <c r="AJ17" s="93">
        <v>16.2</v>
      </c>
      <c r="AK17" s="93">
        <v>15.3</v>
      </c>
      <c r="AL17" s="93">
        <v>14.6</v>
      </c>
      <c r="AM17" s="93">
        <v>13.9</v>
      </c>
      <c r="AN17" s="93">
        <v>13.3</v>
      </c>
      <c r="AO17" s="93">
        <v>12.8</v>
      </c>
      <c r="AP17" s="93">
        <v>12.3</v>
      </c>
      <c r="AQ17" s="93">
        <v>11.9</v>
      </c>
    </row>
    <row r="18" spans="1:43" x14ac:dyDescent="0.25">
      <c r="A18" s="92">
        <v>27</v>
      </c>
      <c r="B18" s="93">
        <v>184.1</v>
      </c>
      <c r="C18" s="93">
        <v>93.9</v>
      </c>
      <c r="D18" s="93">
        <v>63.9</v>
      </c>
      <c r="E18" s="93">
        <v>48.8</v>
      </c>
      <c r="F18" s="93">
        <v>39.799999999999997</v>
      </c>
      <c r="G18" s="93">
        <v>33.799999999999997</v>
      </c>
      <c r="H18" s="93">
        <v>29.6</v>
      </c>
      <c r="I18" s="93">
        <v>26.4</v>
      </c>
      <c r="J18" s="93">
        <v>23.9</v>
      </c>
      <c r="K18" s="93">
        <v>21.9</v>
      </c>
      <c r="L18" s="93">
        <v>20.3</v>
      </c>
      <c r="M18" s="93">
        <v>19</v>
      </c>
      <c r="N18" s="93">
        <v>17.8</v>
      </c>
      <c r="O18" s="93">
        <v>16.899999999999999</v>
      </c>
      <c r="P18" s="93">
        <v>16</v>
      </c>
      <c r="Q18" s="93">
        <v>15.3</v>
      </c>
      <c r="R18" s="93">
        <v>14.7</v>
      </c>
      <c r="S18" s="93">
        <v>14.1</v>
      </c>
      <c r="T18" s="93">
        <v>13.6</v>
      </c>
      <c r="U18" s="93">
        <v>13.1</v>
      </c>
      <c r="W18" s="92">
        <v>27</v>
      </c>
      <c r="X18" s="93">
        <v>170.2</v>
      </c>
      <c r="Y18" s="93">
        <v>86.8</v>
      </c>
      <c r="Z18" s="93">
        <v>59</v>
      </c>
      <c r="AA18" s="93">
        <v>45.1</v>
      </c>
      <c r="AB18" s="93">
        <v>36.799999999999997</v>
      </c>
      <c r="AC18" s="93">
        <v>31.3</v>
      </c>
      <c r="AD18" s="93">
        <v>27.3</v>
      </c>
      <c r="AE18" s="93">
        <v>24.4</v>
      </c>
      <c r="AF18" s="93">
        <v>22.1</v>
      </c>
      <c r="AG18" s="93">
        <v>20.3</v>
      </c>
      <c r="AH18" s="93">
        <v>18.8</v>
      </c>
      <c r="AI18" s="93">
        <v>17.5</v>
      </c>
      <c r="AJ18" s="93">
        <v>16.5</v>
      </c>
      <c r="AK18" s="93">
        <v>15.6</v>
      </c>
      <c r="AL18" s="93">
        <v>14.8</v>
      </c>
      <c r="AM18" s="93">
        <v>14.1</v>
      </c>
      <c r="AN18" s="93">
        <v>13.5</v>
      </c>
      <c r="AO18" s="93">
        <v>13</v>
      </c>
      <c r="AP18" s="93">
        <v>12.6</v>
      </c>
      <c r="AQ18" s="93">
        <v>12.1</v>
      </c>
    </row>
    <row r="19" spans="1:43" x14ac:dyDescent="0.25">
      <c r="A19" s="92">
        <v>28</v>
      </c>
      <c r="B19" s="93">
        <v>187.3</v>
      </c>
      <c r="C19" s="93">
        <v>95.5</v>
      </c>
      <c r="D19" s="93">
        <v>65</v>
      </c>
      <c r="E19" s="93">
        <v>49.7</v>
      </c>
      <c r="F19" s="93">
        <v>40.5</v>
      </c>
      <c r="G19" s="93">
        <v>34.4</v>
      </c>
      <c r="H19" s="93">
        <v>30.1</v>
      </c>
      <c r="I19" s="93">
        <v>26.8</v>
      </c>
      <c r="J19" s="93">
        <v>24.3</v>
      </c>
      <c r="K19" s="93">
        <v>22.3</v>
      </c>
      <c r="L19" s="93">
        <v>20.6</v>
      </c>
      <c r="M19" s="93">
        <v>19.3</v>
      </c>
      <c r="N19" s="93">
        <v>18.100000000000001</v>
      </c>
      <c r="O19" s="93">
        <v>17.100000000000001</v>
      </c>
      <c r="P19" s="93">
        <v>16.3</v>
      </c>
      <c r="Q19" s="93">
        <v>15.6</v>
      </c>
      <c r="R19" s="93">
        <v>14.9</v>
      </c>
      <c r="S19" s="93">
        <v>14.3</v>
      </c>
      <c r="T19" s="93">
        <v>13.8</v>
      </c>
      <c r="U19" s="93">
        <v>13.4</v>
      </c>
      <c r="W19" s="92">
        <v>28</v>
      </c>
      <c r="X19" s="93">
        <v>173.2</v>
      </c>
      <c r="Y19" s="93">
        <v>88.3</v>
      </c>
      <c r="Z19" s="93">
        <v>60</v>
      </c>
      <c r="AA19" s="93">
        <v>45.9</v>
      </c>
      <c r="AB19" s="93">
        <v>37.5</v>
      </c>
      <c r="AC19" s="93">
        <v>31.8</v>
      </c>
      <c r="AD19" s="93">
        <v>27.8</v>
      </c>
      <c r="AE19" s="93">
        <v>24.8</v>
      </c>
      <c r="AF19" s="93">
        <v>22.5</v>
      </c>
      <c r="AG19" s="93">
        <v>20.6</v>
      </c>
      <c r="AH19" s="93">
        <v>19.100000000000001</v>
      </c>
      <c r="AI19" s="93">
        <v>17.8</v>
      </c>
      <c r="AJ19" s="93">
        <v>16.8</v>
      </c>
      <c r="AK19" s="93">
        <v>15.9</v>
      </c>
      <c r="AL19" s="93">
        <v>15.1</v>
      </c>
      <c r="AM19" s="93">
        <v>14.4</v>
      </c>
      <c r="AN19" s="93">
        <v>13.8</v>
      </c>
      <c r="AO19" s="93">
        <v>13.3</v>
      </c>
      <c r="AP19" s="93">
        <v>12.8</v>
      </c>
      <c r="AQ19" s="93">
        <v>12.4</v>
      </c>
    </row>
    <row r="20" spans="1:43" x14ac:dyDescent="0.25">
      <c r="A20" s="92">
        <v>29</v>
      </c>
      <c r="B20" s="93">
        <v>190.5</v>
      </c>
      <c r="C20" s="93">
        <v>97.2</v>
      </c>
      <c r="D20" s="93">
        <v>66.099999999999994</v>
      </c>
      <c r="E20" s="93">
        <v>50.5</v>
      </c>
      <c r="F20" s="93">
        <v>41.2</v>
      </c>
      <c r="G20" s="93">
        <v>35</v>
      </c>
      <c r="H20" s="93">
        <v>30.6</v>
      </c>
      <c r="I20" s="93">
        <v>27.3</v>
      </c>
      <c r="J20" s="93">
        <v>24.7</v>
      </c>
      <c r="K20" s="93">
        <v>22.7</v>
      </c>
      <c r="L20" s="93">
        <v>21</v>
      </c>
      <c r="M20" s="93">
        <v>19.600000000000001</v>
      </c>
      <c r="N20" s="93">
        <v>18.399999999999999</v>
      </c>
      <c r="O20" s="93">
        <v>17.399999999999999</v>
      </c>
      <c r="P20" s="93">
        <v>16.600000000000001</v>
      </c>
      <c r="Q20" s="93">
        <v>15.8</v>
      </c>
      <c r="R20" s="93">
        <v>15.2</v>
      </c>
      <c r="S20" s="93">
        <v>14.6</v>
      </c>
      <c r="T20" s="93">
        <v>14.1</v>
      </c>
      <c r="U20" s="93">
        <v>13.6</v>
      </c>
      <c r="W20" s="92">
        <v>29</v>
      </c>
      <c r="X20" s="93">
        <v>176.1</v>
      </c>
      <c r="Y20" s="93">
        <v>89.8</v>
      </c>
      <c r="Z20" s="93">
        <v>61.1</v>
      </c>
      <c r="AA20" s="93">
        <v>46.7</v>
      </c>
      <c r="AB20" s="93">
        <v>38.1</v>
      </c>
      <c r="AC20" s="93">
        <v>32.4</v>
      </c>
      <c r="AD20" s="93">
        <v>28.3</v>
      </c>
      <c r="AE20" s="93">
        <v>25.2</v>
      </c>
      <c r="AF20" s="93">
        <v>22.9</v>
      </c>
      <c r="AG20" s="93">
        <v>21</v>
      </c>
      <c r="AH20" s="93">
        <v>19.399999999999999</v>
      </c>
      <c r="AI20" s="93">
        <v>18.100000000000001</v>
      </c>
      <c r="AJ20" s="93">
        <v>17.100000000000001</v>
      </c>
      <c r="AK20" s="93">
        <v>16.100000000000001</v>
      </c>
      <c r="AL20" s="93">
        <v>15.3</v>
      </c>
      <c r="AM20" s="93">
        <v>14.6</v>
      </c>
      <c r="AN20" s="93">
        <v>14</v>
      </c>
      <c r="AO20" s="93">
        <v>13.5</v>
      </c>
      <c r="AP20" s="93">
        <v>13</v>
      </c>
      <c r="AQ20" s="93">
        <v>12.6</v>
      </c>
    </row>
    <row r="21" spans="1:43" x14ac:dyDescent="0.25">
      <c r="A21" s="92">
        <v>30</v>
      </c>
      <c r="B21" s="93">
        <v>193.8</v>
      </c>
      <c r="C21" s="93">
        <v>98.8</v>
      </c>
      <c r="D21" s="93">
        <v>67.2</v>
      </c>
      <c r="E21" s="93">
        <v>51.4</v>
      </c>
      <c r="F21" s="93">
        <v>41.9</v>
      </c>
      <c r="G21" s="93">
        <v>35.6</v>
      </c>
      <c r="H21" s="93">
        <v>31.1</v>
      </c>
      <c r="I21" s="93">
        <v>27.8</v>
      </c>
      <c r="J21" s="93">
        <v>25.2</v>
      </c>
      <c r="K21" s="93">
        <v>23.1</v>
      </c>
      <c r="L21" s="93">
        <v>21.4</v>
      </c>
      <c r="M21" s="93">
        <v>20</v>
      </c>
      <c r="N21" s="93">
        <v>18.8</v>
      </c>
      <c r="O21" s="93">
        <v>17.8</v>
      </c>
      <c r="P21" s="93">
        <v>16.899999999999999</v>
      </c>
      <c r="Q21" s="93">
        <v>16.100000000000001</v>
      </c>
      <c r="R21" s="93">
        <v>15.4</v>
      </c>
      <c r="S21" s="93">
        <v>14.9</v>
      </c>
      <c r="T21" s="93">
        <v>14.3</v>
      </c>
      <c r="U21" s="93">
        <v>13.9</v>
      </c>
      <c r="W21" s="92">
        <v>30</v>
      </c>
      <c r="X21" s="93">
        <v>179.2</v>
      </c>
      <c r="Y21" s="93">
        <v>91.4</v>
      </c>
      <c r="Z21" s="93">
        <v>62.1</v>
      </c>
      <c r="AA21" s="93">
        <v>47.5</v>
      </c>
      <c r="AB21" s="93">
        <v>38.799999999999997</v>
      </c>
      <c r="AC21" s="93">
        <v>32.9</v>
      </c>
      <c r="AD21" s="93">
        <v>28.8</v>
      </c>
      <c r="AE21" s="93">
        <v>25.7</v>
      </c>
      <c r="AF21" s="93">
        <v>23.3</v>
      </c>
      <c r="AG21" s="93">
        <v>21.3</v>
      </c>
      <c r="AH21" s="93">
        <v>19.8</v>
      </c>
      <c r="AI21" s="93">
        <v>18.5</v>
      </c>
      <c r="AJ21" s="93">
        <v>17.399999999999999</v>
      </c>
      <c r="AK21" s="93">
        <v>16.399999999999999</v>
      </c>
      <c r="AL21" s="93">
        <v>15.6</v>
      </c>
      <c r="AM21" s="93">
        <v>14.9</v>
      </c>
      <c r="AN21" s="93">
        <v>14.3</v>
      </c>
      <c r="AO21" s="93">
        <v>13.7</v>
      </c>
      <c r="AP21" s="93">
        <v>13.2</v>
      </c>
      <c r="AQ21" s="93">
        <v>12.8</v>
      </c>
    </row>
    <row r="22" spans="1:43" x14ac:dyDescent="0.25">
      <c r="A22" s="92">
        <v>31</v>
      </c>
      <c r="B22" s="93">
        <v>197.1</v>
      </c>
      <c r="C22" s="93">
        <v>100.5</v>
      </c>
      <c r="D22" s="93">
        <v>68.400000000000006</v>
      </c>
      <c r="E22" s="93">
        <v>52.3</v>
      </c>
      <c r="F22" s="93">
        <v>42.7</v>
      </c>
      <c r="G22" s="93">
        <v>36.200000000000003</v>
      </c>
      <c r="H22" s="93">
        <v>31.7</v>
      </c>
      <c r="I22" s="93">
        <v>28.2</v>
      </c>
      <c r="J22" s="93">
        <v>25.6</v>
      </c>
      <c r="K22" s="93">
        <v>23.5</v>
      </c>
      <c r="L22" s="93">
        <v>21.7</v>
      </c>
      <c r="M22" s="93">
        <v>20.3</v>
      </c>
      <c r="N22" s="93">
        <v>19.100000000000001</v>
      </c>
      <c r="O22" s="93">
        <v>18.100000000000001</v>
      </c>
      <c r="P22" s="93">
        <v>17.2</v>
      </c>
      <c r="Q22" s="93">
        <v>16.399999999999999</v>
      </c>
      <c r="R22" s="93">
        <v>15.7</v>
      </c>
      <c r="S22" s="93">
        <v>15.1</v>
      </c>
      <c r="T22" s="93">
        <v>14.6</v>
      </c>
      <c r="U22" s="93">
        <v>14.1</v>
      </c>
      <c r="W22" s="92">
        <v>31</v>
      </c>
      <c r="X22" s="93">
        <v>182.3</v>
      </c>
      <c r="Y22" s="93">
        <v>93</v>
      </c>
      <c r="Z22" s="93">
        <v>63.2</v>
      </c>
      <c r="AA22" s="93">
        <v>48.4</v>
      </c>
      <c r="AB22" s="93">
        <v>39.4</v>
      </c>
      <c r="AC22" s="93">
        <v>33.5</v>
      </c>
      <c r="AD22" s="93">
        <v>29.3</v>
      </c>
      <c r="AE22" s="93">
        <v>26.1</v>
      </c>
      <c r="AF22" s="93">
        <v>23.7</v>
      </c>
      <c r="AG22" s="93">
        <v>21.7</v>
      </c>
      <c r="AH22" s="93">
        <v>20.100000000000001</v>
      </c>
      <c r="AI22" s="93">
        <v>18.8</v>
      </c>
      <c r="AJ22" s="93">
        <v>17.7</v>
      </c>
      <c r="AK22" s="93">
        <v>16.7</v>
      </c>
      <c r="AL22" s="93">
        <v>15.9</v>
      </c>
      <c r="AM22" s="93">
        <v>15.2</v>
      </c>
      <c r="AN22" s="93">
        <v>14.5</v>
      </c>
      <c r="AO22" s="93">
        <v>14</v>
      </c>
      <c r="AP22" s="93">
        <v>13.5</v>
      </c>
      <c r="AQ22" s="93">
        <v>13</v>
      </c>
    </row>
    <row r="23" spans="1:43" x14ac:dyDescent="0.25">
      <c r="A23" s="92">
        <v>32</v>
      </c>
      <c r="B23" s="93">
        <v>200.5</v>
      </c>
      <c r="C23" s="93">
        <v>102.3</v>
      </c>
      <c r="D23" s="93">
        <v>69.5</v>
      </c>
      <c r="E23" s="93">
        <v>53.2</v>
      </c>
      <c r="F23" s="93">
        <v>43.4</v>
      </c>
      <c r="G23" s="93">
        <v>36.9</v>
      </c>
      <c r="H23" s="93">
        <v>32.200000000000003</v>
      </c>
      <c r="I23" s="93">
        <v>28.7</v>
      </c>
      <c r="J23" s="93">
        <v>26</v>
      </c>
      <c r="K23" s="93">
        <v>23.9</v>
      </c>
      <c r="L23" s="93">
        <v>22.1</v>
      </c>
      <c r="M23" s="93">
        <v>20.7</v>
      </c>
      <c r="N23" s="93">
        <v>19.399999999999999</v>
      </c>
      <c r="O23" s="93">
        <v>18.399999999999999</v>
      </c>
      <c r="P23" s="93">
        <v>17.5</v>
      </c>
      <c r="Q23" s="93">
        <v>16.7</v>
      </c>
      <c r="R23" s="93">
        <v>16</v>
      </c>
      <c r="S23" s="93">
        <v>15.4</v>
      </c>
      <c r="T23" s="93">
        <v>14.8</v>
      </c>
      <c r="U23" s="93">
        <v>14.3</v>
      </c>
      <c r="W23" s="92">
        <v>32</v>
      </c>
      <c r="X23" s="93">
        <v>185.4</v>
      </c>
      <c r="Y23" s="93">
        <v>94.6</v>
      </c>
      <c r="Z23" s="93">
        <v>64.3</v>
      </c>
      <c r="AA23" s="93">
        <v>49.2</v>
      </c>
      <c r="AB23" s="93">
        <v>40.1</v>
      </c>
      <c r="AC23" s="93">
        <v>34.1</v>
      </c>
      <c r="AD23" s="93">
        <v>29.8</v>
      </c>
      <c r="AE23" s="93">
        <v>26.6</v>
      </c>
      <c r="AF23" s="93">
        <v>24.1</v>
      </c>
      <c r="AG23" s="93">
        <v>22.1</v>
      </c>
      <c r="AH23" s="93">
        <v>20.5</v>
      </c>
      <c r="AI23" s="93">
        <v>19.100000000000001</v>
      </c>
      <c r="AJ23" s="93">
        <v>18</v>
      </c>
      <c r="AK23" s="93">
        <v>17</v>
      </c>
      <c r="AL23" s="93">
        <v>16.2</v>
      </c>
      <c r="AM23" s="93">
        <v>15.4</v>
      </c>
      <c r="AN23" s="93">
        <v>14.8</v>
      </c>
      <c r="AO23" s="93">
        <v>14.2</v>
      </c>
      <c r="AP23" s="93">
        <v>13.7</v>
      </c>
      <c r="AQ23" s="93">
        <v>13.3</v>
      </c>
    </row>
    <row r="24" spans="1:43" x14ac:dyDescent="0.25">
      <c r="A24" s="92">
        <v>33</v>
      </c>
      <c r="B24" s="93">
        <v>203.9</v>
      </c>
      <c r="C24" s="93">
        <v>104</v>
      </c>
      <c r="D24" s="93">
        <v>70.7</v>
      </c>
      <c r="E24" s="93">
        <v>54.1</v>
      </c>
      <c r="F24" s="93">
        <v>44.1</v>
      </c>
      <c r="G24" s="93">
        <v>37.5</v>
      </c>
      <c r="H24" s="93">
        <v>32.799999999999997</v>
      </c>
      <c r="I24" s="93">
        <v>29.2</v>
      </c>
      <c r="J24" s="93">
        <v>26.5</v>
      </c>
      <c r="K24" s="93">
        <v>24.3</v>
      </c>
      <c r="L24" s="93">
        <v>22.5</v>
      </c>
      <c r="M24" s="93">
        <v>21</v>
      </c>
      <c r="N24" s="93">
        <v>19.8</v>
      </c>
      <c r="O24" s="93">
        <v>18.7</v>
      </c>
      <c r="P24" s="93">
        <v>17.8</v>
      </c>
      <c r="Q24" s="93">
        <v>17</v>
      </c>
      <c r="R24" s="93">
        <v>16.3</v>
      </c>
      <c r="S24" s="93">
        <v>15.6</v>
      </c>
      <c r="T24" s="93">
        <v>15.1</v>
      </c>
      <c r="U24" s="93">
        <v>14.6</v>
      </c>
      <c r="W24" s="92">
        <v>33</v>
      </c>
      <c r="X24" s="93">
        <v>188.6</v>
      </c>
      <c r="Y24" s="93">
        <v>96.2</v>
      </c>
      <c r="Z24" s="93">
        <v>65.400000000000006</v>
      </c>
      <c r="AA24" s="93">
        <v>50</v>
      </c>
      <c r="AB24" s="93">
        <v>40.799999999999997</v>
      </c>
      <c r="AC24" s="93">
        <v>34.700000000000003</v>
      </c>
      <c r="AD24" s="93">
        <v>30.3</v>
      </c>
      <c r="AE24" s="93">
        <v>27</v>
      </c>
      <c r="AF24" s="93">
        <v>24.5</v>
      </c>
      <c r="AG24" s="93">
        <v>22.5</v>
      </c>
      <c r="AH24" s="93">
        <v>20.8</v>
      </c>
      <c r="AI24" s="93">
        <v>19.399999999999999</v>
      </c>
      <c r="AJ24" s="93">
        <v>18.3</v>
      </c>
      <c r="AK24" s="93">
        <v>17.3</v>
      </c>
      <c r="AL24" s="93">
        <v>16.399999999999999</v>
      </c>
      <c r="AM24" s="93">
        <v>15.7</v>
      </c>
      <c r="AN24" s="93">
        <v>15.1</v>
      </c>
      <c r="AO24" s="93">
        <v>14.5</v>
      </c>
      <c r="AP24" s="93">
        <v>14</v>
      </c>
      <c r="AQ24" s="93">
        <v>13.5</v>
      </c>
    </row>
    <row r="25" spans="1:43" x14ac:dyDescent="0.25">
      <c r="A25" s="92">
        <v>34</v>
      </c>
      <c r="B25" s="93">
        <v>207.4</v>
      </c>
      <c r="C25" s="93">
        <v>105.8</v>
      </c>
      <c r="D25" s="93">
        <v>71.900000000000006</v>
      </c>
      <c r="E25" s="93">
        <v>55</v>
      </c>
      <c r="F25" s="93">
        <v>44.9</v>
      </c>
      <c r="G25" s="93">
        <v>38.1</v>
      </c>
      <c r="H25" s="93">
        <v>33.299999999999997</v>
      </c>
      <c r="I25" s="93">
        <v>29.7</v>
      </c>
      <c r="J25" s="93">
        <v>26.9</v>
      </c>
      <c r="K25" s="93">
        <v>24.7</v>
      </c>
      <c r="L25" s="93">
        <v>22.9</v>
      </c>
      <c r="M25" s="93">
        <v>21.4</v>
      </c>
      <c r="N25" s="93">
        <v>20.100000000000001</v>
      </c>
      <c r="O25" s="93">
        <v>19</v>
      </c>
      <c r="P25" s="93">
        <v>18.100000000000001</v>
      </c>
      <c r="Q25" s="93">
        <v>17.3</v>
      </c>
      <c r="R25" s="93">
        <v>16.600000000000001</v>
      </c>
      <c r="S25" s="93">
        <v>15.9</v>
      </c>
      <c r="T25" s="93">
        <v>15.4</v>
      </c>
      <c r="U25" s="93">
        <v>14.9</v>
      </c>
      <c r="W25" s="92">
        <v>34</v>
      </c>
      <c r="X25" s="93">
        <v>191.8</v>
      </c>
      <c r="Y25" s="93">
        <v>97.9</v>
      </c>
      <c r="Z25" s="93">
        <v>66.5</v>
      </c>
      <c r="AA25" s="93">
        <v>50.9</v>
      </c>
      <c r="AB25" s="93">
        <v>41.5</v>
      </c>
      <c r="AC25" s="93">
        <v>35.299999999999997</v>
      </c>
      <c r="AD25" s="93">
        <v>30.8</v>
      </c>
      <c r="AE25" s="93">
        <v>27.5</v>
      </c>
      <c r="AF25" s="93">
        <v>24.9</v>
      </c>
      <c r="AG25" s="93">
        <v>22.9</v>
      </c>
      <c r="AH25" s="93">
        <v>21.2</v>
      </c>
      <c r="AI25" s="93">
        <v>19.8</v>
      </c>
      <c r="AJ25" s="93">
        <v>18.600000000000001</v>
      </c>
      <c r="AK25" s="93">
        <v>17.600000000000001</v>
      </c>
      <c r="AL25" s="93">
        <v>16.7</v>
      </c>
      <c r="AM25" s="93">
        <v>16</v>
      </c>
      <c r="AN25" s="93">
        <v>15.3</v>
      </c>
      <c r="AO25" s="93">
        <v>14.7</v>
      </c>
      <c r="AP25" s="93">
        <v>14.2</v>
      </c>
      <c r="AQ25" s="93">
        <v>13.7</v>
      </c>
    </row>
    <row r="26" spans="1:43" x14ac:dyDescent="0.25">
      <c r="A26" s="92">
        <v>35</v>
      </c>
      <c r="B26" s="93">
        <v>210.9</v>
      </c>
      <c r="C26" s="93">
        <v>107.6</v>
      </c>
      <c r="D26" s="93">
        <v>73.099999999999994</v>
      </c>
      <c r="E26" s="93">
        <v>56</v>
      </c>
      <c r="F26" s="93">
        <v>45.6</v>
      </c>
      <c r="G26" s="93">
        <v>38.799999999999997</v>
      </c>
      <c r="H26" s="93">
        <v>33.9</v>
      </c>
      <c r="I26" s="93">
        <v>30.2</v>
      </c>
      <c r="J26" s="93">
        <v>27.4</v>
      </c>
      <c r="K26" s="93">
        <v>25.1</v>
      </c>
      <c r="L26" s="93">
        <v>23.3</v>
      </c>
      <c r="M26" s="93">
        <v>21.8</v>
      </c>
      <c r="N26" s="93">
        <v>20.5</v>
      </c>
      <c r="O26" s="93">
        <v>19.399999999999999</v>
      </c>
      <c r="P26" s="93">
        <v>18.399999999999999</v>
      </c>
      <c r="Q26" s="93">
        <v>17.600000000000001</v>
      </c>
      <c r="R26" s="93">
        <v>16.8</v>
      </c>
      <c r="S26" s="93">
        <v>16.2</v>
      </c>
      <c r="T26" s="93">
        <v>15.6</v>
      </c>
      <c r="U26" s="93">
        <v>15.1</v>
      </c>
      <c r="W26" s="92">
        <v>35</v>
      </c>
      <c r="X26" s="93">
        <v>195.1</v>
      </c>
      <c r="Y26" s="93">
        <v>99.5</v>
      </c>
      <c r="Z26" s="93">
        <v>67.7</v>
      </c>
      <c r="AA26" s="93">
        <v>51.8</v>
      </c>
      <c r="AB26" s="93">
        <v>42.2</v>
      </c>
      <c r="AC26" s="93">
        <v>35.9</v>
      </c>
      <c r="AD26" s="93">
        <v>31.4</v>
      </c>
      <c r="AE26" s="93">
        <v>28</v>
      </c>
      <c r="AF26" s="93">
        <v>25.4</v>
      </c>
      <c r="AG26" s="93">
        <v>23.3</v>
      </c>
      <c r="AH26" s="93">
        <v>21.6</v>
      </c>
      <c r="AI26" s="93">
        <v>20.100000000000001</v>
      </c>
      <c r="AJ26" s="93">
        <v>18.899999999999999</v>
      </c>
      <c r="AK26" s="93">
        <v>17.899999999999999</v>
      </c>
      <c r="AL26" s="93">
        <v>17</v>
      </c>
      <c r="AM26" s="93">
        <v>16.3</v>
      </c>
      <c r="AN26" s="93">
        <v>15.6</v>
      </c>
      <c r="AO26" s="93">
        <v>15</v>
      </c>
      <c r="AP26" s="93">
        <v>14.5</v>
      </c>
      <c r="AQ26" s="93">
        <v>14</v>
      </c>
    </row>
    <row r="27" spans="1:43" x14ac:dyDescent="0.25">
      <c r="A27" s="92">
        <v>36</v>
      </c>
      <c r="B27" s="93">
        <v>214.4</v>
      </c>
      <c r="C27" s="93">
        <v>109.4</v>
      </c>
      <c r="D27" s="93">
        <v>74.400000000000006</v>
      </c>
      <c r="E27" s="93">
        <v>56.9</v>
      </c>
      <c r="F27" s="93">
        <v>46.4</v>
      </c>
      <c r="G27" s="93">
        <v>39.5</v>
      </c>
      <c r="H27" s="93">
        <v>34.5</v>
      </c>
      <c r="I27" s="93">
        <v>30.8</v>
      </c>
      <c r="J27" s="93">
        <v>27.9</v>
      </c>
      <c r="K27" s="93">
        <v>25.6</v>
      </c>
      <c r="L27" s="93">
        <v>23.7</v>
      </c>
      <c r="M27" s="93">
        <v>22.1</v>
      </c>
      <c r="N27" s="93">
        <v>20.8</v>
      </c>
      <c r="O27" s="93">
        <v>19.7</v>
      </c>
      <c r="P27" s="93">
        <v>18.7</v>
      </c>
      <c r="Q27" s="93">
        <v>17.899999999999999</v>
      </c>
      <c r="R27" s="93">
        <v>17.100000000000001</v>
      </c>
      <c r="S27" s="93">
        <v>16.5</v>
      </c>
      <c r="T27" s="93">
        <v>15.9</v>
      </c>
      <c r="U27" s="93">
        <v>15.4</v>
      </c>
      <c r="W27" s="92">
        <v>36</v>
      </c>
      <c r="X27" s="93">
        <v>198.5</v>
      </c>
      <c r="Y27" s="93">
        <v>101.2</v>
      </c>
      <c r="Z27" s="93">
        <v>68.8</v>
      </c>
      <c r="AA27" s="93">
        <v>52.7</v>
      </c>
      <c r="AB27" s="93">
        <v>43</v>
      </c>
      <c r="AC27" s="93">
        <v>36.5</v>
      </c>
      <c r="AD27" s="93">
        <v>31.9</v>
      </c>
      <c r="AE27" s="93">
        <v>28.5</v>
      </c>
      <c r="AF27" s="93">
        <v>25.8</v>
      </c>
      <c r="AG27" s="93">
        <v>23.7</v>
      </c>
      <c r="AH27" s="93">
        <v>21.9</v>
      </c>
      <c r="AI27" s="93">
        <v>20.5</v>
      </c>
      <c r="AJ27" s="93">
        <v>19.3</v>
      </c>
      <c r="AK27" s="93">
        <v>18.2</v>
      </c>
      <c r="AL27" s="93">
        <v>17.3</v>
      </c>
      <c r="AM27" s="93">
        <v>16.600000000000001</v>
      </c>
      <c r="AN27" s="93">
        <v>15.9</v>
      </c>
      <c r="AO27" s="93">
        <v>15.3</v>
      </c>
      <c r="AP27" s="93">
        <v>14.7</v>
      </c>
      <c r="AQ27" s="93">
        <v>14.3</v>
      </c>
    </row>
    <row r="28" spans="1:43" x14ac:dyDescent="0.25">
      <c r="A28" s="92">
        <v>37</v>
      </c>
      <c r="B28" s="93">
        <v>218.1</v>
      </c>
      <c r="C28" s="93">
        <v>111.2</v>
      </c>
      <c r="D28" s="93">
        <v>75.599999999999994</v>
      </c>
      <c r="E28" s="93">
        <v>57.9</v>
      </c>
      <c r="F28" s="93">
        <v>47.2</v>
      </c>
      <c r="G28" s="93">
        <v>40.1</v>
      </c>
      <c r="H28" s="93">
        <v>35.1</v>
      </c>
      <c r="I28" s="93">
        <v>31.3</v>
      </c>
      <c r="J28" s="93">
        <v>28.4</v>
      </c>
      <c r="K28" s="93">
        <v>26</v>
      </c>
      <c r="L28" s="93">
        <v>24.1</v>
      </c>
      <c r="M28" s="93">
        <v>22.5</v>
      </c>
      <c r="N28" s="93">
        <v>21.2</v>
      </c>
      <c r="O28" s="93">
        <v>20</v>
      </c>
      <c r="P28" s="93">
        <v>19.100000000000001</v>
      </c>
      <c r="Q28" s="93">
        <v>18.2</v>
      </c>
      <c r="R28" s="93">
        <v>17.5</v>
      </c>
      <c r="S28" s="93">
        <v>16.8</v>
      </c>
      <c r="T28" s="93">
        <v>16.2</v>
      </c>
      <c r="U28" s="93">
        <v>15.7</v>
      </c>
      <c r="W28" s="92">
        <v>37</v>
      </c>
      <c r="X28" s="93">
        <v>201.9</v>
      </c>
      <c r="Y28" s="93">
        <v>103</v>
      </c>
      <c r="Z28" s="93">
        <v>70</v>
      </c>
      <c r="AA28" s="93">
        <v>53.6</v>
      </c>
      <c r="AB28" s="93">
        <v>43.7</v>
      </c>
      <c r="AC28" s="93">
        <v>37.1</v>
      </c>
      <c r="AD28" s="93">
        <v>32.5</v>
      </c>
      <c r="AE28" s="93">
        <v>29</v>
      </c>
      <c r="AF28" s="93">
        <v>26.2</v>
      </c>
      <c r="AG28" s="93">
        <v>24.1</v>
      </c>
      <c r="AH28" s="93">
        <v>22.3</v>
      </c>
      <c r="AI28" s="93">
        <v>20.8</v>
      </c>
      <c r="AJ28" s="93">
        <v>19.600000000000001</v>
      </c>
      <c r="AK28" s="93">
        <v>18.600000000000001</v>
      </c>
      <c r="AL28" s="93">
        <v>17.600000000000001</v>
      </c>
      <c r="AM28" s="93">
        <v>16.8</v>
      </c>
      <c r="AN28" s="93">
        <v>16.2</v>
      </c>
      <c r="AO28" s="93">
        <v>15.5</v>
      </c>
      <c r="AP28" s="93">
        <v>15</v>
      </c>
      <c r="AQ28" s="93">
        <v>14.5</v>
      </c>
    </row>
    <row r="29" spans="1:43" x14ac:dyDescent="0.25">
      <c r="A29" s="92">
        <v>38</v>
      </c>
      <c r="B29" s="93">
        <v>221.7</v>
      </c>
      <c r="C29" s="93">
        <v>113.1</v>
      </c>
      <c r="D29" s="93">
        <v>76.900000000000006</v>
      </c>
      <c r="E29" s="93">
        <v>58.9</v>
      </c>
      <c r="F29" s="93">
        <v>48</v>
      </c>
      <c r="G29" s="93">
        <v>40.799999999999997</v>
      </c>
      <c r="H29" s="93">
        <v>35.700000000000003</v>
      </c>
      <c r="I29" s="93">
        <v>31.8</v>
      </c>
      <c r="J29" s="93">
        <v>28.8</v>
      </c>
      <c r="K29" s="93">
        <v>26.5</v>
      </c>
      <c r="L29" s="93">
        <v>24.5</v>
      </c>
      <c r="M29" s="93">
        <v>22.9</v>
      </c>
      <c r="N29" s="93">
        <v>21.6</v>
      </c>
      <c r="O29" s="93">
        <v>20.399999999999999</v>
      </c>
      <c r="P29" s="93">
        <v>19.399999999999999</v>
      </c>
      <c r="Q29" s="93">
        <v>18.5</v>
      </c>
      <c r="R29" s="93">
        <v>17.8</v>
      </c>
      <c r="S29" s="93">
        <v>17.100000000000001</v>
      </c>
      <c r="T29" s="93">
        <v>16.5</v>
      </c>
      <c r="U29" s="93">
        <v>16</v>
      </c>
      <c r="W29" s="92">
        <v>38</v>
      </c>
      <c r="X29" s="93">
        <v>205.3</v>
      </c>
      <c r="Y29" s="93">
        <v>104.7</v>
      </c>
      <c r="Z29" s="93">
        <v>71.2</v>
      </c>
      <c r="AA29" s="93">
        <v>54.5</v>
      </c>
      <c r="AB29" s="93">
        <v>44.5</v>
      </c>
      <c r="AC29" s="93">
        <v>37.799999999999997</v>
      </c>
      <c r="AD29" s="93">
        <v>33</v>
      </c>
      <c r="AE29" s="93">
        <v>29.5</v>
      </c>
      <c r="AF29" s="93">
        <v>26.7</v>
      </c>
      <c r="AG29" s="93">
        <v>24.5</v>
      </c>
      <c r="AH29" s="93">
        <v>22.7</v>
      </c>
      <c r="AI29" s="93">
        <v>21.2</v>
      </c>
      <c r="AJ29" s="93">
        <v>20</v>
      </c>
      <c r="AK29" s="93">
        <v>18.899999999999999</v>
      </c>
      <c r="AL29" s="93">
        <v>18</v>
      </c>
      <c r="AM29" s="93">
        <v>17.2</v>
      </c>
      <c r="AN29" s="93">
        <v>16.399999999999999</v>
      </c>
      <c r="AO29" s="93">
        <v>15.8</v>
      </c>
      <c r="AP29" s="93">
        <v>15.3</v>
      </c>
      <c r="AQ29" s="93">
        <v>14.8</v>
      </c>
    </row>
    <row r="30" spans="1:43" x14ac:dyDescent="0.25">
      <c r="A30" s="92">
        <v>39</v>
      </c>
      <c r="B30" s="93">
        <v>225.5</v>
      </c>
      <c r="C30" s="93">
        <v>115</v>
      </c>
      <c r="D30" s="93">
        <v>78.2</v>
      </c>
      <c r="E30" s="93">
        <v>59.9</v>
      </c>
      <c r="F30" s="93">
        <v>48.8</v>
      </c>
      <c r="G30" s="93">
        <v>41.5</v>
      </c>
      <c r="H30" s="93">
        <v>36.299999999999997</v>
      </c>
      <c r="I30" s="93">
        <v>32.4</v>
      </c>
      <c r="J30" s="93">
        <v>29.3</v>
      </c>
      <c r="K30" s="93">
        <v>26.9</v>
      </c>
      <c r="L30" s="93">
        <v>24.9</v>
      </c>
      <c r="M30" s="93">
        <v>23.3</v>
      </c>
      <c r="N30" s="93">
        <v>21.9</v>
      </c>
      <c r="O30" s="93">
        <v>20.8</v>
      </c>
      <c r="P30" s="93">
        <v>19.7</v>
      </c>
      <c r="Q30" s="93">
        <v>18.899999999999999</v>
      </c>
      <c r="R30" s="93">
        <v>18.100000000000001</v>
      </c>
      <c r="S30" s="93">
        <v>17.399999999999999</v>
      </c>
      <c r="T30" s="93">
        <v>16.8</v>
      </c>
      <c r="U30" s="93">
        <v>16.3</v>
      </c>
      <c r="W30" s="92">
        <v>39</v>
      </c>
      <c r="X30" s="93">
        <v>208.8</v>
      </c>
      <c r="Y30" s="93">
        <v>106.5</v>
      </c>
      <c r="Z30" s="93">
        <v>72.5</v>
      </c>
      <c r="AA30" s="93">
        <v>55.4</v>
      </c>
      <c r="AB30" s="93">
        <v>45.2</v>
      </c>
      <c r="AC30" s="93">
        <v>38.4</v>
      </c>
      <c r="AD30" s="93">
        <v>33.6</v>
      </c>
      <c r="AE30" s="93">
        <v>30</v>
      </c>
      <c r="AF30" s="93">
        <v>27.2</v>
      </c>
      <c r="AG30" s="93">
        <v>24.9</v>
      </c>
      <c r="AH30" s="93">
        <v>23.1</v>
      </c>
      <c r="AI30" s="93">
        <v>21.6</v>
      </c>
      <c r="AJ30" s="93">
        <v>20.3</v>
      </c>
      <c r="AK30" s="93">
        <v>19.2</v>
      </c>
      <c r="AL30" s="93">
        <v>18.3</v>
      </c>
      <c r="AM30" s="93">
        <v>17.5</v>
      </c>
      <c r="AN30" s="93">
        <v>16.7</v>
      </c>
      <c r="AO30" s="93">
        <v>16.100000000000001</v>
      </c>
      <c r="AP30" s="93">
        <v>15.6</v>
      </c>
      <c r="AQ30" s="93">
        <v>15.1</v>
      </c>
    </row>
    <row r="31" spans="1:43" x14ac:dyDescent="0.25">
      <c r="A31" s="92">
        <v>40</v>
      </c>
      <c r="B31" s="93">
        <v>229.3</v>
      </c>
      <c r="C31" s="93">
        <v>117</v>
      </c>
      <c r="D31" s="93">
        <v>79.599999999999994</v>
      </c>
      <c r="E31" s="93">
        <v>60.9</v>
      </c>
      <c r="F31" s="93">
        <v>49.7</v>
      </c>
      <c r="G31" s="93">
        <v>42.2</v>
      </c>
      <c r="H31" s="93">
        <v>36.9</v>
      </c>
      <c r="I31" s="93">
        <v>32.9</v>
      </c>
      <c r="J31" s="93">
        <v>29.9</v>
      </c>
      <c r="K31" s="93">
        <v>27.4</v>
      </c>
      <c r="L31" s="93">
        <v>25.4</v>
      </c>
      <c r="M31" s="93">
        <v>23.7</v>
      </c>
      <c r="N31" s="93">
        <v>22.3</v>
      </c>
      <c r="O31" s="93">
        <v>21.1</v>
      </c>
      <c r="P31" s="93">
        <v>20.100000000000001</v>
      </c>
      <c r="Q31" s="93">
        <v>19.2</v>
      </c>
      <c r="R31" s="93">
        <v>18.399999999999999</v>
      </c>
      <c r="S31" s="93">
        <v>17.7</v>
      </c>
      <c r="T31" s="93">
        <v>17.100000000000001</v>
      </c>
      <c r="U31" s="93">
        <v>16.600000000000001</v>
      </c>
      <c r="W31" s="92">
        <v>40</v>
      </c>
      <c r="X31" s="93">
        <v>212.4</v>
      </c>
      <c r="Y31" s="93">
        <v>108.4</v>
      </c>
      <c r="Z31" s="93">
        <v>73.7</v>
      </c>
      <c r="AA31" s="93">
        <v>56.4</v>
      </c>
      <c r="AB31" s="93">
        <v>46</v>
      </c>
      <c r="AC31" s="93">
        <v>39.1</v>
      </c>
      <c r="AD31" s="93">
        <v>34.200000000000003</v>
      </c>
      <c r="AE31" s="93">
        <v>30.5</v>
      </c>
      <c r="AF31" s="93">
        <v>27.7</v>
      </c>
      <c r="AG31" s="93">
        <v>25.4</v>
      </c>
      <c r="AH31" s="93">
        <v>23.5</v>
      </c>
      <c r="AI31" s="93">
        <v>22</v>
      </c>
      <c r="AJ31" s="93">
        <v>20.7</v>
      </c>
      <c r="AK31" s="93">
        <v>19.600000000000001</v>
      </c>
      <c r="AL31" s="93">
        <v>18.600000000000001</v>
      </c>
      <c r="AM31" s="93">
        <v>17.8</v>
      </c>
      <c r="AN31" s="93">
        <v>17.100000000000001</v>
      </c>
      <c r="AO31" s="93">
        <v>16.399999999999999</v>
      </c>
      <c r="AP31" s="93">
        <v>15.9</v>
      </c>
      <c r="AQ31" s="93">
        <v>15.3</v>
      </c>
    </row>
    <row r="32" spans="1:43" x14ac:dyDescent="0.25">
      <c r="A32" s="92">
        <v>41</v>
      </c>
      <c r="B32" s="93">
        <v>233.2</v>
      </c>
      <c r="C32" s="93">
        <v>119</v>
      </c>
      <c r="D32" s="93">
        <v>80.900000000000006</v>
      </c>
      <c r="E32" s="93">
        <v>61.9</v>
      </c>
      <c r="F32" s="93">
        <v>50.5</v>
      </c>
      <c r="G32" s="93">
        <v>43</v>
      </c>
      <c r="H32" s="93">
        <v>37.6</v>
      </c>
      <c r="I32" s="93">
        <v>33.5</v>
      </c>
      <c r="J32" s="93">
        <v>30.4</v>
      </c>
      <c r="K32" s="93">
        <v>27.9</v>
      </c>
      <c r="L32" s="93">
        <v>25.8</v>
      </c>
      <c r="M32" s="93">
        <v>24.1</v>
      </c>
      <c r="N32" s="93">
        <v>22.7</v>
      </c>
      <c r="O32" s="93">
        <v>21.5</v>
      </c>
      <c r="P32" s="93">
        <v>20.5</v>
      </c>
      <c r="Q32" s="93">
        <v>19.600000000000001</v>
      </c>
      <c r="R32" s="93">
        <v>18.8</v>
      </c>
      <c r="S32" s="93">
        <v>18.100000000000001</v>
      </c>
      <c r="T32" s="93">
        <v>17.399999999999999</v>
      </c>
      <c r="U32" s="93">
        <v>16.899999999999999</v>
      </c>
      <c r="W32" s="92">
        <v>41</v>
      </c>
      <c r="X32" s="93">
        <v>216.1</v>
      </c>
      <c r="Y32" s="93">
        <v>110.3</v>
      </c>
      <c r="Z32" s="93">
        <v>75</v>
      </c>
      <c r="AA32" s="93">
        <v>57.4</v>
      </c>
      <c r="AB32" s="93">
        <v>46.8</v>
      </c>
      <c r="AC32" s="93">
        <v>39.799999999999997</v>
      </c>
      <c r="AD32" s="93">
        <v>34.799999999999997</v>
      </c>
      <c r="AE32" s="93">
        <v>31.1</v>
      </c>
      <c r="AF32" s="93">
        <v>28.1</v>
      </c>
      <c r="AG32" s="93">
        <v>25.8</v>
      </c>
      <c r="AH32" s="93">
        <v>23.9</v>
      </c>
      <c r="AI32" s="93">
        <v>22.4</v>
      </c>
      <c r="AJ32" s="93">
        <v>21.1</v>
      </c>
      <c r="AK32" s="93">
        <v>19.899999999999999</v>
      </c>
      <c r="AL32" s="93">
        <v>19</v>
      </c>
      <c r="AM32" s="93">
        <v>18.100000000000001</v>
      </c>
      <c r="AN32" s="93">
        <v>17.399999999999999</v>
      </c>
      <c r="AO32" s="93">
        <v>16.7</v>
      </c>
      <c r="AP32" s="93">
        <v>16.2</v>
      </c>
      <c r="AQ32" s="93">
        <v>15.6</v>
      </c>
    </row>
    <row r="33" spans="1:43" x14ac:dyDescent="0.25">
      <c r="A33" s="92">
        <v>42</v>
      </c>
      <c r="B33" s="93">
        <v>237.2</v>
      </c>
      <c r="C33" s="93">
        <v>121</v>
      </c>
      <c r="D33" s="93">
        <v>82.3</v>
      </c>
      <c r="E33" s="93">
        <v>63</v>
      </c>
      <c r="F33" s="93">
        <v>51.4</v>
      </c>
      <c r="G33" s="93">
        <v>43.7</v>
      </c>
      <c r="H33" s="93">
        <v>38.200000000000003</v>
      </c>
      <c r="I33" s="93">
        <v>34.1</v>
      </c>
      <c r="J33" s="93">
        <v>30.9</v>
      </c>
      <c r="K33" s="93">
        <v>28.4</v>
      </c>
      <c r="L33" s="93">
        <v>26.3</v>
      </c>
      <c r="M33" s="93">
        <v>24.6</v>
      </c>
      <c r="N33" s="93">
        <v>23.1</v>
      </c>
      <c r="O33" s="93">
        <v>21.9</v>
      </c>
      <c r="P33" s="93">
        <v>20.8</v>
      </c>
      <c r="Q33" s="93">
        <v>19.899999999999999</v>
      </c>
      <c r="R33" s="93">
        <v>19.100000000000001</v>
      </c>
      <c r="S33" s="93">
        <v>18.399999999999999</v>
      </c>
      <c r="T33" s="93">
        <v>17.8</v>
      </c>
      <c r="U33" s="93">
        <v>17.2</v>
      </c>
      <c r="W33" s="92">
        <v>42</v>
      </c>
      <c r="X33" s="93">
        <v>219.9</v>
      </c>
      <c r="Y33" s="93">
        <v>112.2</v>
      </c>
      <c r="Z33" s="93">
        <v>76.3</v>
      </c>
      <c r="AA33" s="93">
        <v>58.4</v>
      </c>
      <c r="AB33" s="93">
        <v>47.7</v>
      </c>
      <c r="AC33" s="93">
        <v>40.5</v>
      </c>
      <c r="AD33" s="93">
        <v>35.4</v>
      </c>
      <c r="AE33" s="93">
        <v>31.6</v>
      </c>
      <c r="AF33" s="93">
        <v>28.7</v>
      </c>
      <c r="AG33" s="93">
        <v>26.3</v>
      </c>
      <c r="AH33" s="93">
        <v>24.4</v>
      </c>
      <c r="AI33" s="93">
        <v>22.8</v>
      </c>
      <c r="AJ33" s="93">
        <v>21.4</v>
      </c>
      <c r="AK33" s="93">
        <v>20.3</v>
      </c>
      <c r="AL33" s="93">
        <v>19.3</v>
      </c>
      <c r="AM33" s="93">
        <v>18.5</v>
      </c>
      <c r="AN33" s="93">
        <v>17.7</v>
      </c>
      <c r="AO33" s="93">
        <v>17.100000000000001</v>
      </c>
      <c r="AP33" s="93">
        <v>16.5</v>
      </c>
      <c r="AQ33" s="93">
        <v>15.9</v>
      </c>
    </row>
    <row r="34" spans="1:43" x14ac:dyDescent="0.25">
      <c r="A34" s="92">
        <v>43</v>
      </c>
      <c r="B34" s="93">
        <v>241.2</v>
      </c>
      <c r="C34" s="93">
        <v>123.1</v>
      </c>
      <c r="D34" s="93">
        <v>83.7</v>
      </c>
      <c r="E34" s="93">
        <v>64.099999999999994</v>
      </c>
      <c r="F34" s="93">
        <v>52.3</v>
      </c>
      <c r="G34" s="93">
        <v>44.5</v>
      </c>
      <c r="H34" s="93">
        <v>38.9</v>
      </c>
      <c r="I34" s="93">
        <v>34.700000000000003</v>
      </c>
      <c r="J34" s="93">
        <v>31.5</v>
      </c>
      <c r="K34" s="93">
        <v>28.9</v>
      </c>
      <c r="L34" s="93">
        <v>26.8</v>
      </c>
      <c r="M34" s="93">
        <v>25</v>
      </c>
      <c r="N34" s="93">
        <v>23.5</v>
      </c>
      <c r="O34" s="93">
        <v>22.3</v>
      </c>
      <c r="P34" s="93">
        <v>21.2</v>
      </c>
      <c r="Q34" s="93">
        <v>20.3</v>
      </c>
      <c r="R34" s="93">
        <v>19.5</v>
      </c>
      <c r="S34" s="93">
        <v>18.7</v>
      </c>
      <c r="T34" s="93">
        <v>18.100000000000001</v>
      </c>
      <c r="U34" s="93">
        <v>17.5</v>
      </c>
      <c r="W34" s="92">
        <v>43</v>
      </c>
      <c r="X34" s="93">
        <v>223.7</v>
      </c>
      <c r="Y34" s="93">
        <v>114.1</v>
      </c>
      <c r="Z34" s="93">
        <v>77.599999999999994</v>
      </c>
      <c r="AA34" s="93">
        <v>59.4</v>
      </c>
      <c r="AB34" s="93">
        <v>48.5</v>
      </c>
      <c r="AC34" s="93">
        <v>41.2</v>
      </c>
      <c r="AD34" s="93">
        <v>36</v>
      </c>
      <c r="AE34" s="93">
        <v>32.200000000000003</v>
      </c>
      <c r="AF34" s="93">
        <v>29.2</v>
      </c>
      <c r="AG34" s="93">
        <v>26.8</v>
      </c>
      <c r="AH34" s="93">
        <v>24.8</v>
      </c>
      <c r="AI34" s="93">
        <v>23.2</v>
      </c>
      <c r="AJ34" s="93">
        <v>21.8</v>
      </c>
      <c r="AK34" s="93">
        <v>20.7</v>
      </c>
      <c r="AL34" s="93">
        <v>19.7</v>
      </c>
      <c r="AM34" s="93">
        <v>18.8</v>
      </c>
      <c r="AN34" s="93">
        <v>18.100000000000001</v>
      </c>
      <c r="AO34" s="93">
        <v>17.399999999999999</v>
      </c>
      <c r="AP34" s="93">
        <v>16.8</v>
      </c>
      <c r="AQ34" s="93">
        <v>16.3</v>
      </c>
    </row>
    <row r="35" spans="1:43" x14ac:dyDescent="0.25">
      <c r="A35" s="92">
        <v>44</v>
      </c>
      <c r="B35" s="93">
        <v>245.3</v>
      </c>
      <c r="C35" s="93">
        <v>125.2</v>
      </c>
      <c r="D35" s="93">
        <v>85.2</v>
      </c>
      <c r="E35" s="93">
        <v>65.2</v>
      </c>
      <c r="F35" s="93">
        <v>53.2</v>
      </c>
      <c r="G35" s="93">
        <v>45.2</v>
      </c>
      <c r="H35" s="93">
        <v>39.5</v>
      </c>
      <c r="I35" s="93">
        <v>35.299999999999997</v>
      </c>
      <c r="J35" s="93">
        <v>32</v>
      </c>
      <c r="K35" s="93">
        <v>29.4</v>
      </c>
      <c r="L35" s="93">
        <v>27.2</v>
      </c>
      <c r="M35" s="93">
        <v>25.5</v>
      </c>
      <c r="N35" s="93">
        <v>24</v>
      </c>
      <c r="O35" s="93">
        <v>22.7</v>
      </c>
      <c r="P35" s="93">
        <v>21.6</v>
      </c>
      <c r="Q35" s="93">
        <v>20.7</v>
      </c>
      <c r="R35" s="93">
        <v>19.8</v>
      </c>
      <c r="S35" s="93">
        <v>19.100000000000001</v>
      </c>
      <c r="T35" s="93">
        <v>18.5</v>
      </c>
      <c r="U35" s="93">
        <v>17.899999999999999</v>
      </c>
      <c r="W35" s="92">
        <v>44</v>
      </c>
      <c r="X35" s="93">
        <v>227.6</v>
      </c>
      <c r="Y35" s="93">
        <v>116.1</v>
      </c>
      <c r="Z35" s="93">
        <v>79</v>
      </c>
      <c r="AA35" s="93">
        <v>60.5</v>
      </c>
      <c r="AB35" s="93">
        <v>49.3</v>
      </c>
      <c r="AC35" s="93">
        <v>42</v>
      </c>
      <c r="AD35" s="93">
        <v>36.700000000000003</v>
      </c>
      <c r="AE35" s="93">
        <v>32.700000000000003</v>
      </c>
      <c r="AF35" s="93">
        <v>29.7</v>
      </c>
      <c r="AG35" s="93">
        <v>27.3</v>
      </c>
      <c r="AH35" s="93">
        <v>25.3</v>
      </c>
      <c r="AI35" s="93">
        <v>23.6</v>
      </c>
      <c r="AJ35" s="93">
        <v>22.2</v>
      </c>
      <c r="AK35" s="93">
        <v>21.1</v>
      </c>
      <c r="AL35" s="93">
        <v>20.100000000000001</v>
      </c>
      <c r="AM35" s="93">
        <v>19.2</v>
      </c>
      <c r="AN35" s="93">
        <v>18.399999999999999</v>
      </c>
      <c r="AO35" s="93">
        <v>17.7</v>
      </c>
      <c r="AP35" s="93">
        <v>17.100000000000001</v>
      </c>
      <c r="AQ35" s="93">
        <v>16.600000000000001</v>
      </c>
    </row>
    <row r="36" spans="1:43" x14ac:dyDescent="0.25">
      <c r="A36" s="92">
        <v>45</v>
      </c>
      <c r="B36" s="93">
        <v>249.4</v>
      </c>
      <c r="C36" s="93">
        <v>127.3</v>
      </c>
      <c r="D36" s="93">
        <v>86.6</v>
      </c>
      <c r="E36" s="93">
        <v>66.3</v>
      </c>
      <c r="F36" s="93">
        <v>54.1</v>
      </c>
      <c r="G36" s="93">
        <v>46</v>
      </c>
      <c r="H36" s="93">
        <v>40.200000000000003</v>
      </c>
      <c r="I36" s="93">
        <v>35.9</v>
      </c>
      <c r="J36" s="93">
        <v>32.6</v>
      </c>
      <c r="K36" s="93">
        <v>29.9</v>
      </c>
      <c r="L36" s="93">
        <v>27.7</v>
      </c>
      <c r="M36" s="93">
        <v>25.9</v>
      </c>
      <c r="N36" s="93">
        <v>24.4</v>
      </c>
      <c r="O36" s="93">
        <v>23.1</v>
      </c>
      <c r="P36" s="93">
        <v>22</v>
      </c>
      <c r="Q36" s="93">
        <v>21.1</v>
      </c>
      <c r="R36" s="93">
        <v>20.2</v>
      </c>
      <c r="S36" s="93">
        <v>19.5</v>
      </c>
      <c r="T36" s="93">
        <v>18.8</v>
      </c>
      <c r="U36" s="93">
        <v>18.2</v>
      </c>
      <c r="W36" s="92">
        <v>45</v>
      </c>
      <c r="X36" s="93">
        <v>231.5</v>
      </c>
      <c r="Y36" s="93">
        <v>118.1</v>
      </c>
      <c r="Z36" s="93">
        <v>80.400000000000006</v>
      </c>
      <c r="AA36" s="93">
        <v>61.5</v>
      </c>
      <c r="AB36" s="93">
        <v>50.2</v>
      </c>
      <c r="AC36" s="93">
        <v>42.7</v>
      </c>
      <c r="AD36" s="93">
        <v>37.299999999999997</v>
      </c>
      <c r="AE36" s="93">
        <v>33.299999999999997</v>
      </c>
      <c r="AF36" s="93">
        <v>30.2</v>
      </c>
      <c r="AG36" s="93">
        <v>27.7</v>
      </c>
      <c r="AH36" s="93">
        <v>25.7</v>
      </c>
      <c r="AI36" s="93">
        <v>24.1</v>
      </c>
      <c r="AJ36" s="93">
        <v>22.7</v>
      </c>
      <c r="AK36" s="93">
        <v>21.5</v>
      </c>
      <c r="AL36" s="93">
        <v>20.399999999999999</v>
      </c>
      <c r="AM36" s="93">
        <v>19.5</v>
      </c>
      <c r="AN36" s="93">
        <v>18.8</v>
      </c>
      <c r="AO36" s="93">
        <v>18.100000000000001</v>
      </c>
      <c r="AP36" s="93">
        <v>17.5</v>
      </c>
      <c r="AQ36" s="93">
        <v>16.899999999999999</v>
      </c>
    </row>
    <row r="37" spans="1:43" x14ac:dyDescent="0.25">
      <c r="A37" s="92">
        <v>46</v>
      </c>
      <c r="B37" s="93">
        <v>253.6</v>
      </c>
      <c r="C37" s="93">
        <v>129.4</v>
      </c>
      <c r="D37" s="93">
        <v>88.1</v>
      </c>
      <c r="E37" s="93">
        <v>67.400000000000006</v>
      </c>
      <c r="F37" s="93">
        <v>55</v>
      </c>
      <c r="G37" s="93">
        <v>46.8</v>
      </c>
      <c r="H37" s="93">
        <v>40.9</v>
      </c>
      <c r="I37" s="93">
        <v>36.5</v>
      </c>
      <c r="J37" s="93">
        <v>33.1</v>
      </c>
      <c r="K37" s="93">
        <v>30.4</v>
      </c>
      <c r="L37" s="93">
        <v>28.2</v>
      </c>
      <c r="M37" s="93">
        <v>26.4</v>
      </c>
      <c r="N37" s="93">
        <v>24.9</v>
      </c>
      <c r="O37" s="93">
        <v>23.6</v>
      </c>
      <c r="P37" s="93">
        <v>22.4</v>
      </c>
      <c r="Q37" s="93">
        <v>21.5</v>
      </c>
      <c r="R37" s="93">
        <v>20.6</v>
      </c>
      <c r="S37" s="93">
        <v>19.899999999999999</v>
      </c>
      <c r="T37" s="93">
        <v>19.2</v>
      </c>
      <c r="U37" s="93">
        <v>18.600000000000001</v>
      </c>
      <c r="W37" s="92">
        <v>46</v>
      </c>
      <c r="X37" s="93">
        <v>235.4</v>
      </c>
      <c r="Y37" s="93">
        <v>120.1</v>
      </c>
      <c r="Z37" s="93">
        <v>81.7</v>
      </c>
      <c r="AA37" s="93">
        <v>62.6</v>
      </c>
      <c r="AB37" s="93">
        <v>51.1</v>
      </c>
      <c r="AC37" s="93">
        <v>43.4</v>
      </c>
      <c r="AD37" s="93">
        <v>38</v>
      </c>
      <c r="AE37" s="93">
        <v>33.9</v>
      </c>
      <c r="AF37" s="93">
        <v>30.8</v>
      </c>
      <c r="AG37" s="93">
        <v>28.3</v>
      </c>
      <c r="AH37" s="93">
        <v>26.2</v>
      </c>
      <c r="AI37" s="93">
        <v>24.5</v>
      </c>
      <c r="AJ37" s="93">
        <v>23.1</v>
      </c>
      <c r="AK37" s="93">
        <v>21.9</v>
      </c>
      <c r="AL37" s="93">
        <v>20.8</v>
      </c>
      <c r="AM37" s="93">
        <v>19.899999999999999</v>
      </c>
      <c r="AN37" s="93">
        <v>19.100000000000001</v>
      </c>
      <c r="AO37" s="93">
        <v>18.399999999999999</v>
      </c>
      <c r="AP37" s="93">
        <v>17.8</v>
      </c>
      <c r="AQ37" s="93">
        <v>17.3</v>
      </c>
    </row>
    <row r="38" spans="1:43" x14ac:dyDescent="0.25">
      <c r="A38" s="92">
        <v>47</v>
      </c>
      <c r="B38" s="93">
        <v>257.8</v>
      </c>
      <c r="C38" s="93">
        <v>131.6</v>
      </c>
      <c r="D38" s="93">
        <v>89.5</v>
      </c>
      <c r="E38" s="93">
        <v>68.5</v>
      </c>
      <c r="F38" s="93">
        <v>56</v>
      </c>
      <c r="G38" s="93">
        <v>47.6</v>
      </c>
      <c r="H38" s="93">
        <v>41.6</v>
      </c>
      <c r="I38" s="93">
        <v>37.200000000000003</v>
      </c>
      <c r="J38" s="93">
        <v>33.700000000000003</v>
      </c>
      <c r="K38" s="93">
        <v>31</v>
      </c>
      <c r="L38" s="93">
        <v>28.7</v>
      </c>
      <c r="M38" s="93">
        <v>26.9</v>
      </c>
      <c r="N38" s="93">
        <v>25.3</v>
      </c>
      <c r="O38" s="93">
        <v>24</v>
      </c>
      <c r="P38" s="93">
        <v>22.9</v>
      </c>
      <c r="Q38" s="93">
        <v>21.9</v>
      </c>
      <c r="R38" s="93">
        <v>21</v>
      </c>
      <c r="S38" s="93">
        <v>20.3</v>
      </c>
      <c r="T38" s="93">
        <v>19.600000000000001</v>
      </c>
      <c r="U38" s="93">
        <v>19</v>
      </c>
      <c r="W38" s="92">
        <v>47</v>
      </c>
      <c r="X38" s="93">
        <v>239.4</v>
      </c>
      <c r="Y38" s="93">
        <v>122.2</v>
      </c>
      <c r="Z38" s="93">
        <v>83.1</v>
      </c>
      <c r="AA38" s="93">
        <v>63.6</v>
      </c>
      <c r="AB38" s="93">
        <v>52</v>
      </c>
      <c r="AC38" s="93">
        <v>44.2</v>
      </c>
      <c r="AD38" s="93">
        <v>38.700000000000003</v>
      </c>
      <c r="AE38" s="93">
        <v>34.5</v>
      </c>
      <c r="AF38" s="93">
        <v>31.3</v>
      </c>
      <c r="AG38" s="93">
        <v>28.8</v>
      </c>
      <c r="AH38" s="93">
        <v>26.7</v>
      </c>
      <c r="AI38" s="93">
        <v>25</v>
      </c>
      <c r="AJ38" s="93">
        <v>23.5</v>
      </c>
      <c r="AK38" s="93">
        <v>22.3</v>
      </c>
      <c r="AL38" s="93">
        <v>21.2</v>
      </c>
      <c r="AM38" s="93">
        <v>20.3</v>
      </c>
      <c r="AN38" s="93">
        <v>19.5</v>
      </c>
      <c r="AO38" s="93">
        <v>18.8</v>
      </c>
      <c r="AP38" s="93">
        <v>18.2</v>
      </c>
      <c r="AQ38" s="93">
        <v>17.600000000000001</v>
      </c>
    </row>
    <row r="39" spans="1:43" x14ac:dyDescent="0.25">
      <c r="A39" s="92">
        <v>48</v>
      </c>
      <c r="B39" s="93">
        <v>262.10000000000002</v>
      </c>
      <c r="C39" s="93">
        <v>133.80000000000001</v>
      </c>
      <c r="D39" s="93">
        <v>91</v>
      </c>
      <c r="E39" s="93">
        <v>69.7</v>
      </c>
      <c r="F39" s="93">
        <v>56.9</v>
      </c>
      <c r="G39" s="93">
        <v>48.4</v>
      </c>
      <c r="H39" s="93">
        <v>42.4</v>
      </c>
      <c r="I39" s="93">
        <v>37.799999999999997</v>
      </c>
      <c r="J39" s="93">
        <v>34.299999999999997</v>
      </c>
      <c r="K39" s="93">
        <v>31.6</v>
      </c>
      <c r="L39" s="93">
        <v>29.3</v>
      </c>
      <c r="M39" s="93">
        <v>27.4</v>
      </c>
      <c r="N39" s="93">
        <v>25.8</v>
      </c>
      <c r="O39" s="93">
        <v>24.5</v>
      </c>
      <c r="P39" s="93">
        <v>23.3</v>
      </c>
      <c r="Q39" s="93">
        <v>22.3</v>
      </c>
      <c r="R39" s="93">
        <v>21.4</v>
      </c>
      <c r="S39" s="93">
        <v>20.7</v>
      </c>
      <c r="T39" s="93">
        <v>20</v>
      </c>
      <c r="U39" s="93">
        <v>19.399999999999999</v>
      </c>
      <c r="W39" s="92">
        <v>48</v>
      </c>
      <c r="X39" s="93">
        <v>243.5</v>
      </c>
      <c r="Y39" s="93">
        <v>124.3</v>
      </c>
      <c r="Z39" s="93">
        <v>84.6</v>
      </c>
      <c r="AA39" s="93">
        <v>64.8</v>
      </c>
      <c r="AB39" s="93">
        <v>52.9</v>
      </c>
      <c r="AC39" s="93">
        <v>45</v>
      </c>
      <c r="AD39" s="93">
        <v>39.4</v>
      </c>
      <c r="AE39" s="93">
        <v>35.200000000000003</v>
      </c>
      <c r="AF39" s="93">
        <v>31.9</v>
      </c>
      <c r="AG39" s="93">
        <v>29.3</v>
      </c>
      <c r="AH39" s="93">
        <v>27.2</v>
      </c>
      <c r="AI39" s="93">
        <v>25.5</v>
      </c>
      <c r="AJ39" s="93">
        <v>24</v>
      </c>
      <c r="AK39" s="93">
        <v>22.7</v>
      </c>
      <c r="AL39" s="93">
        <v>21.7</v>
      </c>
      <c r="AM39" s="93">
        <v>20.7</v>
      </c>
      <c r="AN39" s="93">
        <v>19.899999999999999</v>
      </c>
      <c r="AO39" s="93">
        <v>19.2</v>
      </c>
      <c r="AP39" s="93">
        <v>18.600000000000001</v>
      </c>
      <c r="AQ39" s="93">
        <v>18</v>
      </c>
    </row>
    <row r="40" spans="1:43" x14ac:dyDescent="0.25">
      <c r="A40" s="92">
        <v>49</v>
      </c>
      <c r="B40" s="93">
        <v>266.5</v>
      </c>
      <c r="C40" s="93">
        <v>136.1</v>
      </c>
      <c r="D40" s="93">
        <v>92.6</v>
      </c>
      <c r="E40" s="93">
        <v>70.900000000000006</v>
      </c>
      <c r="F40" s="93">
        <v>57.9</v>
      </c>
      <c r="G40" s="93">
        <v>49.3</v>
      </c>
      <c r="H40" s="93">
        <v>43.1</v>
      </c>
      <c r="I40" s="93">
        <v>38.5</v>
      </c>
      <c r="J40" s="93">
        <v>35</v>
      </c>
      <c r="K40" s="93">
        <v>32.1</v>
      </c>
      <c r="L40" s="93">
        <v>29.8</v>
      </c>
      <c r="M40" s="93">
        <v>27.9</v>
      </c>
      <c r="N40" s="93">
        <v>26.3</v>
      </c>
      <c r="O40" s="93">
        <v>25</v>
      </c>
      <c r="P40" s="93">
        <v>23.8</v>
      </c>
      <c r="Q40" s="93">
        <v>22.8</v>
      </c>
      <c r="R40" s="93">
        <v>21.9</v>
      </c>
      <c r="S40" s="93">
        <v>21.1</v>
      </c>
      <c r="T40" s="93">
        <v>20.399999999999999</v>
      </c>
      <c r="U40" s="93"/>
      <c r="W40" s="92">
        <v>49</v>
      </c>
      <c r="X40" s="93">
        <v>247.7</v>
      </c>
      <c r="Y40" s="93">
        <v>126.5</v>
      </c>
      <c r="Z40" s="93">
        <v>86.1</v>
      </c>
      <c r="AA40" s="93">
        <v>65.900000000000006</v>
      </c>
      <c r="AB40" s="93">
        <v>53.9</v>
      </c>
      <c r="AC40" s="93">
        <v>45.8</v>
      </c>
      <c r="AD40" s="93">
        <v>40.1</v>
      </c>
      <c r="AE40" s="93">
        <v>35.799999999999997</v>
      </c>
      <c r="AF40" s="93">
        <v>32.5</v>
      </c>
      <c r="AG40" s="93">
        <v>29.9</v>
      </c>
      <c r="AH40" s="93">
        <v>27.7</v>
      </c>
      <c r="AI40" s="93">
        <v>26</v>
      </c>
      <c r="AJ40" s="93">
        <v>24.5</v>
      </c>
      <c r="AK40" s="93">
        <v>23.2</v>
      </c>
      <c r="AL40" s="93">
        <v>22.1</v>
      </c>
      <c r="AM40" s="93">
        <v>21.2</v>
      </c>
      <c r="AN40" s="93">
        <v>20.3</v>
      </c>
      <c r="AO40" s="93">
        <v>19.600000000000001</v>
      </c>
      <c r="AP40" s="93">
        <v>19</v>
      </c>
      <c r="AQ40" s="93"/>
    </row>
    <row r="41" spans="1:43" x14ac:dyDescent="0.25">
      <c r="A41" s="92">
        <v>50</v>
      </c>
      <c r="B41" s="93">
        <v>271.10000000000002</v>
      </c>
      <c r="C41" s="93">
        <v>138.4</v>
      </c>
      <c r="D41" s="93">
        <v>94.3</v>
      </c>
      <c r="E41" s="93">
        <v>72.2</v>
      </c>
      <c r="F41" s="93">
        <v>59</v>
      </c>
      <c r="G41" s="93">
        <v>50.2</v>
      </c>
      <c r="H41" s="93">
        <v>44</v>
      </c>
      <c r="I41" s="93">
        <v>39.299999999999997</v>
      </c>
      <c r="J41" s="93">
        <v>35.700000000000003</v>
      </c>
      <c r="K41" s="93">
        <v>32.799999999999997</v>
      </c>
      <c r="L41" s="93">
        <v>30.4</v>
      </c>
      <c r="M41" s="93">
        <v>28.5</v>
      </c>
      <c r="N41" s="93">
        <v>26.9</v>
      </c>
      <c r="O41" s="93">
        <v>25.5</v>
      </c>
      <c r="P41" s="93">
        <v>24.3</v>
      </c>
      <c r="Q41" s="93">
        <v>23.3</v>
      </c>
      <c r="R41" s="93">
        <v>22.4</v>
      </c>
      <c r="S41" s="93">
        <v>21.5</v>
      </c>
      <c r="T41" s="93"/>
      <c r="U41" s="93"/>
      <c r="W41" s="92">
        <v>50</v>
      </c>
      <c r="X41" s="93">
        <v>252.2</v>
      </c>
      <c r="Y41" s="93">
        <v>128.80000000000001</v>
      </c>
      <c r="Z41" s="93">
        <v>87.7</v>
      </c>
      <c r="AA41" s="93">
        <v>67.2</v>
      </c>
      <c r="AB41" s="93">
        <v>54.9</v>
      </c>
      <c r="AC41" s="93">
        <v>46.7</v>
      </c>
      <c r="AD41" s="93">
        <v>40.9</v>
      </c>
      <c r="AE41" s="93">
        <v>36.5</v>
      </c>
      <c r="AF41" s="93">
        <v>33.200000000000003</v>
      </c>
      <c r="AG41" s="93">
        <v>30.5</v>
      </c>
      <c r="AH41" s="93">
        <v>28.3</v>
      </c>
      <c r="AI41" s="93">
        <v>26.5</v>
      </c>
      <c r="AJ41" s="93">
        <v>25</v>
      </c>
      <c r="AK41" s="93">
        <v>23.7</v>
      </c>
      <c r="AL41" s="93">
        <v>22.6</v>
      </c>
      <c r="AM41" s="93">
        <v>21.6</v>
      </c>
      <c r="AN41" s="93">
        <v>20.8</v>
      </c>
      <c r="AO41" s="93">
        <v>20.100000000000001</v>
      </c>
      <c r="AP41" s="93"/>
      <c r="AQ41" s="93"/>
    </row>
    <row r="42" spans="1:43" x14ac:dyDescent="0.25">
      <c r="A42" s="92">
        <v>51</v>
      </c>
      <c r="B42" s="93">
        <v>275.89999999999998</v>
      </c>
      <c r="C42" s="93">
        <v>140.9</v>
      </c>
      <c r="D42" s="93">
        <v>96</v>
      </c>
      <c r="E42" s="93">
        <v>73.5</v>
      </c>
      <c r="F42" s="93">
        <v>60.1</v>
      </c>
      <c r="G42" s="93">
        <v>51.1</v>
      </c>
      <c r="H42" s="93">
        <v>44.8</v>
      </c>
      <c r="I42" s="93">
        <v>40</v>
      </c>
      <c r="J42" s="93">
        <v>36.4</v>
      </c>
      <c r="K42" s="93">
        <v>33.4</v>
      </c>
      <c r="L42" s="93">
        <v>31</v>
      </c>
      <c r="M42" s="93">
        <v>29.1</v>
      </c>
      <c r="N42" s="93">
        <v>27.4</v>
      </c>
      <c r="O42" s="93">
        <v>26</v>
      </c>
      <c r="P42" s="93">
        <v>24.8</v>
      </c>
      <c r="Q42" s="93">
        <v>23.8</v>
      </c>
      <c r="R42" s="93">
        <v>22.8</v>
      </c>
      <c r="S42" s="93"/>
      <c r="T42" s="93"/>
      <c r="U42" s="93"/>
      <c r="W42" s="92">
        <v>51</v>
      </c>
      <c r="X42" s="93">
        <v>256.7</v>
      </c>
      <c r="Y42" s="93">
        <v>131.1</v>
      </c>
      <c r="Z42" s="93">
        <v>89.3</v>
      </c>
      <c r="AA42" s="93">
        <v>68.400000000000006</v>
      </c>
      <c r="AB42" s="93">
        <v>55.9</v>
      </c>
      <c r="AC42" s="93">
        <v>47.6</v>
      </c>
      <c r="AD42" s="93">
        <v>41.7</v>
      </c>
      <c r="AE42" s="93">
        <v>37.299999999999997</v>
      </c>
      <c r="AF42" s="93">
        <v>33.799999999999997</v>
      </c>
      <c r="AG42" s="93">
        <v>31.1</v>
      </c>
      <c r="AH42" s="93">
        <v>28.9</v>
      </c>
      <c r="AI42" s="93">
        <v>27.1</v>
      </c>
      <c r="AJ42" s="93">
        <v>25.5</v>
      </c>
      <c r="AK42" s="93">
        <v>24.2</v>
      </c>
      <c r="AL42" s="93">
        <v>23.1</v>
      </c>
      <c r="AM42" s="93">
        <v>22.1</v>
      </c>
      <c r="AN42" s="93">
        <v>21.3</v>
      </c>
      <c r="AO42" s="93"/>
      <c r="AP42" s="93"/>
      <c r="AQ42" s="93"/>
    </row>
    <row r="43" spans="1:43" x14ac:dyDescent="0.25">
      <c r="A43" s="92">
        <v>52</v>
      </c>
      <c r="B43" s="93">
        <v>280.7</v>
      </c>
      <c r="C43" s="93">
        <v>143.4</v>
      </c>
      <c r="D43" s="93">
        <v>97.7</v>
      </c>
      <c r="E43" s="93">
        <v>74.900000000000006</v>
      </c>
      <c r="F43" s="93">
        <v>61.2</v>
      </c>
      <c r="G43" s="93">
        <v>52.1</v>
      </c>
      <c r="H43" s="93">
        <v>45.6</v>
      </c>
      <c r="I43" s="93">
        <v>40.799999999999997</v>
      </c>
      <c r="J43" s="93">
        <v>37.1</v>
      </c>
      <c r="K43" s="93">
        <v>34.1</v>
      </c>
      <c r="L43" s="93">
        <v>31.7</v>
      </c>
      <c r="M43" s="93">
        <v>29.7</v>
      </c>
      <c r="N43" s="93">
        <v>28</v>
      </c>
      <c r="O43" s="93">
        <v>26.6</v>
      </c>
      <c r="P43" s="93">
        <v>25.3</v>
      </c>
      <c r="Q43" s="93">
        <v>24.3</v>
      </c>
      <c r="R43" s="93"/>
      <c r="S43" s="93"/>
      <c r="T43" s="93"/>
      <c r="U43" s="93"/>
      <c r="W43" s="92">
        <v>52</v>
      </c>
      <c r="X43" s="93">
        <v>261.3</v>
      </c>
      <c r="Y43" s="93">
        <v>133.5</v>
      </c>
      <c r="Z43" s="93">
        <v>90.9</v>
      </c>
      <c r="AA43" s="93">
        <v>69.7</v>
      </c>
      <c r="AB43" s="93">
        <v>57</v>
      </c>
      <c r="AC43" s="93">
        <v>48.5</v>
      </c>
      <c r="AD43" s="93">
        <v>42.5</v>
      </c>
      <c r="AE43" s="93">
        <v>38</v>
      </c>
      <c r="AF43" s="93">
        <v>34.5</v>
      </c>
      <c r="AG43" s="93">
        <v>31.7</v>
      </c>
      <c r="AH43" s="93">
        <v>29.5</v>
      </c>
      <c r="AI43" s="93">
        <v>27.6</v>
      </c>
      <c r="AJ43" s="93">
        <v>26.1</v>
      </c>
      <c r="AK43" s="93">
        <v>24.7</v>
      </c>
      <c r="AL43" s="93">
        <v>23.6</v>
      </c>
      <c r="AM43" s="93">
        <v>22.6</v>
      </c>
      <c r="AN43" s="93"/>
      <c r="AO43" s="93"/>
      <c r="AP43" s="93"/>
      <c r="AQ43" s="93"/>
    </row>
    <row r="44" spans="1:43" x14ac:dyDescent="0.25">
      <c r="A44" s="92">
        <v>53</v>
      </c>
      <c r="B44" s="93">
        <v>285.5</v>
      </c>
      <c r="C44" s="93">
        <v>145.9</v>
      </c>
      <c r="D44" s="93">
        <v>99.4</v>
      </c>
      <c r="E44" s="93">
        <v>76.2</v>
      </c>
      <c r="F44" s="93">
        <v>62.3</v>
      </c>
      <c r="G44" s="93">
        <v>53.1</v>
      </c>
      <c r="H44" s="93">
        <v>46.5</v>
      </c>
      <c r="I44" s="93">
        <v>41.6</v>
      </c>
      <c r="J44" s="93">
        <v>37.799999999999997</v>
      </c>
      <c r="K44" s="93">
        <v>34.799999999999997</v>
      </c>
      <c r="L44" s="93">
        <v>32.299999999999997</v>
      </c>
      <c r="M44" s="93">
        <v>30.3</v>
      </c>
      <c r="N44" s="93">
        <v>28.6</v>
      </c>
      <c r="O44" s="93">
        <v>27.1</v>
      </c>
      <c r="P44" s="93">
        <v>25.9</v>
      </c>
      <c r="Q44" s="93"/>
      <c r="R44" s="93"/>
      <c r="S44" s="93"/>
      <c r="T44" s="93"/>
      <c r="U44" s="93"/>
      <c r="W44" s="92">
        <v>53</v>
      </c>
      <c r="X44" s="93">
        <v>266</v>
      </c>
      <c r="Y44" s="93">
        <v>135.9</v>
      </c>
      <c r="Z44" s="93">
        <v>92.6</v>
      </c>
      <c r="AA44" s="93">
        <v>71</v>
      </c>
      <c r="AB44" s="93">
        <v>58.1</v>
      </c>
      <c r="AC44" s="93">
        <v>49.5</v>
      </c>
      <c r="AD44" s="93">
        <v>43.3</v>
      </c>
      <c r="AE44" s="93">
        <v>38.799999999999997</v>
      </c>
      <c r="AF44" s="93">
        <v>35.200000000000003</v>
      </c>
      <c r="AG44" s="93">
        <v>32.4</v>
      </c>
      <c r="AH44" s="93">
        <v>30.1</v>
      </c>
      <c r="AI44" s="93">
        <v>28.2</v>
      </c>
      <c r="AJ44" s="93">
        <v>26.6</v>
      </c>
      <c r="AK44" s="93">
        <v>25.3</v>
      </c>
      <c r="AL44" s="93">
        <v>24.1</v>
      </c>
      <c r="AM44" s="93"/>
      <c r="AN44" s="93"/>
      <c r="AO44" s="93"/>
      <c r="AP44" s="93"/>
      <c r="AQ44" s="93"/>
    </row>
    <row r="45" spans="1:43" x14ac:dyDescent="0.25">
      <c r="A45" s="92">
        <v>54</v>
      </c>
      <c r="B45" s="93">
        <v>290.39999999999998</v>
      </c>
      <c r="C45" s="93">
        <v>148.5</v>
      </c>
      <c r="D45" s="93">
        <v>101.2</v>
      </c>
      <c r="E45" s="93">
        <v>77.599999999999994</v>
      </c>
      <c r="F45" s="93">
        <v>63.5</v>
      </c>
      <c r="G45" s="93">
        <v>54.1</v>
      </c>
      <c r="H45" s="93">
        <v>47.4</v>
      </c>
      <c r="I45" s="93">
        <v>42.4</v>
      </c>
      <c r="J45" s="93">
        <v>38.5</v>
      </c>
      <c r="K45" s="93">
        <v>35.5</v>
      </c>
      <c r="L45" s="93">
        <v>33</v>
      </c>
      <c r="M45" s="93">
        <v>30.9</v>
      </c>
      <c r="N45" s="93">
        <v>29.2</v>
      </c>
      <c r="O45" s="93">
        <v>27.7</v>
      </c>
      <c r="P45" s="93"/>
      <c r="Q45" s="93"/>
      <c r="R45" s="93"/>
      <c r="S45" s="93"/>
      <c r="T45" s="93"/>
      <c r="U45" s="93"/>
      <c r="W45" s="92">
        <v>54</v>
      </c>
      <c r="X45" s="93">
        <v>270.8</v>
      </c>
      <c r="Y45" s="93">
        <v>138.4</v>
      </c>
      <c r="Z45" s="93">
        <v>94.3</v>
      </c>
      <c r="AA45" s="93">
        <v>72.3</v>
      </c>
      <c r="AB45" s="93">
        <v>59.2</v>
      </c>
      <c r="AC45" s="93">
        <v>50.4</v>
      </c>
      <c r="AD45" s="93">
        <v>44.2</v>
      </c>
      <c r="AE45" s="93">
        <v>39.5</v>
      </c>
      <c r="AF45" s="93">
        <v>35.9</v>
      </c>
      <c r="AG45" s="93">
        <v>33.1</v>
      </c>
      <c r="AH45" s="93">
        <v>30.7</v>
      </c>
      <c r="AI45" s="93">
        <v>28.8</v>
      </c>
      <c r="AJ45" s="93">
        <v>27.2</v>
      </c>
      <c r="AK45" s="93">
        <v>25.8</v>
      </c>
      <c r="AL45" s="93"/>
      <c r="AM45" s="93"/>
      <c r="AN45" s="93"/>
      <c r="AO45" s="93"/>
      <c r="AP45" s="93"/>
      <c r="AQ45" s="93"/>
    </row>
    <row r="46" spans="1:43" x14ac:dyDescent="0.25">
      <c r="A46" s="92">
        <v>55</v>
      </c>
      <c r="B46" s="93">
        <v>295.39999999999998</v>
      </c>
      <c r="C46" s="93">
        <v>151.1</v>
      </c>
      <c r="D46" s="93">
        <v>103</v>
      </c>
      <c r="E46" s="93">
        <v>79</v>
      </c>
      <c r="F46" s="93">
        <v>64.599999999999994</v>
      </c>
      <c r="G46" s="93">
        <v>55.1</v>
      </c>
      <c r="H46" s="93">
        <v>48.3</v>
      </c>
      <c r="I46" s="93">
        <v>43.2</v>
      </c>
      <c r="J46" s="93">
        <v>39.299999999999997</v>
      </c>
      <c r="K46" s="93">
        <v>36.200000000000003</v>
      </c>
      <c r="L46" s="93">
        <v>33.6</v>
      </c>
      <c r="M46" s="93">
        <v>31.5</v>
      </c>
      <c r="N46" s="93">
        <v>29.8</v>
      </c>
      <c r="O46" s="93"/>
      <c r="P46" s="93"/>
      <c r="Q46" s="93"/>
      <c r="R46" s="93"/>
      <c r="S46" s="93"/>
      <c r="T46" s="93"/>
      <c r="U46" s="93"/>
      <c r="W46" s="92">
        <v>55</v>
      </c>
      <c r="X46" s="93">
        <v>275.7</v>
      </c>
      <c r="Y46" s="93">
        <v>141</v>
      </c>
      <c r="Z46" s="93">
        <v>96.1</v>
      </c>
      <c r="AA46" s="93">
        <v>73.7</v>
      </c>
      <c r="AB46" s="93">
        <v>60.3</v>
      </c>
      <c r="AC46" s="93">
        <v>51.4</v>
      </c>
      <c r="AD46" s="93">
        <v>45.1</v>
      </c>
      <c r="AE46" s="93">
        <v>40.299999999999997</v>
      </c>
      <c r="AF46" s="93">
        <v>36.700000000000003</v>
      </c>
      <c r="AG46" s="93">
        <v>33.799999999999997</v>
      </c>
      <c r="AH46" s="93">
        <v>31.4</v>
      </c>
      <c r="AI46" s="93">
        <v>29.4</v>
      </c>
      <c r="AJ46" s="93">
        <v>27.8</v>
      </c>
      <c r="AK46" s="93"/>
      <c r="AL46" s="93"/>
      <c r="AM46" s="93"/>
      <c r="AN46" s="93"/>
      <c r="AO46" s="93"/>
      <c r="AP46" s="93"/>
      <c r="AQ46" s="93"/>
    </row>
    <row r="47" spans="1:43" x14ac:dyDescent="0.25">
      <c r="A47" s="92">
        <v>56</v>
      </c>
      <c r="B47" s="93">
        <v>300.5</v>
      </c>
      <c r="C47" s="93">
        <v>153.69999999999999</v>
      </c>
      <c r="D47" s="93">
        <v>104.8</v>
      </c>
      <c r="E47" s="93">
        <v>80.400000000000006</v>
      </c>
      <c r="F47" s="93">
        <v>65.8</v>
      </c>
      <c r="G47" s="93">
        <v>56.1</v>
      </c>
      <c r="H47" s="93">
        <v>49.2</v>
      </c>
      <c r="I47" s="93">
        <v>44.1</v>
      </c>
      <c r="J47" s="93">
        <v>40.1</v>
      </c>
      <c r="K47" s="93">
        <v>36.9</v>
      </c>
      <c r="L47" s="93">
        <v>34.299999999999997</v>
      </c>
      <c r="M47" s="93">
        <v>32.200000000000003</v>
      </c>
      <c r="N47" s="93"/>
      <c r="O47" s="93"/>
      <c r="P47" s="93"/>
      <c r="Q47" s="93"/>
      <c r="R47" s="93"/>
      <c r="S47" s="93"/>
      <c r="T47" s="93"/>
      <c r="U47" s="93"/>
      <c r="W47" s="92">
        <v>56</v>
      </c>
      <c r="X47" s="93">
        <v>280.7</v>
      </c>
      <c r="Y47" s="93">
        <v>143.6</v>
      </c>
      <c r="Z47" s="93">
        <v>97.9</v>
      </c>
      <c r="AA47" s="93">
        <v>75.099999999999994</v>
      </c>
      <c r="AB47" s="93">
        <v>61.5</v>
      </c>
      <c r="AC47" s="93">
        <v>52.4</v>
      </c>
      <c r="AD47" s="93">
        <v>46</v>
      </c>
      <c r="AE47" s="93">
        <v>41.2</v>
      </c>
      <c r="AF47" s="93">
        <v>37.4</v>
      </c>
      <c r="AG47" s="93">
        <v>34.5</v>
      </c>
      <c r="AH47" s="93">
        <v>32</v>
      </c>
      <c r="AI47" s="93">
        <v>30.1</v>
      </c>
      <c r="AJ47" s="93"/>
      <c r="AK47" s="93"/>
      <c r="AL47" s="93"/>
      <c r="AM47" s="93"/>
      <c r="AN47" s="93"/>
      <c r="AO47" s="93"/>
      <c r="AP47" s="93"/>
      <c r="AQ47" s="93"/>
    </row>
    <row r="48" spans="1:43" x14ac:dyDescent="0.25">
      <c r="A48" s="92">
        <v>57</v>
      </c>
      <c r="B48" s="93">
        <v>305.7</v>
      </c>
      <c r="C48" s="93">
        <v>156.4</v>
      </c>
      <c r="D48" s="93">
        <v>106.7</v>
      </c>
      <c r="E48" s="93">
        <v>81.900000000000006</v>
      </c>
      <c r="F48" s="93">
        <v>67.099999999999994</v>
      </c>
      <c r="G48" s="93">
        <v>57.2</v>
      </c>
      <c r="H48" s="93">
        <v>50.2</v>
      </c>
      <c r="I48" s="93">
        <v>44.9</v>
      </c>
      <c r="J48" s="93">
        <v>40.9</v>
      </c>
      <c r="K48" s="93">
        <v>37.6</v>
      </c>
      <c r="L48" s="93">
        <v>35</v>
      </c>
      <c r="M48" s="93"/>
      <c r="N48" s="93"/>
      <c r="O48" s="93"/>
      <c r="P48" s="93"/>
      <c r="Q48" s="93"/>
      <c r="R48" s="93"/>
      <c r="S48" s="93"/>
      <c r="T48" s="93"/>
      <c r="U48" s="93"/>
      <c r="W48" s="92">
        <v>57</v>
      </c>
      <c r="X48" s="93">
        <v>285.7</v>
      </c>
      <c r="Y48" s="93">
        <v>146.19999999999999</v>
      </c>
      <c r="Z48" s="93">
        <v>99.7</v>
      </c>
      <c r="AA48" s="93">
        <v>76.599999999999994</v>
      </c>
      <c r="AB48" s="93">
        <v>62.7</v>
      </c>
      <c r="AC48" s="93">
        <v>53.5</v>
      </c>
      <c r="AD48" s="93">
        <v>46.9</v>
      </c>
      <c r="AE48" s="93">
        <v>42</v>
      </c>
      <c r="AF48" s="93">
        <v>38.200000000000003</v>
      </c>
      <c r="AG48" s="93">
        <v>35.200000000000003</v>
      </c>
      <c r="AH48" s="93">
        <v>32.799999999999997</v>
      </c>
      <c r="AI48" s="93"/>
      <c r="AJ48" s="93"/>
      <c r="AK48" s="93"/>
      <c r="AL48" s="93"/>
      <c r="AM48" s="93"/>
      <c r="AN48" s="93"/>
      <c r="AO48" s="93"/>
      <c r="AP48" s="93"/>
      <c r="AQ48" s="93"/>
    </row>
    <row r="49" spans="1:43" x14ac:dyDescent="0.25">
      <c r="A49" s="92">
        <v>58</v>
      </c>
      <c r="B49" s="93">
        <v>311</v>
      </c>
      <c r="C49" s="93">
        <v>159.19999999999999</v>
      </c>
      <c r="D49" s="93">
        <v>108.6</v>
      </c>
      <c r="E49" s="93">
        <v>83.4</v>
      </c>
      <c r="F49" s="93">
        <v>68.3</v>
      </c>
      <c r="G49" s="93">
        <v>58.3</v>
      </c>
      <c r="H49" s="93">
        <v>51.1</v>
      </c>
      <c r="I49" s="93">
        <v>45.8</v>
      </c>
      <c r="J49" s="93">
        <v>41.7</v>
      </c>
      <c r="K49" s="93">
        <v>38.4</v>
      </c>
      <c r="L49" s="93"/>
      <c r="M49" s="93"/>
      <c r="N49" s="93"/>
      <c r="O49" s="93"/>
      <c r="P49" s="93"/>
      <c r="Q49" s="93"/>
      <c r="R49" s="93"/>
      <c r="S49" s="93"/>
      <c r="T49" s="93"/>
      <c r="U49" s="93"/>
      <c r="W49" s="92">
        <v>58</v>
      </c>
      <c r="X49" s="93">
        <v>290.89999999999998</v>
      </c>
      <c r="Y49" s="93">
        <v>148.9</v>
      </c>
      <c r="Z49" s="93">
        <v>101.6</v>
      </c>
      <c r="AA49" s="93">
        <v>78</v>
      </c>
      <c r="AB49" s="93">
        <v>63.9</v>
      </c>
      <c r="AC49" s="93">
        <v>54.5</v>
      </c>
      <c r="AD49" s="93">
        <v>47.8</v>
      </c>
      <c r="AE49" s="93">
        <v>42.8</v>
      </c>
      <c r="AF49" s="93">
        <v>39</v>
      </c>
      <c r="AG49" s="93">
        <v>36</v>
      </c>
      <c r="AH49" s="93"/>
      <c r="AI49" s="93"/>
      <c r="AJ49" s="93"/>
      <c r="AK49" s="93"/>
      <c r="AL49" s="93"/>
      <c r="AM49" s="93"/>
      <c r="AN49" s="93"/>
      <c r="AO49" s="93"/>
      <c r="AP49" s="93"/>
      <c r="AQ49" s="93"/>
    </row>
    <row r="50" spans="1:43" x14ac:dyDescent="0.25">
      <c r="A50" s="92">
        <v>59</v>
      </c>
      <c r="B50" s="93">
        <v>316.3</v>
      </c>
      <c r="C50" s="93">
        <v>162</v>
      </c>
      <c r="D50" s="93">
        <v>110.6</v>
      </c>
      <c r="E50" s="93">
        <v>84.9</v>
      </c>
      <c r="F50" s="93">
        <v>69.599999999999994</v>
      </c>
      <c r="G50" s="93">
        <v>59.4</v>
      </c>
      <c r="H50" s="93">
        <v>52.1</v>
      </c>
      <c r="I50" s="93">
        <v>46.7</v>
      </c>
      <c r="J50" s="93">
        <v>42.5</v>
      </c>
      <c r="K50" s="93"/>
      <c r="L50" s="93"/>
      <c r="M50" s="93"/>
      <c r="N50" s="93"/>
      <c r="O50" s="93"/>
      <c r="P50" s="93"/>
      <c r="Q50" s="93"/>
      <c r="R50" s="93"/>
      <c r="S50" s="93"/>
      <c r="T50" s="93"/>
      <c r="U50" s="93"/>
      <c r="W50" s="92">
        <v>59</v>
      </c>
      <c r="X50" s="93">
        <v>296.2</v>
      </c>
      <c r="Y50" s="93">
        <v>151.69999999999999</v>
      </c>
      <c r="Z50" s="93">
        <v>103.5</v>
      </c>
      <c r="AA50" s="93">
        <v>79.5</v>
      </c>
      <c r="AB50" s="93">
        <v>65.099999999999994</v>
      </c>
      <c r="AC50" s="93">
        <v>55.6</v>
      </c>
      <c r="AD50" s="93">
        <v>48.8</v>
      </c>
      <c r="AE50" s="93">
        <v>43.7</v>
      </c>
      <c r="AF50" s="93">
        <v>39.799999999999997</v>
      </c>
      <c r="AG50" s="93"/>
      <c r="AH50" s="93"/>
      <c r="AI50" s="93"/>
      <c r="AJ50" s="93"/>
      <c r="AK50" s="93"/>
      <c r="AL50" s="93"/>
      <c r="AM50" s="93"/>
      <c r="AN50" s="93"/>
      <c r="AO50" s="93"/>
      <c r="AP50" s="93"/>
      <c r="AQ50" s="93"/>
    </row>
    <row r="51" spans="1:43" x14ac:dyDescent="0.25">
      <c r="A51" s="92">
        <v>60</v>
      </c>
      <c r="B51" s="93">
        <v>321.8</v>
      </c>
      <c r="C51" s="93">
        <v>164.8</v>
      </c>
      <c r="D51" s="93">
        <v>112.5</v>
      </c>
      <c r="E51" s="93">
        <v>86.5</v>
      </c>
      <c r="F51" s="93">
        <v>70.900000000000006</v>
      </c>
      <c r="G51" s="93">
        <v>60.5</v>
      </c>
      <c r="H51" s="93">
        <v>53.1</v>
      </c>
      <c r="I51" s="93">
        <v>47.6</v>
      </c>
      <c r="J51" s="93"/>
      <c r="K51" s="93"/>
      <c r="L51" s="93"/>
      <c r="M51" s="93"/>
      <c r="N51" s="93"/>
      <c r="O51" s="93"/>
      <c r="P51" s="93"/>
      <c r="Q51" s="93"/>
      <c r="R51" s="93"/>
      <c r="S51" s="93"/>
      <c r="T51" s="93"/>
      <c r="U51" s="93"/>
      <c r="W51" s="92">
        <v>60</v>
      </c>
      <c r="X51" s="93">
        <v>301.60000000000002</v>
      </c>
      <c r="Y51" s="93">
        <v>154.5</v>
      </c>
      <c r="Z51" s="93">
        <v>105.5</v>
      </c>
      <c r="AA51" s="93">
        <v>81</v>
      </c>
      <c r="AB51" s="93">
        <v>66.400000000000006</v>
      </c>
      <c r="AC51" s="93">
        <v>56.7</v>
      </c>
      <c r="AD51" s="93">
        <v>49.8</v>
      </c>
      <c r="AE51" s="93">
        <v>44.7</v>
      </c>
      <c r="AF51" s="93"/>
      <c r="AG51" s="93"/>
      <c r="AH51" s="93"/>
      <c r="AI51" s="93"/>
      <c r="AJ51" s="93"/>
      <c r="AK51" s="93"/>
      <c r="AL51" s="93"/>
      <c r="AM51" s="93"/>
      <c r="AN51" s="93"/>
      <c r="AO51" s="93"/>
      <c r="AP51" s="93"/>
      <c r="AQ51" s="93"/>
    </row>
    <row r="52" spans="1:43" x14ac:dyDescent="0.25">
      <c r="A52" s="92">
        <v>61</v>
      </c>
      <c r="B52" s="93">
        <v>327.39999999999998</v>
      </c>
      <c r="C52" s="93">
        <v>167.7</v>
      </c>
      <c r="D52" s="93">
        <v>114.6</v>
      </c>
      <c r="E52" s="93">
        <v>88</v>
      </c>
      <c r="F52" s="93">
        <v>72.2</v>
      </c>
      <c r="G52" s="93">
        <v>61.6</v>
      </c>
      <c r="H52" s="93">
        <v>54.2</v>
      </c>
      <c r="I52" s="93"/>
      <c r="J52" s="93"/>
      <c r="K52" s="93"/>
      <c r="L52" s="93"/>
      <c r="M52" s="93"/>
      <c r="N52" s="93"/>
      <c r="O52" s="93"/>
      <c r="P52" s="93"/>
      <c r="Q52" s="93"/>
      <c r="R52" s="93"/>
      <c r="S52" s="93"/>
      <c r="T52" s="93"/>
      <c r="U52" s="93"/>
      <c r="W52" s="92">
        <v>61</v>
      </c>
      <c r="X52" s="93">
        <v>307.2</v>
      </c>
      <c r="Y52" s="93">
        <v>157.4</v>
      </c>
      <c r="Z52" s="93">
        <v>107.5</v>
      </c>
      <c r="AA52" s="93">
        <v>82.6</v>
      </c>
      <c r="AB52" s="93">
        <v>67.7</v>
      </c>
      <c r="AC52" s="93">
        <v>57.8</v>
      </c>
      <c r="AD52" s="93">
        <v>50.9</v>
      </c>
      <c r="AE52" s="93"/>
      <c r="AF52" s="93"/>
      <c r="AG52" s="93"/>
      <c r="AH52" s="93"/>
      <c r="AI52" s="93"/>
      <c r="AJ52" s="93"/>
      <c r="AK52" s="93"/>
      <c r="AL52" s="93"/>
      <c r="AM52" s="93"/>
      <c r="AN52" s="93"/>
      <c r="AO52" s="93"/>
      <c r="AP52" s="93"/>
      <c r="AQ52" s="93"/>
    </row>
    <row r="53" spans="1:43" x14ac:dyDescent="0.25">
      <c r="A53" s="92">
        <v>62</v>
      </c>
      <c r="B53" s="93">
        <v>333.1</v>
      </c>
      <c r="C53" s="93">
        <v>170.7</v>
      </c>
      <c r="D53" s="93">
        <v>116.6</v>
      </c>
      <c r="E53" s="93">
        <v>89.7</v>
      </c>
      <c r="F53" s="93">
        <v>73.5</v>
      </c>
      <c r="G53" s="93">
        <v>62.9</v>
      </c>
      <c r="H53" s="93"/>
      <c r="I53" s="93"/>
      <c r="J53" s="93"/>
      <c r="K53" s="93"/>
      <c r="L53" s="93"/>
      <c r="M53" s="93"/>
      <c r="N53" s="93"/>
      <c r="O53" s="93"/>
      <c r="P53" s="93"/>
      <c r="Q53" s="93"/>
      <c r="R53" s="93"/>
      <c r="S53" s="93"/>
      <c r="T53" s="93"/>
      <c r="U53" s="93"/>
      <c r="W53" s="92">
        <v>62</v>
      </c>
      <c r="X53" s="93">
        <v>312.89999999999998</v>
      </c>
      <c r="Y53" s="93">
        <v>160.4</v>
      </c>
      <c r="Z53" s="93">
        <v>109.6</v>
      </c>
      <c r="AA53" s="93">
        <v>84.2</v>
      </c>
      <c r="AB53" s="93">
        <v>69.099999999999994</v>
      </c>
      <c r="AC53" s="93">
        <v>59.1</v>
      </c>
      <c r="AD53" s="93"/>
      <c r="AE53" s="93"/>
      <c r="AF53" s="93"/>
      <c r="AG53" s="93"/>
      <c r="AH53" s="93"/>
      <c r="AI53" s="93"/>
      <c r="AJ53" s="93"/>
      <c r="AK53" s="93"/>
      <c r="AL53" s="93"/>
      <c r="AM53" s="93"/>
      <c r="AN53" s="93"/>
      <c r="AO53" s="93"/>
      <c r="AP53" s="93"/>
      <c r="AQ53" s="93"/>
    </row>
    <row r="54" spans="1:43" x14ac:dyDescent="0.25">
      <c r="A54" s="92">
        <v>63</v>
      </c>
      <c r="B54" s="93">
        <v>339</v>
      </c>
      <c r="C54" s="93">
        <v>173.8</v>
      </c>
      <c r="D54" s="93">
        <v>118.8</v>
      </c>
      <c r="E54" s="93">
        <v>91.4</v>
      </c>
      <c r="F54" s="93">
        <v>75</v>
      </c>
      <c r="G54" s="93"/>
      <c r="H54" s="93"/>
      <c r="I54" s="93"/>
      <c r="J54" s="93"/>
      <c r="K54" s="93"/>
      <c r="L54" s="93"/>
      <c r="M54" s="93"/>
      <c r="N54" s="93"/>
      <c r="O54" s="93"/>
      <c r="P54" s="93"/>
      <c r="Q54" s="93"/>
      <c r="R54" s="93"/>
      <c r="S54" s="93"/>
      <c r="T54" s="93"/>
      <c r="U54" s="93"/>
      <c r="W54" s="92">
        <v>63</v>
      </c>
      <c r="X54" s="93">
        <v>318.89999999999998</v>
      </c>
      <c r="Y54" s="93">
        <v>163.5</v>
      </c>
      <c r="Z54" s="93">
        <v>111.8</v>
      </c>
      <c r="AA54" s="93">
        <v>85.9</v>
      </c>
      <c r="AB54" s="93">
        <v>70.599999999999994</v>
      </c>
      <c r="AC54" s="93"/>
      <c r="AD54" s="93"/>
      <c r="AE54" s="93"/>
      <c r="AF54" s="93"/>
      <c r="AG54" s="93"/>
      <c r="AH54" s="93"/>
      <c r="AI54" s="93"/>
      <c r="AJ54" s="93"/>
      <c r="AK54" s="93"/>
      <c r="AL54" s="93"/>
      <c r="AM54" s="93"/>
      <c r="AN54" s="93"/>
      <c r="AO54" s="93"/>
      <c r="AP54" s="93"/>
      <c r="AQ54" s="93"/>
    </row>
    <row r="55" spans="1:43" x14ac:dyDescent="0.25">
      <c r="A55" s="92">
        <v>64</v>
      </c>
      <c r="B55" s="93">
        <v>345.3</v>
      </c>
      <c r="C55" s="93">
        <v>177.1</v>
      </c>
      <c r="D55" s="93">
        <v>121.1</v>
      </c>
      <c r="E55" s="93">
        <v>93.2</v>
      </c>
      <c r="F55" s="93"/>
      <c r="G55" s="93"/>
      <c r="H55" s="93"/>
      <c r="I55" s="93"/>
      <c r="J55" s="93"/>
      <c r="K55" s="93"/>
      <c r="L55" s="93"/>
      <c r="M55" s="93"/>
      <c r="N55" s="93"/>
      <c r="O55" s="93"/>
      <c r="P55" s="93"/>
      <c r="Q55" s="93"/>
      <c r="R55" s="93"/>
      <c r="S55" s="93"/>
      <c r="T55" s="93"/>
      <c r="U55" s="93"/>
      <c r="W55" s="92">
        <v>64</v>
      </c>
      <c r="X55" s="93">
        <v>325.2</v>
      </c>
      <c r="Y55" s="93">
        <v>166.8</v>
      </c>
      <c r="Z55" s="93">
        <v>114.1</v>
      </c>
      <c r="AA55" s="93">
        <v>87.8</v>
      </c>
      <c r="AB55" s="93"/>
      <c r="AC55" s="93"/>
      <c r="AD55" s="93"/>
      <c r="AE55" s="93"/>
      <c r="AF55" s="93"/>
      <c r="AG55" s="93"/>
      <c r="AH55" s="93"/>
      <c r="AI55" s="93"/>
      <c r="AJ55" s="93"/>
      <c r="AK55" s="93"/>
      <c r="AL55" s="93"/>
      <c r="AM55" s="93"/>
      <c r="AN55" s="93"/>
      <c r="AO55" s="93"/>
      <c r="AP55" s="93"/>
      <c r="AQ55" s="93"/>
    </row>
    <row r="56" spans="1:43" x14ac:dyDescent="0.25">
      <c r="A56" s="92">
        <v>65</v>
      </c>
      <c r="B56" s="93">
        <v>352</v>
      </c>
      <c r="C56" s="93">
        <v>180.6</v>
      </c>
      <c r="D56" s="93">
        <v>123.6</v>
      </c>
      <c r="E56" s="93"/>
      <c r="F56" s="93"/>
      <c r="G56" s="93"/>
      <c r="H56" s="93"/>
      <c r="I56" s="93"/>
      <c r="J56" s="93"/>
      <c r="K56" s="93"/>
      <c r="L56" s="93"/>
      <c r="M56" s="93"/>
      <c r="N56" s="93"/>
      <c r="O56" s="93"/>
      <c r="P56" s="93"/>
      <c r="Q56" s="93"/>
      <c r="R56" s="93"/>
      <c r="S56" s="93"/>
      <c r="T56" s="93"/>
      <c r="U56" s="93"/>
      <c r="W56" s="92">
        <v>65</v>
      </c>
      <c r="X56" s="93">
        <v>332</v>
      </c>
      <c r="Y56" s="93">
        <v>170.3</v>
      </c>
      <c r="Z56" s="93">
        <v>116.5</v>
      </c>
      <c r="AA56" s="93"/>
      <c r="AB56" s="93"/>
      <c r="AC56" s="93"/>
      <c r="AD56" s="93"/>
      <c r="AE56" s="93"/>
      <c r="AF56" s="93"/>
      <c r="AG56" s="93"/>
      <c r="AH56" s="93"/>
      <c r="AI56" s="93"/>
      <c r="AJ56" s="93"/>
      <c r="AK56" s="93"/>
      <c r="AL56" s="93"/>
      <c r="AM56" s="93"/>
      <c r="AN56" s="93"/>
      <c r="AO56" s="93"/>
      <c r="AP56" s="93"/>
      <c r="AQ56" s="93"/>
    </row>
    <row r="57" spans="1:43" x14ac:dyDescent="0.25">
      <c r="A57" s="92">
        <v>66</v>
      </c>
      <c r="B57" s="93">
        <v>358.7</v>
      </c>
      <c r="C57" s="93">
        <v>184.1</v>
      </c>
      <c r="D57" s="93"/>
      <c r="E57" s="93"/>
      <c r="F57" s="93"/>
      <c r="G57" s="93"/>
      <c r="H57" s="93"/>
      <c r="I57" s="93"/>
      <c r="J57" s="93"/>
      <c r="K57" s="93"/>
      <c r="L57" s="93"/>
      <c r="M57" s="93"/>
      <c r="N57" s="93"/>
      <c r="O57" s="93"/>
      <c r="P57" s="93"/>
      <c r="Q57" s="93"/>
      <c r="R57" s="93"/>
      <c r="S57" s="93"/>
      <c r="T57" s="93"/>
      <c r="U57" s="93"/>
      <c r="W57" s="92">
        <v>66</v>
      </c>
      <c r="X57" s="93">
        <v>338.7</v>
      </c>
      <c r="Y57" s="93">
        <v>173.8</v>
      </c>
      <c r="Z57" s="93"/>
      <c r="AA57" s="93"/>
      <c r="AB57" s="93"/>
      <c r="AC57" s="93"/>
      <c r="AD57" s="93"/>
      <c r="AE57" s="93"/>
      <c r="AF57" s="93"/>
      <c r="AG57" s="93"/>
      <c r="AH57" s="93"/>
      <c r="AI57" s="93"/>
      <c r="AJ57" s="93"/>
      <c r="AK57" s="93"/>
      <c r="AL57" s="93"/>
      <c r="AM57" s="93"/>
      <c r="AN57" s="93"/>
      <c r="AO57" s="93"/>
      <c r="AP57" s="93"/>
      <c r="AQ57" s="93"/>
    </row>
    <row r="58" spans="1:43" x14ac:dyDescent="0.25">
      <c r="A58" s="92"/>
      <c r="B58" s="93">
        <v>365.7</v>
      </c>
      <c r="C58" s="93"/>
      <c r="D58" s="93"/>
      <c r="E58" s="93"/>
      <c r="F58" s="93"/>
      <c r="G58" s="93"/>
      <c r="H58" s="93"/>
      <c r="I58" s="93"/>
      <c r="J58" s="93"/>
      <c r="K58" s="93"/>
      <c r="L58" s="93"/>
      <c r="M58" s="93"/>
      <c r="N58" s="93"/>
      <c r="O58" s="93"/>
      <c r="P58" s="93"/>
      <c r="Q58" s="93"/>
      <c r="R58" s="93"/>
      <c r="S58" s="93"/>
      <c r="T58" s="93"/>
      <c r="U58" s="93"/>
      <c r="W58" s="92">
        <v>67</v>
      </c>
      <c r="X58" s="93">
        <v>345.8</v>
      </c>
      <c r="Y58" s="93"/>
      <c r="Z58" s="93"/>
      <c r="AA58" s="93"/>
      <c r="AB58" s="93"/>
      <c r="AC58" s="93"/>
      <c r="AD58" s="93"/>
      <c r="AE58" s="93"/>
      <c r="AF58" s="93"/>
      <c r="AG58" s="93"/>
      <c r="AH58" s="93"/>
      <c r="AI58" s="93"/>
      <c r="AJ58" s="93"/>
      <c r="AK58" s="93"/>
      <c r="AL58" s="93"/>
      <c r="AM58" s="93"/>
      <c r="AN58" s="93"/>
      <c r="AO58" s="93"/>
      <c r="AP58" s="93"/>
      <c r="AQ58" s="93"/>
    </row>
  </sheetData>
  <mergeCells count="2">
    <mergeCell ref="B5:U5"/>
    <mergeCell ref="X5:AQ5"/>
  </mergeCells>
  <conditionalFormatting sqref="A7:A58">
    <cfRule type="expression" dxfId="7" priority="5" stopIfTrue="1">
      <formula>MOD(ROW(),2)=0</formula>
    </cfRule>
    <cfRule type="expression" dxfId="6" priority="6" stopIfTrue="1">
      <formula>MOD(ROW(),2)&lt;&gt;0</formula>
    </cfRule>
  </conditionalFormatting>
  <conditionalFormatting sqref="B7:U58">
    <cfRule type="expression" dxfId="5" priority="1" stopIfTrue="1">
      <formula>MOD(ROW(),2)=0</formula>
    </cfRule>
    <cfRule type="expression" dxfId="4" priority="2" stopIfTrue="1">
      <formula>MOD(ROW(),2)&lt;&gt;0</formula>
    </cfRule>
  </conditionalFormatting>
  <conditionalFormatting sqref="W7:W58">
    <cfRule type="expression" dxfId="3" priority="9" stopIfTrue="1">
      <formula>MOD(ROW(),2)=0</formula>
    </cfRule>
    <cfRule type="expression" dxfId="2" priority="10" stopIfTrue="1">
      <formula>MOD(ROW(),2)&lt;&gt;0</formula>
    </cfRule>
  </conditionalFormatting>
  <conditionalFormatting sqref="X7:AQ58">
    <cfRule type="expression" dxfId="1" priority="3" stopIfTrue="1">
      <formula>MOD(ROW(),2)=0</formula>
    </cfRule>
    <cfRule type="expression" dxfId="0" priority="4" stopIfTrue="1">
      <formula>MOD(ROW(),2)&lt;&gt;0</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161A3-29C7-492F-88F9-1C705BD819C2}">
  <sheetPr codeName="Sheet13"/>
  <dimension ref="A2:N25"/>
  <sheetViews>
    <sheetView workbookViewId="0">
      <selection activeCell="C16" sqref="C16"/>
    </sheetView>
  </sheetViews>
  <sheetFormatPr defaultColWidth="9.140625" defaultRowHeight="15" x14ac:dyDescent="0.25"/>
  <cols>
    <col min="1" max="1" width="18.42578125" style="16" customWidth="1"/>
    <col min="2" max="16384" width="9.140625" style="16"/>
  </cols>
  <sheetData>
    <row r="2" spans="1:14" x14ac:dyDescent="0.25">
      <c r="A2" s="213" t="s">
        <v>172</v>
      </c>
      <c r="B2" s="213"/>
      <c r="C2" s="213"/>
      <c r="D2" s="213"/>
      <c r="E2" s="213"/>
      <c r="F2" s="213"/>
      <c r="G2" s="213"/>
      <c r="H2" s="213"/>
      <c r="I2" s="213"/>
      <c r="J2" s="213"/>
      <c r="K2" s="213"/>
      <c r="L2" s="213"/>
      <c r="M2" s="213"/>
      <c r="N2" s="213"/>
    </row>
    <row r="3" spans="1:14" x14ac:dyDescent="0.25">
      <c r="A3" s="214" t="s">
        <v>173</v>
      </c>
      <c r="B3" s="214"/>
      <c r="C3" s="214"/>
      <c r="D3" s="214"/>
      <c r="E3" s="214"/>
      <c r="F3" s="214"/>
      <c r="G3" s="214"/>
      <c r="H3" s="214"/>
      <c r="I3" s="214"/>
      <c r="J3" s="214"/>
      <c r="K3" s="214"/>
      <c r="L3" s="214"/>
      <c r="M3" s="214"/>
      <c r="N3" s="214"/>
    </row>
    <row r="4" spans="1:14" x14ac:dyDescent="0.25">
      <c r="A4" s="214" t="s">
        <v>174</v>
      </c>
      <c r="B4" s="214"/>
      <c r="C4" s="214"/>
      <c r="D4" s="214"/>
      <c r="E4" s="214"/>
      <c r="F4" s="214"/>
      <c r="G4" s="214"/>
      <c r="H4" s="214"/>
      <c r="I4" s="214"/>
      <c r="J4" s="214"/>
      <c r="K4" s="214"/>
      <c r="L4" s="214"/>
      <c r="M4" s="214"/>
      <c r="N4" s="214"/>
    </row>
    <row r="5" spans="1:14" ht="15.75" thickBot="1" x14ac:dyDescent="0.3">
      <c r="A5" s="214" t="s">
        <v>175</v>
      </c>
      <c r="B5" s="214"/>
      <c r="C5" s="214"/>
      <c r="D5" s="214"/>
      <c r="E5" s="214"/>
      <c r="F5" s="214"/>
      <c r="G5" s="214"/>
      <c r="H5" s="214"/>
      <c r="I5" s="214"/>
      <c r="J5" s="214"/>
      <c r="K5" s="214"/>
      <c r="L5" s="214"/>
      <c r="M5" s="214"/>
      <c r="N5" s="214"/>
    </row>
    <row r="6" spans="1:14" ht="15.75" thickBot="1" x14ac:dyDescent="0.3">
      <c r="A6" s="215" t="s">
        <v>176</v>
      </c>
      <c r="B6" s="216"/>
      <c r="C6" s="216"/>
      <c r="D6" s="216"/>
      <c r="E6" s="216"/>
      <c r="F6" s="216"/>
      <c r="G6" s="216"/>
      <c r="H6" s="216"/>
      <c r="I6" s="216"/>
      <c r="J6" s="216"/>
      <c r="K6" s="216"/>
      <c r="L6" s="216"/>
      <c r="M6" s="217"/>
      <c r="N6" s="52"/>
    </row>
    <row r="7" spans="1:14" ht="29.25" customHeight="1" thickBot="1" x14ac:dyDescent="0.3">
      <c r="A7" s="69" t="s">
        <v>177</v>
      </c>
      <c r="B7" s="50">
        <v>0</v>
      </c>
      <c r="C7" s="50">
        <v>1</v>
      </c>
      <c r="D7" s="50">
        <v>2</v>
      </c>
      <c r="E7" s="50">
        <v>3</v>
      </c>
      <c r="F7" s="50">
        <v>4</v>
      </c>
      <c r="G7" s="50">
        <v>5</v>
      </c>
      <c r="H7" s="50">
        <v>6</v>
      </c>
      <c r="I7" s="50">
        <v>7</v>
      </c>
      <c r="J7" s="50">
        <v>8</v>
      </c>
      <c r="K7" s="50">
        <v>9</v>
      </c>
      <c r="L7" s="50">
        <v>10</v>
      </c>
      <c r="M7" s="50">
        <v>11</v>
      </c>
      <c r="N7" s="51"/>
    </row>
    <row r="8" spans="1:14" ht="15.75" thickBot="1" x14ac:dyDescent="0.3">
      <c r="A8" s="106">
        <v>0</v>
      </c>
      <c r="B8" s="107">
        <v>1</v>
      </c>
      <c r="C8" s="107">
        <v>0.995</v>
      </c>
      <c r="D8" s="107">
        <v>0.99099999999999999</v>
      </c>
      <c r="E8" s="107">
        <v>0.98599999999999999</v>
      </c>
      <c r="F8" s="107">
        <v>0.98199999999999998</v>
      </c>
      <c r="G8" s="107">
        <v>0.97699999999999998</v>
      </c>
      <c r="H8" s="107">
        <v>0.97299999999999998</v>
      </c>
      <c r="I8" s="107">
        <v>0.96799999999999997</v>
      </c>
      <c r="J8" s="107">
        <v>0.96299999999999997</v>
      </c>
      <c r="K8" s="107">
        <v>0.95899999999999996</v>
      </c>
      <c r="L8" s="107">
        <v>0.95399999999999996</v>
      </c>
      <c r="M8" s="107">
        <v>0.95</v>
      </c>
      <c r="N8" s="51"/>
    </row>
    <row r="9" spans="1:14" ht="15.75" thickBot="1" x14ac:dyDescent="0.3">
      <c r="A9" s="106">
        <v>1</v>
      </c>
      <c r="B9" s="107">
        <v>0.94499999999999995</v>
      </c>
      <c r="C9" s="107">
        <v>0.94099999999999995</v>
      </c>
      <c r="D9" s="107">
        <v>0.93700000000000006</v>
      </c>
      <c r="E9" s="107">
        <v>0.93300000000000005</v>
      </c>
      <c r="F9" s="107">
        <v>0.92800000000000005</v>
      </c>
      <c r="G9" s="107">
        <v>0.92400000000000004</v>
      </c>
      <c r="H9" s="107">
        <v>0.92</v>
      </c>
      <c r="I9" s="107">
        <v>0.91600000000000004</v>
      </c>
      <c r="J9" s="107">
        <v>0.91200000000000003</v>
      </c>
      <c r="K9" s="107">
        <v>0.90700000000000003</v>
      </c>
      <c r="L9" s="107">
        <v>0.90300000000000002</v>
      </c>
      <c r="M9" s="107">
        <v>0.89900000000000002</v>
      </c>
      <c r="N9" s="51"/>
    </row>
    <row r="10" spans="1:14" ht="15.75" thickBot="1" x14ac:dyDescent="0.3">
      <c r="A10" s="106">
        <v>2</v>
      </c>
      <c r="B10" s="107">
        <v>0.89500000000000002</v>
      </c>
      <c r="C10" s="107">
        <v>0.89100000000000001</v>
      </c>
      <c r="D10" s="107">
        <v>0.88700000000000001</v>
      </c>
      <c r="E10" s="107">
        <v>0.88300000000000001</v>
      </c>
      <c r="F10" s="107">
        <v>0.88</v>
      </c>
      <c r="G10" s="107">
        <v>0.876</v>
      </c>
      <c r="H10" s="107">
        <v>0.872</v>
      </c>
      <c r="I10" s="107">
        <v>0.86799999999999999</v>
      </c>
      <c r="J10" s="107">
        <v>0.86399999999999999</v>
      </c>
      <c r="K10" s="107">
        <v>0.86</v>
      </c>
      <c r="L10" s="107">
        <v>0.85699999999999998</v>
      </c>
      <c r="M10" s="107">
        <v>0.85299999999999998</v>
      </c>
      <c r="N10" s="51"/>
    </row>
    <row r="11" spans="1:14" ht="15.75" thickBot="1" x14ac:dyDescent="0.3">
      <c r="A11" s="106">
        <v>3</v>
      </c>
      <c r="B11" s="107">
        <v>0.84899999999999998</v>
      </c>
      <c r="C11" s="107">
        <v>0.84499999999999997</v>
      </c>
      <c r="D11" s="107">
        <v>0.84199999999999997</v>
      </c>
      <c r="E11" s="107">
        <v>0.83799999999999997</v>
      </c>
      <c r="F11" s="107">
        <v>0.83499999999999996</v>
      </c>
      <c r="G11" s="107">
        <v>0.83099999999999996</v>
      </c>
      <c r="H11" s="107">
        <v>0.82799999999999996</v>
      </c>
      <c r="I11" s="107">
        <v>0.82399999999999995</v>
      </c>
      <c r="J11" s="107">
        <v>0.82099999999999995</v>
      </c>
      <c r="K11" s="107">
        <v>0.81699999999999995</v>
      </c>
      <c r="L11" s="107">
        <v>0.81399999999999995</v>
      </c>
      <c r="M11" s="107">
        <v>0.81</v>
      </c>
      <c r="N11" s="51"/>
    </row>
    <row r="12" spans="1:14" ht="15.75" thickBot="1" x14ac:dyDescent="0.3">
      <c r="A12" s="106">
        <v>4</v>
      </c>
      <c r="B12" s="107">
        <v>0.80700000000000005</v>
      </c>
      <c r="C12" s="107">
        <v>0.80300000000000005</v>
      </c>
      <c r="D12" s="107">
        <v>0.8</v>
      </c>
      <c r="E12" s="107">
        <v>0.79700000000000004</v>
      </c>
      <c r="F12" s="107">
        <v>0.79400000000000004</v>
      </c>
      <c r="G12" s="107">
        <v>0.79</v>
      </c>
      <c r="H12" s="107">
        <v>0.78700000000000003</v>
      </c>
      <c r="I12" s="107">
        <v>0.78400000000000003</v>
      </c>
      <c r="J12" s="107">
        <v>0.78100000000000003</v>
      </c>
      <c r="K12" s="107">
        <v>0.77700000000000002</v>
      </c>
      <c r="L12" s="107">
        <v>0.77400000000000002</v>
      </c>
      <c r="M12" s="107">
        <v>0.77100000000000002</v>
      </c>
      <c r="N12" s="51"/>
    </row>
    <row r="13" spans="1:14" ht="15.75" thickBot="1" x14ac:dyDescent="0.3">
      <c r="A13" s="106">
        <v>5</v>
      </c>
      <c r="B13" s="107">
        <v>0.76800000000000002</v>
      </c>
      <c r="C13" s="107">
        <v>0.76500000000000001</v>
      </c>
      <c r="D13" s="107">
        <v>0.76200000000000001</v>
      </c>
      <c r="E13" s="107">
        <v>0.75900000000000001</v>
      </c>
      <c r="F13" s="107">
        <v>0.75600000000000001</v>
      </c>
      <c r="G13" s="107">
        <v>0.753</v>
      </c>
      <c r="H13" s="107">
        <v>0.75</v>
      </c>
      <c r="I13" s="107">
        <v>0.747</v>
      </c>
      <c r="J13" s="107">
        <v>0.74399999999999999</v>
      </c>
      <c r="K13" s="107">
        <v>0.74099999999999999</v>
      </c>
      <c r="L13" s="107">
        <v>0.73799999999999999</v>
      </c>
      <c r="M13" s="107">
        <v>0.73499999999999999</v>
      </c>
      <c r="N13" s="51"/>
    </row>
    <row r="14" spans="1:14" ht="15.75" thickBot="1" x14ac:dyDescent="0.3">
      <c r="A14" s="106">
        <v>6</v>
      </c>
      <c r="B14" s="107">
        <v>0.73199999999999998</v>
      </c>
      <c r="C14" s="107">
        <v>0.72899999999999998</v>
      </c>
      <c r="D14" s="107">
        <v>0.72599999999999998</v>
      </c>
      <c r="E14" s="107">
        <v>0.72299999999999998</v>
      </c>
      <c r="F14" s="107">
        <v>0.72</v>
      </c>
      <c r="G14" s="107">
        <v>0.71799999999999997</v>
      </c>
      <c r="H14" s="107">
        <v>0.71499999999999997</v>
      </c>
      <c r="I14" s="107">
        <v>0.71199999999999997</v>
      </c>
      <c r="J14" s="107">
        <v>0.70899999999999996</v>
      </c>
      <c r="K14" s="107">
        <v>0.70599999999999996</v>
      </c>
      <c r="L14" s="107">
        <v>0.70399999999999996</v>
      </c>
      <c r="M14" s="107">
        <v>0.70099999999999996</v>
      </c>
      <c r="N14" s="51"/>
    </row>
    <row r="15" spans="1:14" ht="15.75" thickBot="1" x14ac:dyDescent="0.3">
      <c r="A15" s="106">
        <v>7</v>
      </c>
      <c r="B15" s="107">
        <v>0.69799999999999995</v>
      </c>
      <c r="C15" s="107">
        <v>0.69599999999999995</v>
      </c>
      <c r="D15" s="107">
        <v>0.69299999999999995</v>
      </c>
      <c r="E15" s="107">
        <v>0.69</v>
      </c>
      <c r="F15" s="107">
        <v>0.68799999999999994</v>
      </c>
      <c r="G15" s="107">
        <v>0.68500000000000005</v>
      </c>
      <c r="H15" s="107">
        <v>0.68300000000000005</v>
      </c>
      <c r="I15" s="107">
        <v>0.68</v>
      </c>
      <c r="J15" s="107">
        <v>0.67700000000000005</v>
      </c>
      <c r="K15" s="107">
        <v>0.67500000000000004</v>
      </c>
      <c r="L15" s="107">
        <v>0.67200000000000004</v>
      </c>
      <c r="M15" s="107">
        <v>0.67</v>
      </c>
      <c r="N15" s="51"/>
    </row>
    <row r="16" spans="1:14" ht="15.75" thickBot="1" x14ac:dyDescent="0.3">
      <c r="A16" s="106">
        <v>8</v>
      </c>
      <c r="B16" s="107">
        <v>0.66700000000000004</v>
      </c>
      <c r="C16" s="107">
        <v>0.66500000000000004</v>
      </c>
      <c r="D16" s="107">
        <v>0.66200000000000003</v>
      </c>
      <c r="E16" s="107">
        <v>0.66</v>
      </c>
      <c r="F16" s="107">
        <v>0.65800000000000003</v>
      </c>
      <c r="G16" s="107">
        <v>0.65500000000000003</v>
      </c>
      <c r="H16" s="107">
        <v>0.65300000000000002</v>
      </c>
      <c r="I16" s="107">
        <v>0.65</v>
      </c>
      <c r="J16" s="107">
        <v>0.64800000000000002</v>
      </c>
      <c r="K16" s="107">
        <v>0.64500000000000002</v>
      </c>
      <c r="L16" s="107">
        <v>0.64300000000000002</v>
      </c>
      <c r="M16" s="107">
        <v>0.64100000000000001</v>
      </c>
      <c r="N16" s="51"/>
    </row>
    <row r="17" spans="1:14" ht="15.75" thickBot="1" x14ac:dyDescent="0.3">
      <c r="A17" s="106">
        <v>9</v>
      </c>
      <c r="B17" s="107">
        <v>0.63800000000000001</v>
      </c>
      <c r="C17" s="107">
        <v>0.63600000000000001</v>
      </c>
      <c r="D17" s="107">
        <v>0.63400000000000001</v>
      </c>
      <c r="E17" s="107">
        <v>0.63200000000000001</v>
      </c>
      <c r="F17" s="107">
        <v>0.629</v>
      </c>
      <c r="G17" s="107">
        <v>0.627</v>
      </c>
      <c r="H17" s="107">
        <v>0.625</v>
      </c>
      <c r="I17" s="107">
        <v>0.623</v>
      </c>
      <c r="J17" s="107">
        <v>0.62</v>
      </c>
      <c r="K17" s="107">
        <v>0.61799999999999999</v>
      </c>
      <c r="L17" s="107">
        <v>0.61599999999999999</v>
      </c>
      <c r="M17" s="107">
        <v>0.61399999999999999</v>
      </c>
      <c r="N17" s="51"/>
    </row>
    <row r="18" spans="1:14" ht="15.75" thickBot="1" x14ac:dyDescent="0.3">
      <c r="A18" s="106">
        <v>10</v>
      </c>
      <c r="B18" s="107">
        <v>0.61099999999999999</v>
      </c>
      <c r="C18" s="107">
        <v>0.60899999999999999</v>
      </c>
      <c r="D18" s="107">
        <v>0.60699999999999998</v>
      </c>
      <c r="E18" s="107">
        <v>0.60499999999999998</v>
      </c>
      <c r="F18" s="107">
        <v>0.60299999999999998</v>
      </c>
      <c r="G18" s="107">
        <v>0.60099999999999998</v>
      </c>
      <c r="H18" s="107">
        <v>0.59899999999999998</v>
      </c>
      <c r="I18" s="107">
        <v>0.59699999999999998</v>
      </c>
      <c r="J18" s="107">
        <v>0.59499999999999997</v>
      </c>
      <c r="K18" s="107">
        <v>0.59199999999999997</v>
      </c>
      <c r="L18" s="107">
        <v>0.59</v>
      </c>
      <c r="M18" s="107">
        <v>0.58799999999999997</v>
      </c>
      <c r="N18" s="51"/>
    </row>
    <row r="19" spans="1:14" ht="15.75" thickBot="1" x14ac:dyDescent="0.3">
      <c r="A19" s="106">
        <v>11</v>
      </c>
      <c r="B19" s="107">
        <v>0.58599999999999997</v>
      </c>
      <c r="C19" s="107">
        <v>0.58399999999999996</v>
      </c>
      <c r="D19" s="107">
        <v>0.58199999999999996</v>
      </c>
      <c r="E19" s="107">
        <v>0.57999999999999996</v>
      </c>
      <c r="F19" s="107">
        <v>0.57799999999999996</v>
      </c>
      <c r="G19" s="107">
        <v>0.57599999999999996</v>
      </c>
      <c r="H19" s="107">
        <v>0.57399999999999995</v>
      </c>
      <c r="I19" s="107">
        <v>0.57199999999999995</v>
      </c>
      <c r="J19" s="107">
        <v>0.56999999999999995</v>
      </c>
      <c r="K19" s="107">
        <v>0.56899999999999995</v>
      </c>
      <c r="L19" s="107">
        <v>0.56699999999999995</v>
      </c>
      <c r="M19" s="107">
        <v>0.56499999999999995</v>
      </c>
      <c r="N19" s="51"/>
    </row>
    <row r="20" spans="1:14" ht="15.75" thickBot="1" x14ac:dyDescent="0.3">
      <c r="A20" s="106">
        <v>12</v>
      </c>
      <c r="B20" s="107">
        <v>0.56299999999999994</v>
      </c>
      <c r="C20" s="107">
        <v>0.56100000000000005</v>
      </c>
      <c r="D20" s="107">
        <v>0.55900000000000005</v>
      </c>
      <c r="E20" s="107">
        <v>0.55700000000000005</v>
      </c>
      <c r="F20" s="107">
        <v>0.55500000000000005</v>
      </c>
      <c r="G20" s="107">
        <v>0.55300000000000005</v>
      </c>
      <c r="H20" s="107">
        <v>0.55200000000000005</v>
      </c>
      <c r="I20" s="107">
        <v>0.55000000000000004</v>
      </c>
      <c r="J20" s="107">
        <v>0.54800000000000004</v>
      </c>
      <c r="K20" s="107">
        <v>0.54600000000000004</v>
      </c>
      <c r="L20" s="107">
        <v>0.54400000000000004</v>
      </c>
      <c r="M20" s="107">
        <v>0.54200000000000004</v>
      </c>
      <c r="N20" s="51"/>
    </row>
    <row r="21" spans="1:14" ht="15.75" thickBot="1" x14ac:dyDescent="0.3">
      <c r="A21" s="108">
        <v>13</v>
      </c>
      <c r="B21" s="107">
        <v>0.54100000000000004</v>
      </c>
      <c r="C21" s="109"/>
      <c r="D21" s="109"/>
      <c r="E21" s="109"/>
      <c r="F21" s="109"/>
      <c r="G21" s="109"/>
      <c r="H21" s="109"/>
      <c r="I21" s="109"/>
      <c r="J21" s="109"/>
      <c r="K21" s="109"/>
      <c r="L21" s="109"/>
      <c r="M21" s="109"/>
      <c r="N21" s="51"/>
    </row>
    <row r="22" spans="1:14" x14ac:dyDescent="0.25">
      <c r="A22" s="53"/>
    </row>
    <row r="23" spans="1:14" x14ac:dyDescent="0.25">
      <c r="A23" s="54" t="s">
        <v>178</v>
      </c>
      <c r="B23" s="54" t="s">
        <v>179</v>
      </c>
    </row>
    <row r="24" spans="1:14" x14ac:dyDescent="0.25">
      <c r="A24" s="53" t="s">
        <v>180</v>
      </c>
      <c r="B24" s="54" t="s">
        <v>181</v>
      </c>
    </row>
    <row r="25" spans="1:14" x14ac:dyDescent="0.25">
      <c r="A25" s="55"/>
      <c r="B25" s="55" t="s">
        <v>182</v>
      </c>
    </row>
  </sheetData>
  <mergeCells count="5">
    <mergeCell ref="A2:N2"/>
    <mergeCell ref="A3:N3"/>
    <mergeCell ref="A4:N4"/>
    <mergeCell ref="A5:N5"/>
    <mergeCell ref="A6:M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94D89-0C48-46F1-81D4-F59A20D953C5}">
  <sheetPr codeName="Sheet10"/>
  <dimension ref="A1:F36"/>
  <sheetViews>
    <sheetView showGridLines="0" showRowColHeaders="0" zoomScaleNormal="100" zoomScaleSheetLayoutView="106" workbookViewId="0">
      <selection activeCell="C27" sqref="C27"/>
    </sheetView>
  </sheetViews>
  <sheetFormatPr defaultColWidth="0" defaultRowHeight="0" customHeight="1" zeroHeight="1" x14ac:dyDescent="0.35"/>
  <cols>
    <col min="1" max="1" width="1.28515625" style="166" customWidth="1"/>
    <col min="2" max="2" width="51" style="166" customWidth="1"/>
    <col min="3" max="3" width="52.28515625" style="166" customWidth="1"/>
    <col min="4" max="4" width="5" style="166" customWidth="1"/>
    <col min="5" max="5" width="1.140625" style="166" customWidth="1"/>
    <col min="6" max="6" width="0" style="166" hidden="1" customWidth="1"/>
    <col min="7" max="16384" width="9.140625" style="166" hidden="1"/>
  </cols>
  <sheetData>
    <row r="1" spans="2:4" ht="42" customHeight="1" x14ac:dyDescent="0.35"/>
    <row r="2" spans="2:4" ht="24" x14ac:dyDescent="0.45">
      <c r="B2" s="178" t="s">
        <v>202</v>
      </c>
      <c r="C2" s="191"/>
      <c r="D2" s="191"/>
    </row>
    <row r="3" spans="2:4" ht="5.25" customHeight="1" x14ac:dyDescent="0.35">
      <c r="B3" s="179"/>
    </row>
    <row r="4" spans="2:4" ht="18" x14ac:dyDescent="0.35">
      <c r="B4" s="180" t="s">
        <v>197</v>
      </c>
    </row>
    <row r="5" spans="2:4" ht="18" customHeight="1" x14ac:dyDescent="0.35">
      <c r="B5" s="179" t="s">
        <v>183</v>
      </c>
      <c r="C5" s="181" t="str">
        <f>IF('Contributions calculator'!D4="","",'Contributions calculator'!D4)</f>
        <v/>
      </c>
    </row>
    <row r="6" spans="2:4" ht="18" customHeight="1" x14ac:dyDescent="0.35">
      <c r="B6" s="179" t="s">
        <v>184</v>
      </c>
      <c r="C6" s="189" t="str">
        <f>IF('Contributions calculator'!D4="","",IF(Codes!F8&gt;0,Codes!E8&amp;" years ",Codes!E8)&amp;IF(AND(Codes!F8&gt;0,Codes!F8&lt;&gt;""),Codes!F8&amp;" months",""))</f>
        <v/>
      </c>
      <c r="D6" s="179"/>
    </row>
    <row r="7" spans="2:4" ht="18" customHeight="1" x14ac:dyDescent="0.35">
      <c r="B7" s="179" t="s">
        <v>185</v>
      </c>
      <c r="C7" s="181" t="str">
        <f>IF('Contributions calculator'!D5="","",'Contributions calculator'!D5)</f>
        <v/>
      </c>
    </row>
    <row r="8" spans="2:4" ht="18" customHeight="1" x14ac:dyDescent="0.35">
      <c r="B8" s="179" t="s">
        <v>186</v>
      </c>
      <c r="C8" s="188" t="str">
        <f>'Contributions calculator'!D7</f>
        <v/>
      </c>
    </row>
    <row r="9" spans="2:4" ht="6" customHeight="1" x14ac:dyDescent="0.35">
      <c r="B9" s="179"/>
      <c r="C9" s="188"/>
    </row>
    <row r="10" spans="2:4" ht="18" x14ac:dyDescent="0.35">
      <c r="B10" s="180" t="s">
        <v>198</v>
      </c>
      <c r="C10" s="188"/>
    </row>
    <row r="11" spans="2:4" ht="18" x14ac:dyDescent="0.35">
      <c r="B11" s="179" t="s">
        <v>187</v>
      </c>
      <c r="C11" s="195" t="str">
        <f>IF('Contributions calculator'!D11="","",'Contributions calculator'!D11)</f>
        <v/>
      </c>
    </row>
    <row r="12" spans="2:4" ht="18" x14ac:dyDescent="0.35">
      <c r="B12" s="179" t="s">
        <v>188</v>
      </c>
      <c r="C12" s="188" t="str">
        <f>IF('Contributions calculator'!D12="","",'Contributions calculator'!D12)</f>
        <v/>
      </c>
    </row>
    <row r="13" spans="2:4" ht="18" x14ac:dyDescent="0.35">
      <c r="B13" s="179" t="s">
        <v>196</v>
      </c>
      <c r="C13" s="188" t="str">
        <f>IF('Contributions calculator'!D13="","",'Contributions calculator'!D13&amp;" years")</f>
        <v/>
      </c>
    </row>
    <row r="14" spans="2:4" ht="18" x14ac:dyDescent="0.35">
      <c r="B14" s="179" t="s">
        <v>189</v>
      </c>
      <c r="C14" s="188" t="str">
        <f>IF('Contributions calculator'!D14="","",IF('Contributions calculator'!D14=Codes!D2,"No",IF('Contributions calculator'!D14=Codes!D3,"Yes")))</f>
        <v/>
      </c>
    </row>
    <row r="15" spans="2:4" ht="6" customHeight="1" x14ac:dyDescent="0.35">
      <c r="B15" s="179"/>
    </row>
    <row r="16" spans="2:4" ht="18.75" thickBot="1" x14ac:dyDescent="0.4">
      <c r="B16" s="180" t="s">
        <v>199</v>
      </c>
    </row>
    <row r="17" spans="2:4" ht="22.5" thickBot="1" x14ac:dyDescent="0.45">
      <c r="B17" s="182" t="str">
        <f ca="1">'Contributions calculator'!B18</f>
        <v/>
      </c>
      <c r="C17" s="190" t="str">
        <f ca="1">IF('Contributions calculator'!D12=Codes!C2,"A lump sum payment of £"&amp;'Contributions calculator'!D18,IF('Contributions calculator'!D12=Codes!C3,"£"&amp;'Contributions calculator'!D18&amp;" per month payable for "&amp;'Contributions calculator'!D13&amp;" years",""))</f>
        <v/>
      </c>
      <c r="D17" s="192"/>
    </row>
    <row r="18" spans="2:4" ht="18" x14ac:dyDescent="0.35">
      <c r="B18" s="179" t="str">
        <f ca="1">IF('Contributions calculator'!D12=Codes!C3,"Total payable:","")</f>
        <v/>
      </c>
      <c r="C18" s="193" t="str">
        <f>'Contributions calculator'!D20</f>
        <v/>
      </c>
    </row>
    <row r="19" spans="2:4" ht="18" x14ac:dyDescent="0.35">
      <c r="B19" s="179" t="s">
        <v>203</v>
      </c>
      <c r="C19" s="181">
        <f ca="1">TODAY()</f>
        <v>46294</v>
      </c>
    </row>
    <row r="20" spans="2:4" ht="12" customHeight="1" x14ac:dyDescent="0.35">
      <c r="B20" s="179"/>
    </row>
    <row r="21" spans="2:4" ht="323.25" customHeight="1" x14ac:dyDescent="0.35">
      <c r="B21" s="218" t="s">
        <v>201</v>
      </c>
      <c r="C21" s="218"/>
      <c r="D21" s="218"/>
    </row>
    <row r="22" spans="2:4" ht="7.5" customHeight="1" x14ac:dyDescent="0.35">
      <c r="B22" s="183"/>
      <c r="C22" s="183"/>
      <c r="D22" s="183"/>
    </row>
    <row r="23" spans="2:4" ht="148.5" customHeight="1" x14ac:dyDescent="0.35">
      <c r="B23" s="218" t="s">
        <v>204</v>
      </c>
      <c r="C23" s="218"/>
      <c r="D23" s="218"/>
    </row>
    <row r="24" spans="2:4" ht="6" customHeight="1" x14ac:dyDescent="0.35">
      <c r="B24" s="183"/>
      <c r="C24" s="183"/>
      <c r="D24" s="183"/>
    </row>
    <row r="25" spans="2:4" ht="66" customHeight="1" x14ac:dyDescent="0.35">
      <c r="B25" s="184" t="s">
        <v>192</v>
      </c>
      <c r="C25" s="185"/>
      <c r="D25" s="186"/>
    </row>
    <row r="26" spans="2:4" ht="18" hidden="1" x14ac:dyDescent="0.35">
      <c r="B26" s="187"/>
      <c r="C26" s="120"/>
      <c r="D26" s="120"/>
    </row>
    <row r="27" spans="2:4" ht="18" customHeight="1" x14ac:dyDescent="0.35">
      <c r="B27" s="187"/>
      <c r="C27" s="194" t="s">
        <v>200</v>
      </c>
      <c r="D27" s="120"/>
    </row>
    <row r="28" spans="2:4" ht="18" customHeight="1" x14ac:dyDescent="0.35">
      <c r="B28" s="187"/>
      <c r="C28" s="120"/>
      <c r="D28" s="120"/>
    </row>
    <row r="29" spans="2:4" ht="18" hidden="1" x14ac:dyDescent="0.35">
      <c r="B29" s="179"/>
    </row>
    <row r="30" spans="2:4" ht="18" hidden="1" x14ac:dyDescent="0.35">
      <c r="B30" s="179"/>
    </row>
    <row r="31" spans="2:4" ht="18" hidden="1" x14ac:dyDescent="0.35">
      <c r="B31" s="179"/>
    </row>
    <row r="32" spans="2:4" ht="18" hidden="1" x14ac:dyDescent="0.35">
      <c r="B32" s="179"/>
    </row>
    <row r="33" spans="2:2" ht="18" hidden="1" x14ac:dyDescent="0.35">
      <c r="B33" s="179"/>
    </row>
    <row r="34" spans="2:2" ht="23.25" customHeight="1" x14ac:dyDescent="0.35"/>
    <row r="35" spans="2:2" ht="23.25" customHeight="1" x14ac:dyDescent="0.35"/>
    <row r="36" spans="2:2" ht="12.75" customHeight="1" x14ac:dyDescent="0.35"/>
  </sheetData>
  <sheetProtection selectLockedCells="1" selectUnlockedCells="1"/>
  <mergeCells count="2">
    <mergeCell ref="B23:D23"/>
    <mergeCell ref="B21:D21"/>
  </mergeCells>
  <hyperlinks>
    <hyperlink ref="C27" location="'Contributions calculator'!A1" display="Return to Calculator" xr:uid="{0DCC6050-0A13-4E60-A82D-1F21C5E0334D}"/>
  </hyperlinks>
  <pageMargins left="0.7" right="0.7" top="0.75" bottom="0.75" header="0.3" footer="0.3"/>
  <pageSetup paperSize="9" scale="81" orientation="portrait" r:id="rId1"/>
  <headerFooter>
    <oddFooter>&amp;RPage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F0D06-977D-4082-B14E-BD98273E360C}">
  <sheetPr codeName="Sheet11"/>
  <dimension ref="A1:IV39"/>
  <sheetViews>
    <sheetView showGridLines="0" topLeftCell="A4" zoomScaleNormal="100" workbookViewId="0">
      <selection activeCell="B4" sqref="B4"/>
    </sheetView>
  </sheetViews>
  <sheetFormatPr defaultColWidth="0" defaultRowHeight="12.75" zeroHeight="1" x14ac:dyDescent="0.2"/>
  <cols>
    <col min="1" max="1" width="8.42578125" style="90" customWidth="1"/>
    <col min="2" max="2" width="155.140625" customWidth="1"/>
    <col min="3" max="3" width="9.140625" customWidth="1"/>
    <col min="4" max="16384" width="9.140625" hidden="1"/>
  </cols>
  <sheetData>
    <row r="1" spans="1:256" ht="13.5" thickBot="1" x14ac:dyDescent="0.25">
      <c r="B1" s="90"/>
      <c r="C1" s="90"/>
    </row>
    <row r="2" spans="1:256" ht="23.1" customHeight="1" thickTop="1" x14ac:dyDescent="0.2">
      <c r="B2" s="91" t="s">
        <v>190</v>
      </c>
      <c r="C2" s="90"/>
    </row>
    <row r="3" spans="1:256" s="112" customFormat="1" ht="77.45" customHeight="1" x14ac:dyDescent="0.2">
      <c r="A3" s="110"/>
      <c r="B3" s="115" t="s">
        <v>191</v>
      </c>
      <c r="C3" s="110"/>
      <c r="D3" s="111"/>
      <c r="E3" s="111"/>
      <c r="F3" s="111"/>
    </row>
    <row r="4" spans="1:256" s="112" customFormat="1" ht="409.5" customHeight="1" x14ac:dyDescent="0.2">
      <c r="A4" s="110"/>
      <c r="B4" s="114" t="s">
        <v>194</v>
      </c>
      <c r="C4" s="110"/>
    </row>
    <row r="5" spans="1:256" s="112" customFormat="1" ht="111" customHeight="1" thickBot="1" x14ac:dyDescent="0.25">
      <c r="A5" s="110"/>
      <c r="B5" s="116" t="s">
        <v>192</v>
      </c>
      <c r="C5" s="110"/>
    </row>
    <row r="6" spans="1:256" ht="18.75" customHeight="1" thickTop="1" x14ac:dyDescent="0.2">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c r="AN6" s="90"/>
      <c r="AO6" s="90"/>
      <c r="AP6" s="90"/>
      <c r="AQ6" s="90"/>
      <c r="AR6" s="90"/>
      <c r="AS6" s="90"/>
      <c r="AT6" s="90"/>
      <c r="AU6" s="90"/>
      <c r="AV6" s="90"/>
      <c r="AW6" s="90"/>
      <c r="AX6" s="90"/>
      <c r="AY6" s="90"/>
      <c r="AZ6" s="90"/>
      <c r="BA6" s="90"/>
      <c r="BB6" s="90"/>
      <c r="BC6" s="90"/>
      <c r="BD6" s="90"/>
      <c r="BE6" s="90"/>
      <c r="BF6" s="90"/>
      <c r="BG6" s="90"/>
      <c r="BH6" s="90"/>
      <c r="BI6" s="90"/>
      <c r="BJ6" s="90"/>
      <c r="BK6" s="90"/>
      <c r="BL6" s="90"/>
      <c r="BM6" s="90"/>
      <c r="BN6" s="90"/>
      <c r="BO6" s="90"/>
      <c r="BP6" s="90"/>
      <c r="BQ6" s="90"/>
      <c r="BR6" s="90"/>
      <c r="BS6" s="90"/>
      <c r="BT6" s="90"/>
      <c r="BU6" s="90"/>
      <c r="BV6" s="90"/>
      <c r="BW6" s="90"/>
      <c r="BX6" s="90"/>
      <c r="BY6" s="90"/>
      <c r="BZ6" s="90"/>
      <c r="CA6" s="90"/>
      <c r="CB6" s="90"/>
      <c r="CC6" s="90"/>
      <c r="CD6" s="90"/>
      <c r="CE6" s="90"/>
      <c r="CF6" s="90"/>
      <c r="CG6" s="90"/>
      <c r="CH6" s="90"/>
      <c r="CI6" s="90"/>
      <c r="CJ6" s="90"/>
      <c r="CK6" s="90"/>
      <c r="CL6" s="90"/>
      <c r="CM6" s="90"/>
      <c r="CN6" s="90"/>
      <c r="CO6" s="90"/>
      <c r="CP6" s="90"/>
      <c r="CQ6" s="90"/>
      <c r="CR6" s="90"/>
      <c r="CS6" s="90"/>
      <c r="CT6" s="90"/>
      <c r="CU6" s="90"/>
      <c r="CV6" s="90"/>
      <c r="CW6" s="90"/>
      <c r="CX6" s="90"/>
      <c r="CY6" s="90"/>
      <c r="CZ6" s="90"/>
      <c r="DA6" s="90"/>
      <c r="DB6" s="90"/>
      <c r="DC6" s="90"/>
      <c r="DD6" s="90"/>
      <c r="DE6" s="90"/>
      <c r="DF6" s="90"/>
      <c r="DG6" s="90"/>
      <c r="DH6" s="90"/>
      <c r="DI6" s="90"/>
      <c r="DJ6" s="90"/>
      <c r="DK6" s="90"/>
      <c r="DL6" s="90"/>
      <c r="DM6" s="90"/>
      <c r="DN6" s="90"/>
      <c r="DO6" s="90"/>
      <c r="DP6" s="90"/>
      <c r="DQ6" s="90"/>
      <c r="DR6" s="90"/>
      <c r="DS6" s="90"/>
      <c r="DT6" s="90"/>
      <c r="DU6" s="90"/>
      <c r="DV6" s="90"/>
      <c r="DW6" s="90"/>
      <c r="DX6" s="90"/>
      <c r="DY6" s="90"/>
      <c r="DZ6" s="90"/>
      <c r="EA6" s="90"/>
      <c r="EB6" s="90"/>
      <c r="EC6" s="90"/>
      <c r="ED6" s="90"/>
      <c r="EE6" s="90"/>
      <c r="EF6" s="90"/>
      <c r="EG6" s="90"/>
      <c r="EH6" s="90"/>
      <c r="EI6" s="90"/>
      <c r="EJ6" s="90"/>
      <c r="EK6" s="90"/>
      <c r="EL6" s="90"/>
      <c r="EM6" s="90"/>
      <c r="EN6" s="90"/>
      <c r="EO6" s="90"/>
      <c r="EP6" s="90"/>
      <c r="EQ6" s="90"/>
      <c r="ER6" s="90"/>
      <c r="ES6" s="90"/>
      <c r="ET6" s="90"/>
      <c r="EU6" s="90"/>
      <c r="EV6" s="90"/>
      <c r="EW6" s="90"/>
      <c r="EX6" s="90"/>
      <c r="EY6" s="90"/>
      <c r="EZ6" s="90"/>
      <c r="FA6" s="90"/>
      <c r="FB6" s="90"/>
      <c r="FC6" s="90"/>
      <c r="FD6" s="90"/>
      <c r="FE6" s="90"/>
      <c r="FF6" s="90"/>
      <c r="FG6" s="90"/>
      <c r="FH6" s="90"/>
      <c r="FI6" s="90"/>
      <c r="FJ6" s="90"/>
      <c r="FK6" s="90"/>
      <c r="FL6" s="90"/>
      <c r="FM6" s="90"/>
      <c r="FN6" s="90"/>
      <c r="FO6" s="90"/>
      <c r="FP6" s="90"/>
      <c r="FQ6" s="90"/>
      <c r="FR6" s="90"/>
      <c r="FS6" s="90"/>
      <c r="FT6" s="90"/>
      <c r="FU6" s="90"/>
      <c r="FV6" s="90"/>
      <c r="FW6" s="90"/>
      <c r="FX6" s="90"/>
      <c r="FY6" s="90"/>
      <c r="FZ6" s="90"/>
      <c r="GA6" s="90"/>
      <c r="GB6" s="90"/>
      <c r="GC6" s="90"/>
      <c r="GD6" s="90"/>
      <c r="GE6" s="90"/>
      <c r="GF6" s="90"/>
      <c r="GG6" s="90"/>
      <c r="GH6" s="90"/>
      <c r="GI6" s="90"/>
      <c r="GJ6" s="90"/>
      <c r="GK6" s="90"/>
      <c r="GL6" s="90"/>
      <c r="GM6" s="90"/>
      <c r="GN6" s="90"/>
      <c r="GO6" s="90"/>
      <c r="GP6" s="90"/>
      <c r="GQ6" s="90"/>
      <c r="GR6" s="90"/>
      <c r="GS6" s="90"/>
      <c r="GT6" s="90"/>
      <c r="GU6" s="90"/>
      <c r="GV6" s="90"/>
      <c r="GW6" s="90"/>
      <c r="GX6" s="90"/>
      <c r="GY6" s="90"/>
      <c r="GZ6" s="90"/>
      <c r="HA6" s="90"/>
      <c r="HB6" s="90"/>
      <c r="HC6" s="90"/>
      <c r="HD6" s="90"/>
      <c r="HE6" s="90"/>
      <c r="HF6" s="90"/>
      <c r="HG6" s="90"/>
      <c r="HH6" s="90"/>
      <c r="HI6" s="90"/>
      <c r="HJ6" s="90"/>
      <c r="HK6" s="90"/>
      <c r="HL6" s="90"/>
      <c r="HM6" s="90"/>
      <c r="HN6" s="90"/>
      <c r="HO6" s="90"/>
      <c r="HP6" s="90"/>
      <c r="HQ6" s="90"/>
      <c r="HR6" s="90"/>
      <c r="HS6" s="90"/>
      <c r="HT6" s="90"/>
      <c r="HU6" s="90"/>
      <c r="HV6" s="90"/>
      <c r="HW6" s="90"/>
      <c r="HX6" s="90"/>
      <c r="HY6" s="90"/>
      <c r="HZ6" s="90"/>
      <c r="IA6" s="90"/>
      <c r="IB6" s="90"/>
      <c r="IC6" s="90"/>
      <c r="ID6" s="90"/>
      <c r="IE6" s="90"/>
      <c r="IF6" s="90"/>
      <c r="IG6" s="90"/>
      <c r="IH6" s="90"/>
      <c r="II6" s="90"/>
      <c r="IJ6" s="90"/>
      <c r="IK6" s="90"/>
      <c r="IL6" s="90"/>
      <c r="IM6" s="90"/>
      <c r="IN6" s="90"/>
      <c r="IO6" s="90"/>
      <c r="IP6" s="90"/>
      <c r="IQ6" s="90"/>
      <c r="IR6" s="90"/>
      <c r="IS6" s="90"/>
      <c r="IT6" s="90"/>
      <c r="IU6" s="90"/>
      <c r="IV6" s="90"/>
    </row>
    <row r="39" spans="6:6" hidden="1" x14ac:dyDescent="0.2">
      <c r="F39" t="s">
        <v>193</v>
      </c>
    </row>
  </sheetData>
  <sheetProtection selectLockedCells="1" selectUnlockedCells="1"/>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0ef77447-1083-4dec-b89f-27c765076840}" enabled="0" method="" siteId="{0ef77447-1083-4dec-b89f-27c76507684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13</vt:i4>
      </vt:variant>
    </vt:vector>
  </HeadingPairs>
  <TitlesOfParts>
    <vt:vector size="15" baseType="lpstr">
      <vt:lpstr>Contributions calculator</vt:lpstr>
      <vt:lpstr>Illustration and Guidance</vt:lpstr>
      <vt:lpstr>AP_Available</vt:lpstr>
      <vt:lpstr>Buy_out_months</vt:lpstr>
      <vt:lpstr>Contribution_period</vt:lpstr>
      <vt:lpstr>Existing_AP</vt:lpstr>
      <vt:lpstr>Form_of_AP</vt:lpstr>
      <vt:lpstr>Oldest_allowed</vt:lpstr>
      <vt:lpstr>Payment_type</vt:lpstr>
      <vt:lpstr>'Contributions calculator'!Print_Area</vt:lpstr>
      <vt:lpstr>'Guidance notes'!Print_Area</vt:lpstr>
      <vt:lpstr>'Illustration and Guidance'!Print_Area</vt:lpstr>
      <vt:lpstr>Years</vt:lpstr>
      <vt:lpstr>Yes_No</vt:lpstr>
      <vt:lpstr>Youngest_allowed</vt:lpstr>
    </vt:vector>
  </TitlesOfParts>
  <Manager/>
  <Company>Scottish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u418778</dc:creator>
  <cp:keywords/>
  <dc:description/>
  <cp:lastModifiedBy>Teri Fawcett</cp:lastModifiedBy>
  <cp:revision/>
  <cp:lastPrinted>2026-09-29T06:52:32Z</cp:lastPrinted>
  <dcterms:created xsi:type="dcterms:W3CDTF">2015-04-02T11:10:56Z</dcterms:created>
  <dcterms:modified xsi:type="dcterms:W3CDTF">2026-09-29T07:17:15Z</dcterms:modified>
  <cp:category/>
  <cp:contentStatus/>
</cp:coreProperties>
</file>