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scotsconnect-my.sharepoint.com/personal/lynn_robertson_gov_scot/Documents/"/>
    </mc:Choice>
  </mc:AlternateContent>
  <xr:revisionPtr revIDLastSave="0" documentId="8_{E212FABE-15FE-437E-A20F-ED4DB983FD0D}" xr6:coauthVersionLast="47" xr6:coauthVersionMax="47" xr10:uidLastSave="{00000000-0000-0000-0000-000000000000}"/>
  <bookViews>
    <workbookView xWindow="-12510" yWindow="-16320" windowWidth="29040" windowHeight="15720" tabRatio="721" xr2:uid="{00000000-000D-0000-FFFF-FFFF00000000}"/>
  </bookViews>
  <sheets>
    <sheet name="Results" sheetId="1" r:id="rId1"/>
    <sheet name="NHS FS Non Club Factors" sheetId="9" state="hidden" r:id="rId2"/>
    <sheet name="NHS CARE Non Club Factors" sheetId="10" state="hidden" r:id="rId3"/>
  </sheets>
  <externalReferences>
    <externalReference r:id="rId4"/>
    <externalReference r:id="rId5"/>
  </externalReferences>
  <definedNames>
    <definedName name="_F602012">#REF!</definedName>
    <definedName name="_F652012">#REF!</definedName>
    <definedName name="_F662012">#REF!</definedName>
    <definedName name="_F672012">#REF!</definedName>
    <definedName name="_F682012">#REF!</definedName>
    <definedName name="_M602012">#REF!</definedName>
    <definedName name="_M652012">#REF!</definedName>
    <definedName name="_M662012">#REF!</definedName>
    <definedName name="_M672012">#REF!</definedName>
    <definedName name="_M682012">#REF!</definedName>
    <definedName name="GMP_Adjustment">[1]CETV!$B$25</definedName>
    <definedName name="GMP_FACTOR">[1]CETV!$B$20</definedName>
    <definedName name="GMP_POST">#REF!</definedName>
    <definedName name="GMP_PRE">#REF!</definedName>
    <definedName name="GMP_REVALUATION">[1]CETV!$B$13</definedName>
    <definedName name="hrsperwk">#REF!</definedName>
    <definedName name="InterpFemale">#REF!</definedName>
    <definedName name="Interpmale">#REF!</definedName>
    <definedName name="LUMP_SUM">[1]CETV!$B$18</definedName>
    <definedName name="Lump_Sum_Factor">[1]CETV!$B$18</definedName>
    <definedName name="Male_60">#REF!</definedName>
    <definedName name="MLI">[1]CETV!$B$24</definedName>
    <definedName name="NI_MOD">[1]CETV!$B$21</definedName>
    <definedName name="NI_MOD_AMOUNT">[1]CETV!$B$16</definedName>
    <definedName name="O2P">#REF!</definedName>
    <definedName name="PENSION">[1]CETV!$B$27</definedName>
    <definedName name="PENSION_FACTOR">[1]CETV!$B$17</definedName>
    <definedName name="PENSIONABLE_PAY">[1]CETV!$B$11</definedName>
    <definedName name="PI">#REF!</definedName>
    <definedName name="POST97_SERVICE">[1]CETV!$I$27</definedName>
    <definedName name="_xlnm.Print_Area" localSheetId="0">Results!$B$2:$M$56,Results!$N$2:$AA$48</definedName>
    <definedName name="_xlnm.Print_Area">#REF!</definedName>
    <definedName name="Protected_Rights">#REF!</definedName>
    <definedName name="service">[1]CETV!$D$6</definedName>
    <definedName name="Table5">[2]Sheet2!$P$2:$S$13</definedName>
    <definedName name="Tablerpi">#REF!</definedName>
    <definedName name="time">#REF!</definedName>
    <definedName name="WIDOW_ERS">[1]CETV!$B$33</definedName>
    <definedName name="WIDOWERS_FACTOR">[1]CETV!$B$19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1" l="1"/>
  <c r="X16" i="1"/>
  <c r="AA40" i="1"/>
  <c r="AA41" i="1" s="1"/>
  <c r="AA42" i="1" s="1"/>
  <c r="AA43" i="1" s="1"/>
  <c r="AA44" i="1" s="1"/>
  <c r="J58" i="10" l="1"/>
  <c r="I58" i="10"/>
  <c r="C125" i="9"/>
  <c r="C114" i="9"/>
  <c r="AA45" i="1"/>
  <c r="AA46" i="1" s="1"/>
  <c r="AA47" i="1" s="1"/>
  <c r="AA48" i="1" s="1"/>
  <c r="AA49" i="1" s="1"/>
  <c r="AA50" i="1" s="1"/>
  <c r="K16" i="1"/>
  <c r="H16" i="1"/>
  <c r="I56" i="10"/>
  <c r="I62" i="10" s="1"/>
  <c r="I59" i="10" s="1"/>
  <c r="X18" i="1" l="1"/>
  <c r="V18" i="1"/>
  <c r="E32" i="1" l="1"/>
  <c r="K32" i="1"/>
  <c r="P6" i="1"/>
  <c r="V36" i="1" l="1"/>
  <c r="J62" i="10" l="1"/>
  <c r="J60" i="10" s="1"/>
  <c r="X31" i="1" s="1"/>
  <c r="J59" i="10" l="1"/>
  <c r="X29" i="1" s="1"/>
  <c r="V29" i="1" l="1"/>
  <c r="V35" i="1" s="1"/>
  <c r="I60" i="10"/>
  <c r="V31" i="1" s="1"/>
  <c r="V37" i="1" s="1"/>
  <c r="V38" i="1" l="1"/>
  <c r="V39" i="1" s="1"/>
  <c r="E37" i="1" s="1"/>
  <c r="C127" i="9"/>
  <c r="C126" i="9"/>
  <c r="C123" i="9" s="1"/>
  <c r="C124" i="9"/>
  <c r="C116" i="9"/>
  <c r="C115" i="9"/>
  <c r="C112" i="9" s="1"/>
  <c r="C113" i="9"/>
  <c r="K8" i="1" l="1"/>
  <c r="I61" i="10" s="1"/>
  <c r="O113" i="9"/>
  <c r="M113" i="9"/>
  <c r="M118" i="9"/>
  <c r="M114" i="9"/>
  <c r="N116" i="9"/>
  <c r="O119" i="9"/>
  <c r="O115" i="9"/>
  <c r="P116" i="9"/>
  <c r="M117" i="9"/>
  <c r="N119" i="9"/>
  <c r="N115" i="9"/>
  <c r="J115" i="9" s="1"/>
  <c r="O118" i="9"/>
  <c r="O114" i="9"/>
  <c r="P119" i="9"/>
  <c r="P115" i="9"/>
  <c r="M116" i="9"/>
  <c r="N118" i="9"/>
  <c r="N114" i="9"/>
  <c r="J114" i="9" s="1"/>
  <c r="O117" i="9"/>
  <c r="P118" i="9"/>
  <c r="P114" i="9"/>
  <c r="M119" i="9"/>
  <c r="M115" i="9"/>
  <c r="N117" i="9"/>
  <c r="N113" i="9"/>
  <c r="O116" i="9"/>
  <c r="P117" i="9"/>
  <c r="P113" i="9"/>
  <c r="L113" i="9" s="1"/>
  <c r="M130" i="9"/>
  <c r="I130" i="9" s="1"/>
  <c r="M126" i="9"/>
  <c r="I126" i="9" s="1"/>
  <c r="N128" i="9"/>
  <c r="J128" i="9" s="1"/>
  <c r="N124" i="9"/>
  <c r="J124" i="9" s="1"/>
  <c r="O130" i="9"/>
  <c r="K130" i="9" s="1"/>
  <c r="O127" i="9"/>
  <c r="K127" i="9" s="1"/>
  <c r="P128" i="9"/>
  <c r="L128" i="9" s="1"/>
  <c r="P124" i="9"/>
  <c r="L124" i="9" s="1"/>
  <c r="M129" i="9"/>
  <c r="I129" i="9" s="1"/>
  <c r="M125" i="9"/>
  <c r="I125" i="9" s="1"/>
  <c r="N127" i="9"/>
  <c r="J127" i="9" s="1"/>
  <c r="O126" i="9"/>
  <c r="K126" i="9" s="1"/>
  <c r="P127" i="9"/>
  <c r="L127" i="9" s="1"/>
  <c r="M128" i="9"/>
  <c r="I128" i="9" s="1"/>
  <c r="M124" i="9"/>
  <c r="I124" i="9" s="1"/>
  <c r="N130" i="9"/>
  <c r="J130" i="9" s="1"/>
  <c r="N126" i="9"/>
  <c r="J126" i="9" s="1"/>
  <c r="O129" i="9"/>
  <c r="K129" i="9" s="1"/>
  <c r="O125" i="9"/>
  <c r="K125" i="9" s="1"/>
  <c r="P130" i="9"/>
  <c r="L130" i="9" s="1"/>
  <c r="P126" i="9"/>
  <c r="L126" i="9" s="1"/>
  <c r="M127" i="9"/>
  <c r="I127" i="9" s="1"/>
  <c r="N129" i="9"/>
  <c r="J129" i="9" s="1"/>
  <c r="N125" i="9"/>
  <c r="J125" i="9" s="1"/>
  <c r="O128" i="9"/>
  <c r="K128" i="9" s="1"/>
  <c r="O124" i="9"/>
  <c r="K124" i="9" s="1"/>
  <c r="P129" i="9"/>
  <c r="L129" i="9" s="1"/>
  <c r="P125" i="9"/>
  <c r="L125" i="9" s="1"/>
  <c r="Q118" i="9"/>
  <c r="Q114" i="9"/>
  <c r="R116" i="9"/>
  <c r="S118" i="9"/>
  <c r="S114" i="9"/>
  <c r="T117" i="9"/>
  <c r="Q116" i="9"/>
  <c r="R118" i="9"/>
  <c r="S116" i="9"/>
  <c r="T114" i="9"/>
  <c r="Q115" i="9"/>
  <c r="R117" i="9"/>
  <c r="S119" i="9"/>
  <c r="S115" i="9"/>
  <c r="T113" i="9"/>
  <c r="Q117" i="9"/>
  <c r="Q113" i="9"/>
  <c r="R119" i="9"/>
  <c r="R115" i="9"/>
  <c r="S117" i="9"/>
  <c r="S113" i="9"/>
  <c r="T116" i="9"/>
  <c r="T115" i="9"/>
  <c r="R114" i="9"/>
  <c r="T119" i="9"/>
  <c r="Q119" i="9"/>
  <c r="R113" i="9"/>
  <c r="T118" i="9"/>
  <c r="Q130" i="9"/>
  <c r="Q126" i="9"/>
  <c r="R128" i="9"/>
  <c r="R125" i="9"/>
  <c r="S130" i="9"/>
  <c r="S126" i="9"/>
  <c r="T128" i="9"/>
  <c r="T124" i="9"/>
  <c r="Q124" i="9"/>
  <c r="R130" i="9"/>
  <c r="S128" i="9"/>
  <c r="T126" i="9"/>
  <c r="Q127" i="9"/>
  <c r="R126" i="9"/>
  <c r="S127" i="9"/>
  <c r="T129" i="9"/>
  <c r="T125" i="9"/>
  <c r="Q129" i="9"/>
  <c r="Q125" i="9"/>
  <c r="R127" i="9"/>
  <c r="S129" i="9"/>
  <c r="S125" i="9"/>
  <c r="T127" i="9"/>
  <c r="Q128" i="9"/>
  <c r="R124" i="9"/>
  <c r="S124" i="9"/>
  <c r="T130" i="9"/>
  <c r="R129" i="9"/>
  <c r="K9" i="1"/>
  <c r="J61" i="10" s="1"/>
  <c r="G126" i="9" l="1"/>
  <c r="L115" i="9"/>
  <c r="H115" i="9" s="1"/>
  <c r="H129" i="9"/>
  <c r="H126" i="9"/>
  <c r="H128" i="9"/>
  <c r="H125" i="9"/>
  <c r="H124" i="9"/>
  <c r="G125" i="9"/>
  <c r="G127" i="9"/>
  <c r="G128" i="9"/>
  <c r="G124" i="9"/>
  <c r="G130" i="9"/>
  <c r="G129" i="9"/>
  <c r="H127" i="9"/>
  <c r="H130" i="9"/>
  <c r="I114" i="9"/>
  <c r="J119" i="9"/>
  <c r="I117" i="9"/>
  <c r="L117" i="9"/>
  <c r="I115" i="9"/>
  <c r="L114" i="9"/>
  <c r="H114" i="9" s="1"/>
  <c r="I113" i="9"/>
  <c r="K117" i="9"/>
  <c r="K115" i="9"/>
  <c r="K113" i="9"/>
  <c r="I119" i="9"/>
  <c r="K119" i="9"/>
  <c r="J117" i="9"/>
  <c r="K118" i="9"/>
  <c r="K116" i="9"/>
  <c r="K114" i="9"/>
  <c r="L118" i="9"/>
  <c r="J118" i="9"/>
  <c r="J116" i="9"/>
  <c r="J113" i="9"/>
  <c r="I118" i="9"/>
  <c r="I116" i="9"/>
  <c r="L116" i="9"/>
  <c r="L119" i="9"/>
  <c r="F127" i="9" l="1"/>
  <c r="F126" i="9"/>
  <c r="W31" i="1" s="1"/>
  <c r="F124" i="9"/>
  <c r="W29" i="1" s="1"/>
  <c r="G117" i="9"/>
  <c r="F125" i="9"/>
  <c r="W30" i="1" s="1"/>
  <c r="F128" i="9"/>
  <c r="F129" i="9"/>
  <c r="H118" i="9"/>
  <c r="H117" i="9"/>
  <c r="H113" i="9"/>
  <c r="H119" i="9"/>
  <c r="G116" i="9"/>
  <c r="G113" i="9"/>
  <c r="G118" i="9"/>
  <c r="G115" i="9"/>
  <c r="F115" i="9" s="1"/>
  <c r="U31" i="1" s="1"/>
  <c r="H116" i="9"/>
  <c r="G119" i="9"/>
  <c r="G114" i="9"/>
  <c r="F114" i="9" s="1"/>
  <c r="U30" i="1" s="1"/>
  <c r="F130" i="9"/>
  <c r="F116" i="9" l="1"/>
  <c r="F113" i="9"/>
  <c r="U29" i="1" s="1"/>
  <c r="F117" i="9"/>
  <c r="F118" i="9"/>
  <c r="F119" i="9"/>
  <c r="Y2" i="1"/>
  <c r="U16" i="1" s="1"/>
  <c r="Z16" i="1" s="1"/>
  <c r="AA16" i="1" s="1"/>
  <c r="U17" i="1" l="1"/>
  <c r="U18" i="1"/>
  <c r="Y3" i="1"/>
  <c r="W16" i="1" s="1"/>
  <c r="Y16" i="1" s="1"/>
  <c r="Z17" i="1" l="1"/>
  <c r="AA17" i="1" s="1"/>
  <c r="U46" i="1"/>
  <c r="E31" i="1"/>
  <c r="E33" i="1" s="1"/>
  <c r="P7" i="1"/>
  <c r="W17" i="1" l="1"/>
  <c r="Y17" i="1" s="1"/>
  <c r="W18" i="1"/>
  <c r="K31" i="1"/>
  <c r="U47" i="1"/>
  <c r="AD2" i="1"/>
  <c r="U35" i="1" l="1"/>
  <c r="X36" i="1" l="1"/>
  <c r="X37" i="1"/>
  <c r="X35" i="1"/>
  <c r="H42" i="1" l="1"/>
  <c r="X38" i="1"/>
  <c r="X39" i="1" s="1"/>
  <c r="K37" i="1" s="1"/>
  <c r="K53" i="1" l="1"/>
  <c r="U37" i="1"/>
  <c r="W47" i="1"/>
  <c r="K34" i="1" s="1"/>
  <c r="K33" i="1"/>
  <c r="H44" i="1" s="1"/>
  <c r="K51" i="1" s="1"/>
  <c r="W46" i="1"/>
  <c r="W35" i="1"/>
  <c r="W36" i="1" l="1"/>
  <c r="E34" i="1"/>
  <c r="U36" i="1"/>
  <c r="K54" i="1"/>
  <c r="W37" i="1"/>
  <c r="Y18" i="1"/>
  <c r="U39" i="1" l="1"/>
  <c r="U41" i="1" s="1"/>
  <c r="H43" i="1"/>
  <c r="H45" i="1"/>
  <c r="K52" i="1"/>
  <c r="K55" i="1" s="1"/>
  <c r="W39" i="1"/>
  <c r="K36" i="1" s="1"/>
  <c r="K38" i="1" s="1"/>
  <c r="H47" i="1" s="1"/>
  <c r="U42" i="1" l="1"/>
  <c r="U43" i="1" s="1"/>
  <c r="U45" i="1" s="1"/>
  <c r="E36" i="1"/>
  <c r="E38" i="1" s="1"/>
  <c r="W41" i="1"/>
  <c r="H46" i="1" l="1"/>
  <c r="H48" i="1" s="1"/>
  <c r="W45" i="1"/>
</calcChain>
</file>

<file path=xl/sharedStrings.xml><?xml version="1.0" encoding="utf-8"?>
<sst xmlns="http://schemas.openxmlformats.org/spreadsheetml/2006/main" count="306" uniqueCount="179">
  <si>
    <t>Gender</t>
  </si>
  <si>
    <t>Male</t>
  </si>
  <si>
    <t>Female</t>
  </si>
  <si>
    <t>Years</t>
  </si>
  <si>
    <t>Days</t>
  </si>
  <si>
    <t>Pension</t>
  </si>
  <si>
    <t>Lump Sum</t>
  </si>
  <si>
    <t>Start</t>
  </si>
  <si>
    <t>End</t>
  </si>
  <si>
    <t>Spouse</t>
  </si>
  <si>
    <t>Difference</t>
  </si>
  <si>
    <t>Scheme</t>
  </si>
  <si>
    <t>Pension Factor</t>
  </si>
  <si>
    <t>Lump Sum Factor</t>
  </si>
  <si>
    <t>Factors</t>
  </si>
  <si>
    <t xml:space="preserve"> </t>
  </si>
  <si>
    <t>With Inflation</t>
  </si>
  <si>
    <t>The actual rate of pension that would be payable to the senior manager if they became entitled to it at the end of the of the financial year.</t>
  </si>
  <si>
    <t>The amount of lump sum that would be payable to the senior manager if they became entitled to it at the end of the financial year</t>
  </si>
  <si>
    <t>The annual rate of pension, adjusted for inflation that would be payable to the senior manager if they became entitled to it at the beginning of the year</t>
  </si>
  <si>
    <t>The amount of lump sum, adjusted for inflation, that would be payable to the senior manager if they became entitled to it at the beginning of the financial year</t>
  </si>
  <si>
    <t>PE</t>
  </si>
  <si>
    <t>LSE</t>
  </si>
  <si>
    <t>PB</t>
  </si>
  <si>
    <t>LSB</t>
  </si>
  <si>
    <t>Start adj inflation</t>
  </si>
  <si>
    <t>Annual Increase to total Remuneration package</t>
  </si>
  <si>
    <t>Age</t>
  </si>
  <si>
    <t xml:space="preserve"> Gender</t>
  </si>
  <si>
    <t>Relevant Date</t>
  </si>
  <si>
    <t>NRA</t>
  </si>
  <si>
    <t>Care Adjust Factor</t>
  </si>
  <si>
    <t>DOB</t>
  </si>
  <si>
    <t>Actual</t>
  </si>
  <si>
    <t>Male 60</t>
  </si>
  <si>
    <t>Female 60</t>
  </si>
  <si>
    <t>Male 65</t>
  </si>
  <si>
    <t>Female 65</t>
  </si>
  <si>
    <t>Relevant date</t>
  </si>
  <si>
    <t>Pension factor</t>
  </si>
  <si>
    <t>Lump sum factor</t>
  </si>
  <si>
    <t>Widow(er)'s pension factor</t>
  </si>
  <si>
    <t>Pre-88 GMP factor</t>
  </si>
  <si>
    <t>Post-88 GMP factor</t>
  </si>
  <si>
    <t>NI Mod factor</t>
  </si>
  <si>
    <t>GMP Adjustment</t>
  </si>
  <si>
    <t>Age last birthday at guarantee date</t>
  </si>
  <si>
    <t>FS</t>
  </si>
  <si>
    <t>CARE</t>
  </si>
  <si>
    <t>CETV</t>
  </si>
  <si>
    <t xml:space="preserve"> Final Salary Pension</t>
  </si>
  <si>
    <t xml:space="preserve"> Care Pension</t>
  </si>
  <si>
    <t xml:space="preserve"> Lump Sum</t>
  </si>
  <si>
    <t xml:space="preserve"> Total Pension</t>
  </si>
  <si>
    <t xml:space="preserve"> Final Salary CETV</t>
  </si>
  <si>
    <t xml:space="preserve"> Care CETV</t>
  </si>
  <si>
    <t xml:space="preserve"> Total CETV</t>
  </si>
  <si>
    <t xml:space="preserve"> Real Increase in Pension</t>
  </si>
  <si>
    <t xml:space="preserve"> Real Increase in Lump Sum</t>
  </si>
  <si>
    <t xml:space="preserve"> Accrued Pension</t>
  </si>
  <si>
    <t xml:space="preserve"> Accrued Lump Sum</t>
  </si>
  <si>
    <t xml:space="preserve"> CETV at start of period</t>
  </si>
  <si>
    <t xml:space="preserve"> CETV at end of period</t>
  </si>
  <si>
    <t xml:space="preserve"> Real Increase in CETV</t>
  </si>
  <si>
    <t xml:space="preserve"> Inflation Rate</t>
  </si>
  <si>
    <t xml:space="preserve"> Age at Start of Period</t>
  </si>
  <si>
    <t xml:space="preserve"> Name</t>
  </si>
  <si>
    <t>NHS 2015 Section</t>
  </si>
  <si>
    <t>NHS 1995 Section</t>
  </si>
  <si>
    <t>NHS 2008 Section</t>
  </si>
  <si>
    <t>Final Salary Service</t>
  </si>
  <si>
    <t>Age last birthday at relevant date</t>
  </si>
  <si>
    <t>Gross Pension of £1 per annum</t>
  </si>
  <si>
    <t>Lump Sum of £1</t>
  </si>
  <si>
    <t>Deduction for NI Modification of £1 pa</t>
  </si>
  <si>
    <t>Surviving Partner's Pension of £1 pa</t>
  </si>
  <si>
    <t>2016/2017</t>
  </si>
  <si>
    <t>15/16</t>
  </si>
  <si>
    <t>16/17</t>
  </si>
  <si>
    <t>Factor</t>
  </si>
  <si>
    <t>M</t>
  </si>
  <si>
    <t>F</t>
  </si>
  <si>
    <t>NHS Pension Scheme(s)</t>
  </si>
  <si>
    <t xml:space="preserve"> Date of Birth</t>
  </si>
  <si>
    <t>Benefits (without inflation)</t>
  </si>
  <si>
    <t>Table TV2 – 1995 section: Males Normal Pension Age 60</t>
  </si>
  <si>
    <t>Table TV2 – 1995 section: Females Normal Pension Age 60</t>
  </si>
  <si>
    <t>Table TV3 – 2008 Section: Males Normal Pension Age 65</t>
  </si>
  <si>
    <t>Table TV4 – 2008 Section: Females Normal Pension Age 65 (up to age 59)</t>
  </si>
  <si>
    <t xml:space="preserve">Lump Sum Factor </t>
  </si>
  <si>
    <t xml:space="preserve">Surviving Partner's Pension Factor </t>
  </si>
  <si>
    <t xml:space="preserve">Male Deduction for GMP </t>
  </si>
  <si>
    <t xml:space="preserve">Deduction for NI Modification </t>
  </si>
  <si>
    <t xml:space="preserve">GMP Adj </t>
  </si>
  <si>
    <t xml:space="preserve">Female Deduction for GMP </t>
  </si>
  <si>
    <t xml:space="preserve">Pension Factor </t>
  </si>
  <si>
    <t>Lump Sum Factor (Choice Optants only)</t>
  </si>
  <si>
    <t xml:space="preserve">Deduction for NI Modification  </t>
  </si>
  <si>
    <t xml:space="preserve">Lump Sum Factor 
(Choice Optants only) </t>
  </si>
  <si>
    <t>Female Deduction for Pre88 GMP</t>
  </si>
  <si>
    <t xml:space="preserve">Female Deduction for Post88 GMP  </t>
  </si>
  <si>
    <t>(Factor A)</t>
  </si>
  <si>
    <t>(Factor B)</t>
  </si>
  <si>
    <t>(Factor C)</t>
  </si>
  <si>
    <t>(Factor D)</t>
  </si>
  <si>
    <t>(Factor F)</t>
  </si>
  <si>
    <t>(Factor E)</t>
  </si>
  <si>
    <t>(Factor †E)</t>
  </si>
  <si>
    <t>Notes:</t>
  </si>
  <si>
    <r>
      <t>1.</t>
    </r>
    <r>
      <rPr>
        <sz val="9"/>
        <color theme="1"/>
        <rFont val="Arial"/>
        <family val="2"/>
      </rPr>
      <t xml:space="preserve"> When calculating the deduction for GMP, the factor given should be applied to the sum of the GMP amount per annum in respect of service up to 5 April 1988 and</t>
    </r>
    <r>
      <rPr>
        <sz val="9"/>
        <color rgb="FFFF0000"/>
        <rFont val="Arial"/>
        <family val="2"/>
      </rPr>
      <t xml:space="preserve"> </t>
    </r>
    <r>
      <rPr>
        <b/>
        <sz val="9"/>
        <color rgb="FFFF0000"/>
        <rFont val="Arial"/>
        <family val="2"/>
      </rPr>
      <t>15%</t>
    </r>
    <r>
      <rPr>
        <sz val="9"/>
        <color theme="1"/>
        <rFont val="Arial"/>
        <family val="2"/>
      </rPr>
      <t xml:space="preserve"> of the GMP amount per annum in respect of service after that date</t>
    </r>
  </si>
  <si>
    <r>
      <t>1.</t>
    </r>
    <r>
      <rPr>
        <sz val="9"/>
        <color theme="1"/>
        <rFont val="Arial"/>
        <family val="2"/>
      </rPr>
      <t xml:space="preserve"> When calculating the deduction for GMP for </t>
    </r>
    <r>
      <rPr>
        <b/>
        <sz val="9"/>
        <color rgb="FFFF0000"/>
        <rFont val="Arial"/>
        <family val="2"/>
      </rPr>
      <t>males</t>
    </r>
    <r>
      <rPr>
        <sz val="9"/>
        <color theme="1"/>
        <rFont val="Arial"/>
        <family val="2"/>
      </rPr>
      <t xml:space="preserve">, the factor given should be applied to the sum of the GMP amount per annum in respect of service up to 5 April 1988 and </t>
    </r>
    <r>
      <rPr>
        <b/>
        <sz val="9"/>
        <color rgb="FFFF0000"/>
        <rFont val="Arial"/>
        <family val="2"/>
      </rPr>
      <t>15%</t>
    </r>
    <r>
      <rPr>
        <sz val="9"/>
        <color theme="1"/>
        <rFont val="Arial"/>
        <family val="2"/>
      </rPr>
      <t xml:space="preserve"> of the GMP amount per annum in respect of service after that date</t>
    </r>
  </si>
  <si>
    <r>
      <t xml:space="preserve">1. </t>
    </r>
    <r>
      <rPr>
        <sz val="9"/>
        <color theme="1"/>
        <rFont val="Arial"/>
        <family val="2"/>
      </rPr>
      <t xml:space="preserve">When calculating the deduction for GMP for </t>
    </r>
    <r>
      <rPr>
        <b/>
        <sz val="9"/>
        <color rgb="FFFF0000"/>
        <rFont val="Arial"/>
        <family val="2"/>
      </rPr>
      <t>females</t>
    </r>
    <r>
      <rPr>
        <sz val="9"/>
        <color theme="1"/>
        <rFont val="Arial"/>
        <family val="2"/>
      </rPr>
      <t xml:space="preserve">, the factor given should be applied to the sum of the GMP amount per annum in respect of service up to 5 April 1988 and </t>
    </r>
    <r>
      <rPr>
        <b/>
        <sz val="9"/>
        <color rgb="FFFF0000"/>
        <rFont val="Arial"/>
        <family val="2"/>
      </rPr>
      <t>350%</t>
    </r>
    <r>
      <rPr>
        <sz val="9"/>
        <color rgb="FFFF0000"/>
        <rFont val="Arial"/>
        <family val="2"/>
      </rPr>
      <t xml:space="preserve"> </t>
    </r>
    <r>
      <rPr>
        <sz val="9"/>
        <color theme="1"/>
        <rFont val="Arial"/>
        <family val="2"/>
      </rPr>
      <t>of the GMP amount per annum in respect of service after that date</t>
    </r>
  </si>
  <si>
    <t>Table CEM60 - CETV factors for men, NPA 60, STSS</t>
  </si>
  <si>
    <t>Table CEF60 - CETV factors for women, NPA 60, STSS</t>
  </si>
  <si>
    <t>Table CEM65 - CETV factors for men, NPA 65, STSS and STPS</t>
  </si>
  <si>
    <t>Table CEF65a - CETV factors for women, NPA 65, ages 20 to 59, STSS and STPS</t>
  </si>
  <si>
    <r>
      <t>Deduction</t>
    </r>
    <r>
      <rPr>
        <b/>
        <vertAlign val="superscript"/>
        <sz val="10"/>
        <rFont val="Arial"/>
        <family val="2"/>
      </rPr>
      <t>1</t>
    </r>
    <r>
      <rPr>
        <b/>
        <sz val="10"/>
        <rFont val="Arial"/>
        <family val="2"/>
      </rPr>
      <t xml:space="preserve"> for GMP of £1 pa</t>
    </r>
  </si>
  <si>
    <r>
      <t>Deduction</t>
    </r>
    <r>
      <rPr>
        <b/>
        <vertAlign val="superscript"/>
        <sz val="9"/>
        <rFont val="Arial"/>
        <family val="2"/>
      </rPr>
      <t>1</t>
    </r>
    <r>
      <rPr>
        <b/>
        <sz val="9"/>
        <rFont val="Arial"/>
        <family val="2"/>
      </rPr>
      <t xml:space="preserve"> for GMP of £1 pa</t>
    </r>
  </si>
  <si>
    <t>NHS</t>
  </si>
  <si>
    <t>STSS</t>
  </si>
  <si>
    <t>Table TV1 Member and Dependant CETV factors</t>
  </si>
  <si>
    <t>Years to PNPA (rounded up)</t>
  </si>
  <si>
    <t>Surviving Partner's Pension factor</t>
  </si>
  <si>
    <t>Partner's Factor</t>
  </si>
  <si>
    <t>Years to NPA (rounded up)</t>
  </si>
  <si>
    <t>Factor at 31/03/2019</t>
  </si>
  <si>
    <t>Factors at 31/03/2018</t>
  </si>
  <si>
    <t>CARE NRA</t>
  </si>
  <si>
    <t>17/18</t>
  </si>
  <si>
    <t>18/19</t>
  </si>
  <si>
    <t>Scheme Year</t>
  </si>
  <si>
    <t>CARE Pension</t>
  </si>
  <si>
    <t xml:space="preserve"> Final Salary Pension Scheme</t>
  </si>
  <si>
    <t xml:space="preserve"> State Pension Age: Years, Months</t>
  </si>
  <si>
    <t xml:space="preserve"> 15/16 CARE Actual Earnings</t>
  </si>
  <si>
    <t xml:space="preserve"> 16/17 CARE Actual Earnings </t>
  </si>
  <si>
    <t xml:space="preserve"> 17/18 CARE Actual Earnings</t>
  </si>
  <si>
    <t xml:space="preserve"> 18/19 CARE Actual Earnings</t>
  </si>
  <si>
    <t xml:space="preserve"> Age at End of Period </t>
  </si>
  <si>
    <t>Quick Ref Key</t>
  </si>
  <si>
    <t>State Pension Age in Years &amp; Months</t>
  </si>
  <si>
    <r>
      <t xml:space="preserve">The </t>
    </r>
    <r>
      <rPr>
        <b/>
        <u/>
        <sz val="10"/>
        <color theme="1"/>
        <rFont val="Arial"/>
        <family val="2"/>
      </rPr>
      <t>actual</t>
    </r>
    <r>
      <rPr>
        <b/>
        <sz val="10"/>
        <color theme="1"/>
        <rFont val="Arial"/>
        <family val="2"/>
      </rPr>
      <t xml:space="preserve"> pensionable earnings for 01/04/2015 - 31/03/2016</t>
    </r>
  </si>
  <si>
    <r>
      <t xml:space="preserve">The </t>
    </r>
    <r>
      <rPr>
        <b/>
        <u/>
        <sz val="10"/>
        <color theme="1"/>
        <rFont val="Arial"/>
        <family val="2"/>
      </rPr>
      <t>actual</t>
    </r>
    <r>
      <rPr>
        <b/>
        <sz val="10"/>
        <color theme="1"/>
        <rFont val="Arial"/>
        <family val="2"/>
      </rPr>
      <t xml:space="preserve"> pensionable earnings for 01/04/2016 - 31/03/2017</t>
    </r>
  </si>
  <si>
    <r>
      <t xml:space="preserve">The </t>
    </r>
    <r>
      <rPr>
        <b/>
        <u/>
        <sz val="10"/>
        <color theme="1"/>
        <rFont val="Arial"/>
        <family val="2"/>
      </rPr>
      <t>actual</t>
    </r>
    <r>
      <rPr>
        <b/>
        <sz val="10"/>
        <color theme="1"/>
        <rFont val="Arial"/>
        <family val="2"/>
      </rPr>
      <t xml:space="preserve"> pensionable earnings for 01/04/2017 - 31/03/2018</t>
    </r>
  </si>
  <si>
    <t>19/20</t>
  </si>
  <si>
    <t xml:space="preserve"> 19/20 CARE Actual Earnings</t>
  </si>
  <si>
    <r>
      <t xml:space="preserve">The </t>
    </r>
    <r>
      <rPr>
        <b/>
        <u/>
        <sz val="10"/>
        <color theme="1"/>
        <rFont val="Arial"/>
        <family val="2"/>
      </rPr>
      <t>actual</t>
    </r>
    <r>
      <rPr>
        <b/>
        <sz val="10"/>
        <color theme="1"/>
        <rFont val="Arial"/>
        <family val="2"/>
      </rPr>
      <t xml:space="preserve"> pensionable earnings for 01/04/2018 - 31/03/2019</t>
    </r>
  </si>
  <si>
    <t>20/21</t>
  </si>
  <si>
    <t xml:space="preserve"> 20/21 CARE Actual Earnings</t>
  </si>
  <si>
    <r>
      <t xml:space="preserve">The </t>
    </r>
    <r>
      <rPr>
        <b/>
        <u/>
        <sz val="10"/>
        <color theme="1"/>
        <rFont val="Arial"/>
        <family val="2"/>
      </rPr>
      <t>actual</t>
    </r>
    <r>
      <rPr>
        <b/>
        <sz val="10"/>
        <color theme="1"/>
        <rFont val="Arial"/>
        <family val="2"/>
      </rPr>
      <t xml:space="preserve"> pensionable earnings for 01/04/2020 - 31/03/2021</t>
    </r>
  </si>
  <si>
    <r>
      <t xml:space="preserve">The </t>
    </r>
    <r>
      <rPr>
        <b/>
        <u/>
        <sz val="10"/>
        <color theme="1"/>
        <rFont val="Arial"/>
        <family val="2"/>
      </rPr>
      <t>actual</t>
    </r>
    <r>
      <rPr>
        <b/>
        <sz val="10"/>
        <color theme="1"/>
        <rFont val="Arial"/>
        <family val="2"/>
      </rPr>
      <t xml:space="preserve"> pensionable earnings for 01/04/2019 - 31/03/2020</t>
    </r>
  </si>
  <si>
    <t xml:space="preserve"> 21/22 CARE Actual Earnings</t>
  </si>
  <si>
    <t>21/22</t>
  </si>
  <si>
    <t xml:space="preserve"> 22/23 CARE Actual Earnings</t>
  </si>
  <si>
    <t>22/23</t>
  </si>
  <si>
    <t>The actual pensionable earnings for 01/04/2021 - 31/03/2022</t>
  </si>
  <si>
    <t>Final Salary Service @ the date the member transitioned to CARE</t>
  </si>
  <si>
    <t>The actual pensionable earnings for 01/04/2022 - 31/03/2023</t>
  </si>
  <si>
    <t>23/24</t>
  </si>
  <si>
    <t xml:space="preserve"> 23/24 CARE Actual Earnings</t>
  </si>
  <si>
    <t>The actual pensionable earnings for 01/04/2023 - 31/03/2024</t>
  </si>
  <si>
    <t>Benefits (including inflation)</t>
  </si>
  <si>
    <t xml:space="preserve"> 24/25 CARE Actual Earnings</t>
  </si>
  <si>
    <t xml:space="preserve"> 24/25 WTE Final Salary Link Pay</t>
  </si>
  <si>
    <t>24/25</t>
  </si>
  <si>
    <t xml:space="preserve">End Period        -      </t>
  </si>
  <si>
    <t xml:space="preserve">Start Period       -      </t>
  </si>
  <si>
    <t>The actual pensionable earnings for 01/04/2024 - 31/03/2025</t>
  </si>
  <si>
    <r>
      <t xml:space="preserve">PLEASE NOTE: SPPA </t>
    </r>
    <r>
      <rPr>
        <b/>
        <u/>
        <sz val="11"/>
        <color rgb="FFFF0000"/>
        <rFont val="Arial"/>
        <family val="2"/>
      </rPr>
      <t>do not</t>
    </r>
    <r>
      <rPr>
        <b/>
        <sz val="11"/>
        <color rgb="FFFF0000"/>
        <rFont val="Arial"/>
        <family val="2"/>
      </rPr>
      <t xml:space="preserve"> deduct Employee Contributions. For further information please see the online guidance.</t>
    </r>
  </si>
  <si>
    <t>Choose</t>
  </si>
  <si>
    <t>2025 /2026</t>
  </si>
  <si>
    <t xml:space="preserve"> 25/26 CARE Actual Earnings</t>
  </si>
  <si>
    <t xml:space="preserve"> 25/26 WTE Final Salary Link Pay</t>
  </si>
  <si>
    <t>Resource Account Calculator for Unprotected Members to 31/03/2026</t>
  </si>
  <si>
    <t>25/26</t>
  </si>
  <si>
    <t>These cells will automatically be populated with the same service as cells 2. As members cannot accrue any further final salary service once they have transitioned in to the CARE Scheme, unless they have an additional years contract in place.</t>
  </si>
  <si>
    <t>The actual pensionable earnings for 01/04/2025 - 31/03/2026</t>
  </si>
  <si>
    <r>
      <t xml:space="preserve">The Whole-Time Equivalent salary for 01/04/2024 - 31/03/2025 (if the member is full-time, this should match cell </t>
    </r>
    <r>
      <rPr>
        <b/>
        <sz val="10"/>
        <color rgb="FFFF0000"/>
        <rFont val="Arial"/>
        <family val="2"/>
      </rPr>
      <t>12</t>
    </r>
    <r>
      <rPr>
        <b/>
        <sz val="10"/>
        <color theme="1"/>
        <rFont val="Arial"/>
        <family val="2"/>
      </rPr>
      <t>)</t>
    </r>
  </si>
  <si>
    <r>
      <t xml:space="preserve">The Whole-Time Equivalent salary for 01/04/2025 - 31/03/2026 (if the member is full-time, this should match cell </t>
    </r>
    <r>
      <rPr>
        <b/>
        <sz val="10"/>
        <color rgb="FFFF0000"/>
        <rFont val="Arial"/>
        <family val="2"/>
      </rPr>
      <t>15</t>
    </r>
    <r>
      <rPr>
        <b/>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</si>
</sst>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quot;£&quot;#,##0"/>
  </numFmts>
  <fonts count="45" x14ac:knownFonts="1">
    <font>
      <sz val="10"/>
      <name val="Arial"/>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0"/>
      <name val="Arial"/>
      <family val="2"/>
    </font>
    <font>
      <b/>
      <sz val="10"/>
      <name val="Arial"/>
      <family val="2"/>
    </font>
    <font>
      <sz val="10"/>
      <color theme="1"/>
      <name val="Arial"/>
      <family val="2"/>
    </font>
    <font>
      <sz val="10"/>
      <color theme="0"/>
      <name val="Arial"/>
      <family val="2"/>
    </font>
    <font>
      <b/>
      <sz val="10"/>
      <color theme="1"/>
      <name val="Arial"/>
      <family val="2"/>
    </font>
    <font>
      <b/>
      <u/>
      <sz val="10"/>
      <color theme="1"/>
      <name val="Arial"/>
      <family val="2"/>
    </font>
    <font>
      <b/>
      <sz val="16"/>
      <color theme="1"/>
      <name val="Arial"/>
      <family val="2"/>
    </font>
    <font>
      <sz val="10"/>
      <color rgb="FFFF0000"/>
      <name val="Arial"/>
      <family val="2"/>
    </font>
    <font>
      <b/>
      <sz val="12"/>
      <color theme="1"/>
      <name val="Arial"/>
      <family val="2"/>
    </font>
    <font>
      <b/>
      <sz val="12"/>
      <name val="Arial"/>
      <family val="2"/>
    </font>
    <font>
      <b/>
      <sz val="12"/>
      <color theme="0"/>
      <name val="Arial"/>
      <family val="2"/>
    </font>
    <font>
      <sz val="11"/>
      <color theme="1"/>
      <name val="Calibri"/>
      <family val="2"/>
      <scheme val="minor"/>
    </font>
    <font>
      <b/>
      <sz val="11"/>
      <name val="Arial"/>
      <family val="2"/>
    </font>
    <font>
      <u/>
      <sz val="6"/>
      <color indexed="12"/>
      <name val="Arial"/>
      <family val="2"/>
    </font>
    <font>
      <u/>
      <sz val="10"/>
      <color theme="10"/>
      <name val="Arial"/>
      <family val="2"/>
    </font>
    <font>
      <sz val="9"/>
      <name val="Arial"/>
      <family val="2"/>
    </font>
    <font>
      <b/>
      <sz val="9"/>
      <name val="Arial"/>
      <family val="2"/>
    </font>
    <font>
      <sz val="9"/>
      <color rgb="FFFF0000"/>
      <name val="Arial"/>
      <family val="2"/>
    </font>
    <font>
      <b/>
      <sz val="10"/>
      <color theme="0"/>
      <name val="Arial"/>
      <family val="2"/>
    </font>
    <font>
      <b/>
      <u/>
      <sz val="10"/>
      <color theme="0"/>
      <name val="Arial"/>
      <family val="2"/>
    </font>
    <font>
      <b/>
      <sz val="10"/>
      <color rgb="FFFF0000"/>
      <name val="Arial"/>
      <family val="2"/>
    </font>
    <font>
      <b/>
      <sz val="8"/>
      <color rgb="FFFF0000"/>
      <name val="Arial"/>
      <family val="2"/>
    </font>
    <font>
      <b/>
      <sz val="11"/>
      <color theme="1"/>
      <name val="Arial"/>
      <family val="2"/>
    </font>
    <font>
      <b/>
      <sz val="9"/>
      <color theme="1"/>
      <name val="Arial"/>
      <family val="2"/>
    </font>
    <font>
      <sz val="9"/>
      <color theme="1"/>
      <name val="Arial"/>
      <family val="2"/>
    </font>
    <font>
      <b/>
      <sz val="9"/>
      <color rgb="FF000000"/>
      <name val="Arial"/>
      <family val="2"/>
    </font>
    <font>
      <b/>
      <sz val="9"/>
      <color rgb="FFFF0000"/>
      <name val="Arial"/>
      <family val="2"/>
    </font>
    <font>
      <b/>
      <vertAlign val="superscript"/>
      <sz val="10"/>
      <name val="Arial"/>
      <family val="2"/>
    </font>
    <font>
      <b/>
      <vertAlign val="superscript"/>
      <sz val="9"/>
      <name val="Arial"/>
      <family val="2"/>
    </font>
    <font>
      <sz val="11"/>
      <color theme="1"/>
      <name val="Arial"/>
      <family val="2"/>
    </font>
    <font>
      <sz val="11"/>
      <color rgb="FF000000"/>
      <name val="Calibri"/>
      <family val="2"/>
    </font>
    <font>
      <b/>
      <u/>
      <sz val="14"/>
      <color rgb="FFFF0000"/>
      <name val="Arial"/>
      <family val="2"/>
    </font>
    <font>
      <b/>
      <u/>
      <sz val="10"/>
      <color rgb="FFFF0000"/>
      <name val="Arial"/>
      <family val="2"/>
    </font>
    <font>
      <sz val="28"/>
      <color rgb="FFFF0000"/>
      <name val="Arial"/>
      <family val="2"/>
    </font>
    <font>
      <b/>
      <sz val="14"/>
      <name val="Arial"/>
      <family val="2"/>
    </font>
    <font>
      <sz val="28"/>
      <name val="Arial"/>
      <family val="2"/>
    </font>
    <font>
      <b/>
      <sz val="11"/>
      <color rgb="FFFF0000"/>
      <name val="Arial"/>
      <family val="2"/>
    </font>
    <font>
      <b/>
      <u/>
      <sz val="11"/>
      <color rgb="FFFF0000"/>
      <name val="Arial"/>
      <family val="2"/>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47"/>
        <bgColor indexed="64"/>
      </patternFill>
    </fill>
    <fill>
      <patternFill patternType="solid">
        <fgColor theme="0" tint="-0.14999847407452621"/>
        <bgColor indexed="64"/>
      </patternFill>
    </fill>
    <fill>
      <patternFill patternType="solid">
        <fgColor theme="4" tint="0.59999389629810485"/>
        <bgColor indexed="64"/>
      </patternFill>
    </fill>
  </fills>
  <borders count="5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0">
    <xf numFmtId="0" fontId="0" fillId="0" borderId="0"/>
    <xf numFmtId="0" fontId="5" fillId="0" borderId="0"/>
    <xf numFmtId="0" fontId="5" fillId="0" borderId="0"/>
    <xf numFmtId="0" fontId="7" fillId="0" borderId="0"/>
    <xf numFmtId="0" fontId="9" fillId="0" borderId="0"/>
    <xf numFmtId="0" fontId="9" fillId="0" borderId="0"/>
    <xf numFmtId="0" fontId="9" fillId="0" borderId="0"/>
    <xf numFmtId="9" fontId="7" fillId="0" borderId="0" applyFont="0" applyFill="0" applyBorder="0" applyAlignment="0" applyProtection="0"/>
    <xf numFmtId="0" fontId="18" fillId="0" borderId="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cellStyleXfs>
  <cellXfs count="394">
    <xf numFmtId="0" fontId="0" fillId="0" borderId="0" xfId="0"/>
    <xf numFmtId="0" fontId="0" fillId="2" borderId="0" xfId="0" applyFill="1"/>
    <xf numFmtId="0" fontId="5" fillId="2" borderId="0" xfId="2" applyFill="1"/>
    <xf numFmtId="0" fontId="5" fillId="0" borderId="0" xfId="2"/>
    <xf numFmtId="0" fontId="5" fillId="3" borderId="0" xfId="2" applyFill="1"/>
    <xf numFmtId="0" fontId="29" fillId="2" borderId="0" xfId="0" applyFont="1" applyFill="1" applyAlignment="1">
      <alignment vertical="center"/>
    </xf>
    <xf numFmtId="0" fontId="30" fillId="9" borderId="2"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9" borderId="2" xfId="16" applyFont="1" applyFill="1" applyBorder="1" applyAlignment="1">
      <alignment horizontal="center" vertical="center" wrapText="1"/>
    </xf>
    <xf numFmtId="0" fontId="30" fillId="7" borderId="2" xfId="16" applyFont="1" applyFill="1" applyBorder="1" applyAlignment="1">
      <alignment horizontal="center" vertical="center" wrapText="1"/>
    </xf>
    <xf numFmtId="0" fontId="31" fillId="9" borderId="2" xfId="0" applyFont="1" applyFill="1" applyBorder="1" applyAlignment="1">
      <alignment horizontal="center" vertical="center"/>
    </xf>
    <xf numFmtId="2" fontId="31" fillId="9" borderId="2" xfId="0" applyNumberFormat="1" applyFont="1" applyFill="1" applyBorder="1" applyAlignment="1">
      <alignment horizontal="center" vertical="center"/>
    </xf>
    <xf numFmtId="2" fontId="31" fillId="9" borderId="14" xfId="0" applyNumberFormat="1" applyFont="1" applyFill="1" applyBorder="1" applyAlignment="1">
      <alignment horizontal="center" vertical="center"/>
    </xf>
    <xf numFmtId="0" fontId="31" fillId="7" borderId="2" xfId="0" applyFont="1" applyFill="1" applyBorder="1" applyAlignment="1">
      <alignment horizontal="center" vertical="center"/>
    </xf>
    <xf numFmtId="2" fontId="31" fillId="7" borderId="2" xfId="0" applyNumberFormat="1" applyFont="1" applyFill="1" applyBorder="1" applyAlignment="1">
      <alignment horizontal="center" vertical="center"/>
    </xf>
    <xf numFmtId="2" fontId="31" fillId="9" borderId="2" xfId="16" applyNumberFormat="1" applyFont="1" applyFill="1" applyBorder="1" applyAlignment="1">
      <alignment horizontal="center" vertical="center"/>
    </xf>
    <xf numFmtId="2" fontId="31" fillId="7" borderId="2" xfId="16" applyNumberFormat="1" applyFont="1" applyFill="1" applyBorder="1" applyAlignment="1">
      <alignment horizontal="center" vertical="center"/>
    </xf>
    <xf numFmtId="2" fontId="1" fillId="9" borderId="2" xfId="38" applyNumberFormat="1" applyFill="1" applyBorder="1" applyAlignment="1">
      <alignment horizontal="center" vertical="center" wrapText="1"/>
    </xf>
    <xf numFmtId="2" fontId="31" fillId="7" borderId="2" xfId="6" applyNumberFormat="1" applyFont="1" applyFill="1" applyBorder="1" applyAlignment="1">
      <alignment horizontal="center" vertical="center"/>
    </xf>
    <xf numFmtId="0" fontId="32" fillId="2" borderId="0" xfId="0" applyFont="1" applyFill="1" applyAlignment="1">
      <alignment vertical="center"/>
    </xf>
    <xf numFmtId="0" fontId="31" fillId="7" borderId="2" xfId="0" applyFont="1" applyFill="1" applyBorder="1" applyAlignment="1">
      <alignment horizontal="center" vertical="center" wrapText="1"/>
    </xf>
    <xf numFmtId="2" fontId="31" fillId="7" borderId="2" xfId="16" applyNumberFormat="1" applyFont="1" applyFill="1" applyBorder="1" applyAlignment="1">
      <alignment horizontal="center" vertical="center" wrapText="1"/>
    </xf>
    <xf numFmtId="0" fontId="30" fillId="2" borderId="0" xfId="0" applyFont="1" applyFill="1" applyAlignment="1">
      <alignment horizontal="left" vertical="center" wrapText="1"/>
    </xf>
    <xf numFmtId="0" fontId="8" fillId="2" borderId="0" xfId="0" applyFont="1" applyFill="1"/>
    <xf numFmtId="0" fontId="8" fillId="9"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0" fillId="9" borderId="2" xfId="0" applyFill="1" applyBorder="1" applyAlignment="1">
      <alignment horizontal="center"/>
    </xf>
    <xf numFmtId="2" fontId="5" fillId="9" borderId="2" xfId="0" applyNumberFormat="1" applyFont="1" applyFill="1" applyBorder="1" applyAlignment="1">
      <alignment horizontal="center" vertical="center"/>
    </xf>
    <xf numFmtId="0" fontId="0" fillId="6" borderId="2" xfId="0" applyFill="1" applyBorder="1" applyAlignment="1">
      <alignment horizontal="center"/>
    </xf>
    <xf numFmtId="2" fontId="5" fillId="6" borderId="2" xfId="0" applyNumberFormat="1" applyFont="1" applyFill="1" applyBorder="1" applyAlignment="1">
      <alignment horizontal="center" vertical="center"/>
    </xf>
    <xf numFmtId="2" fontId="31" fillId="6" borderId="2" xfId="0" applyNumberFormat="1" applyFont="1" applyFill="1" applyBorder="1" applyAlignment="1">
      <alignment horizontal="center" vertical="center"/>
    </xf>
    <xf numFmtId="2" fontId="22" fillId="9" borderId="2" xfId="0" applyNumberFormat="1" applyFont="1" applyFill="1" applyBorder="1" applyAlignment="1">
      <alignment horizontal="center" vertical="center"/>
    </xf>
    <xf numFmtId="2" fontId="22" fillId="6" borderId="2" xfId="0" applyNumberFormat="1" applyFont="1" applyFill="1" applyBorder="1" applyAlignment="1">
      <alignment horizontal="center" vertical="center"/>
    </xf>
    <xf numFmtId="0" fontId="5" fillId="9" borderId="2" xfId="0" applyFont="1" applyFill="1" applyBorder="1" applyAlignment="1">
      <alignment horizontal="center" vertical="center"/>
    </xf>
    <xf numFmtId="0" fontId="5" fillId="6" borderId="2" xfId="0" applyFont="1" applyFill="1" applyBorder="1" applyAlignment="1">
      <alignment horizontal="center" vertical="center"/>
    </xf>
    <xf numFmtId="2" fontId="31" fillId="2" borderId="0" xfId="0" applyNumberFormat="1" applyFont="1" applyFill="1" applyAlignment="1">
      <alignment vertical="center"/>
    </xf>
    <xf numFmtId="0" fontId="0" fillId="3" borderId="0" xfId="0" applyFill="1"/>
    <xf numFmtId="0" fontId="19" fillId="12" borderId="5" xfId="0" applyFont="1" applyFill="1" applyBorder="1" applyAlignment="1">
      <alignment horizontal="left"/>
    </xf>
    <xf numFmtId="0" fontId="0" fillId="15" borderId="3" xfId="0" applyFill="1" applyBorder="1" applyAlignment="1">
      <alignment horizontal="center" vertical="center"/>
    </xf>
    <xf numFmtId="2" fontId="5" fillId="15" borderId="5" xfId="0" applyNumberFormat="1" applyFont="1" applyFill="1" applyBorder="1" applyAlignment="1">
      <alignment horizontal="center" vertical="center"/>
    </xf>
    <xf numFmtId="0" fontId="8" fillId="12" borderId="17" xfId="2" applyFont="1" applyFill="1" applyBorder="1" applyAlignment="1">
      <alignment horizontal="center" vertical="center"/>
    </xf>
    <xf numFmtId="0" fontId="8" fillId="8" borderId="3" xfId="2" applyFont="1" applyFill="1" applyBorder="1" applyAlignment="1">
      <alignment horizontal="center" vertical="center"/>
    </xf>
    <xf numFmtId="0" fontId="8" fillId="7" borderId="5" xfId="2" applyFont="1" applyFill="1" applyBorder="1" applyAlignment="1">
      <alignment horizontal="center" vertical="center"/>
    </xf>
    <xf numFmtId="0" fontId="8" fillId="10" borderId="3" xfId="0" applyFont="1" applyFill="1" applyBorder="1" applyAlignment="1">
      <alignment horizontal="center" vertical="center"/>
    </xf>
    <xf numFmtId="0" fontId="8" fillId="10" borderId="4" xfId="0" applyFont="1" applyFill="1" applyBorder="1" applyAlignment="1">
      <alignment horizontal="center" vertical="center"/>
    </xf>
    <xf numFmtId="0" fontId="8" fillId="10"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0" xfId="0" applyFont="1" applyFill="1" applyAlignment="1">
      <alignment horizontal="center" vertical="center"/>
    </xf>
    <xf numFmtId="0" fontId="8" fillId="5" borderId="7" xfId="0" applyFont="1" applyFill="1" applyBorder="1" applyAlignment="1">
      <alignment horizontal="center" vertical="center"/>
    </xf>
    <xf numFmtId="0" fontId="8" fillId="14" borderId="6" xfId="0" applyFont="1" applyFill="1" applyBorder="1" applyAlignment="1">
      <alignment horizontal="center" vertical="center"/>
    </xf>
    <xf numFmtId="0" fontId="8" fillId="14" borderId="0" xfId="0" applyFont="1" applyFill="1" applyAlignment="1">
      <alignment horizontal="center" vertical="center"/>
    </xf>
    <xf numFmtId="0" fontId="8" fillId="14" borderId="7" xfId="0" applyFont="1" applyFill="1" applyBorder="1" applyAlignment="1">
      <alignment horizontal="center" vertical="center"/>
    </xf>
    <xf numFmtId="0" fontId="19" fillId="12" borderId="7" xfId="0" applyFont="1" applyFill="1" applyBorder="1" applyAlignment="1">
      <alignment horizontal="left"/>
    </xf>
    <xf numFmtId="0" fontId="5" fillId="15" borderId="6" xfId="0" applyFont="1" applyFill="1" applyBorder="1" applyAlignment="1">
      <alignment horizontal="left" vertical="center"/>
    </xf>
    <xf numFmtId="2" fontId="5" fillId="15" borderId="7" xfId="0" applyNumberFormat="1" applyFont="1" applyFill="1" applyBorder="1" applyAlignment="1">
      <alignment horizontal="center" vertical="center"/>
    </xf>
    <xf numFmtId="2" fontId="5" fillId="5" borderId="6" xfId="0" applyNumberFormat="1" applyFont="1" applyFill="1" applyBorder="1" applyAlignment="1">
      <alignment horizontal="center" vertical="center"/>
    </xf>
    <xf numFmtId="2" fontId="5" fillId="5" borderId="0" xfId="0" applyNumberFormat="1" applyFont="1" applyFill="1" applyAlignment="1">
      <alignment horizontal="center" vertical="center"/>
    </xf>
    <xf numFmtId="2" fontId="5" fillId="5" borderId="7" xfId="0" applyNumberFormat="1" applyFont="1" applyFill="1" applyBorder="1" applyAlignment="1">
      <alignment horizontal="center" vertical="center"/>
    </xf>
    <xf numFmtId="2" fontId="5" fillId="14" borderId="6" xfId="0" applyNumberFormat="1" applyFont="1" applyFill="1" applyBorder="1" applyAlignment="1">
      <alignment horizontal="center" vertical="center"/>
    </xf>
    <xf numFmtId="2" fontId="5" fillId="14" borderId="0" xfId="0" applyNumberFormat="1" applyFont="1" applyFill="1" applyAlignment="1">
      <alignment horizontal="center" vertical="center"/>
    </xf>
    <xf numFmtId="2" fontId="5" fillId="14" borderId="7" xfId="0" applyNumberFormat="1" applyFont="1" applyFill="1" applyBorder="1" applyAlignment="1">
      <alignment horizontal="center" vertical="center"/>
    </xf>
    <xf numFmtId="14" fontId="19" fillId="12" borderId="7" xfId="0" applyNumberFormat="1" applyFont="1" applyFill="1" applyBorder="1" applyAlignment="1">
      <alignment horizontal="left"/>
    </xf>
    <xf numFmtId="0" fontId="0" fillId="15" borderId="7" xfId="0" applyFill="1" applyBorder="1" applyAlignment="1">
      <alignment horizontal="center" vertical="center"/>
    </xf>
    <xf numFmtId="0" fontId="8" fillId="12" borderId="9" xfId="0" applyFont="1" applyFill="1" applyBorder="1" applyAlignment="1">
      <alignment horizontal="left" vertical="center"/>
    </xf>
    <xf numFmtId="0" fontId="0" fillId="3" borderId="6" xfId="0" applyFill="1" applyBorder="1"/>
    <xf numFmtId="0" fontId="5" fillId="15" borderId="8" xfId="0" applyFont="1" applyFill="1" applyBorder="1" applyAlignment="1">
      <alignment horizontal="left" vertical="center"/>
    </xf>
    <xf numFmtId="0" fontId="0" fillId="15" borderId="9" xfId="0" applyFill="1" applyBorder="1" applyAlignment="1">
      <alignment horizontal="center" vertical="center"/>
    </xf>
    <xf numFmtId="2" fontId="5" fillId="5" borderId="8" xfId="0" applyNumberFormat="1" applyFont="1" applyFill="1" applyBorder="1" applyAlignment="1">
      <alignment horizontal="center" vertical="center"/>
    </xf>
    <xf numFmtId="2" fontId="5" fillId="5" borderId="1" xfId="0" applyNumberFormat="1" applyFont="1" applyFill="1" applyBorder="1" applyAlignment="1">
      <alignment horizontal="center" vertical="center"/>
    </xf>
    <xf numFmtId="2" fontId="5" fillId="5" borderId="9" xfId="0" applyNumberFormat="1" applyFont="1" applyFill="1" applyBorder="1" applyAlignment="1">
      <alignment horizontal="center" vertical="center"/>
    </xf>
    <xf numFmtId="2" fontId="5" fillId="14" borderId="8" xfId="0" applyNumberFormat="1" applyFont="1" applyFill="1" applyBorder="1" applyAlignment="1">
      <alignment horizontal="center" vertical="center"/>
    </xf>
    <xf numFmtId="2" fontId="5" fillId="14" borderId="1" xfId="0" applyNumberFormat="1" applyFont="1" applyFill="1" applyBorder="1" applyAlignment="1">
      <alignment horizontal="center" vertical="center"/>
    </xf>
    <xf numFmtId="2" fontId="5" fillId="14" borderId="9" xfId="0" applyNumberFormat="1" applyFont="1" applyFill="1" applyBorder="1" applyAlignment="1">
      <alignment horizontal="center" vertical="center"/>
    </xf>
    <xf numFmtId="0" fontId="29" fillId="0" borderId="0" xfId="0" applyFont="1" applyAlignment="1">
      <alignment vertical="center"/>
    </xf>
    <xf numFmtId="0" fontId="36" fillId="0" borderId="0" xfId="0" applyFont="1"/>
    <xf numFmtId="0" fontId="11" fillId="0" borderId="5" xfId="0" applyFont="1" applyBorder="1" applyAlignment="1">
      <alignment vertical="center" wrapText="1"/>
    </xf>
    <xf numFmtId="0" fontId="11" fillId="0" borderId="9" xfId="0" applyFont="1" applyBorder="1" applyAlignment="1">
      <alignment vertical="center" wrapText="1"/>
    </xf>
    <xf numFmtId="0" fontId="0" fillId="0" borderId="2" xfId="0" applyBorder="1"/>
    <xf numFmtId="0" fontId="2" fillId="0" borderId="19" xfId="0" applyFont="1" applyBorder="1" applyAlignment="1">
      <alignment horizontal="center" vertical="center"/>
    </xf>
    <xf numFmtId="0" fontId="0" fillId="4" borderId="2" xfId="0" applyFill="1" applyBorder="1" applyAlignment="1">
      <alignment horizontal="center" vertical="center"/>
    </xf>
    <xf numFmtId="2" fontId="5" fillId="12" borderId="18" xfId="2" applyNumberFormat="1" applyFill="1" applyBorder="1" applyAlignment="1">
      <alignment horizontal="center" vertical="center"/>
    </xf>
    <xf numFmtId="2" fontId="5" fillId="8" borderId="6" xfId="2" applyNumberFormat="1" applyFill="1" applyBorder="1" applyAlignment="1">
      <alignment horizontal="center" vertical="center"/>
    </xf>
    <xf numFmtId="2" fontId="5" fillId="10" borderId="0" xfId="2" applyNumberFormat="1" applyFill="1" applyAlignment="1">
      <alignment horizontal="center" vertical="center"/>
    </xf>
    <xf numFmtId="2" fontId="5" fillId="7" borderId="7" xfId="2" applyNumberFormat="1" applyFill="1" applyBorder="1" applyAlignment="1">
      <alignment horizontal="center" vertical="center"/>
    </xf>
    <xf numFmtId="2" fontId="5" fillId="10" borderId="6" xfId="2" applyNumberFormat="1" applyFill="1" applyBorder="1" applyAlignment="1">
      <alignment horizontal="center" vertical="center"/>
    </xf>
    <xf numFmtId="2" fontId="5" fillId="10" borderId="7" xfId="2" applyNumberFormat="1" applyFill="1" applyBorder="1" applyAlignment="1">
      <alignment horizontal="center" vertical="center"/>
    </xf>
    <xf numFmtId="2" fontId="5" fillId="12" borderId="19" xfId="2" applyNumberFormat="1" applyFill="1" applyBorder="1" applyAlignment="1">
      <alignment horizontal="center" vertical="center"/>
    </xf>
    <xf numFmtId="2" fontId="5" fillId="8" borderId="8" xfId="2" applyNumberFormat="1" applyFill="1" applyBorder="1" applyAlignment="1">
      <alignment horizontal="center" vertical="center"/>
    </xf>
    <xf numFmtId="2" fontId="5" fillId="7" borderId="9" xfId="2" applyNumberFormat="1" applyFill="1" applyBorder="1" applyAlignment="1">
      <alignment horizontal="center" vertical="center"/>
    </xf>
    <xf numFmtId="2" fontId="5" fillId="10" borderId="8" xfId="2" applyNumberFormat="1" applyFill="1" applyBorder="1" applyAlignment="1">
      <alignment horizontal="center" vertical="center"/>
    </xf>
    <xf numFmtId="2" fontId="5" fillId="10" borderId="1" xfId="2" applyNumberFormat="1" applyFill="1" applyBorder="1" applyAlignment="1">
      <alignment horizontal="center" vertical="center"/>
    </xf>
    <xf numFmtId="2" fontId="5" fillId="10" borderId="9" xfId="2" applyNumberFormat="1" applyFill="1" applyBorder="1" applyAlignment="1">
      <alignment horizontal="center" vertical="center"/>
    </xf>
    <xf numFmtId="0" fontId="0" fillId="15" borderId="6" xfId="0" applyFill="1" applyBorder="1" applyAlignment="1">
      <alignment horizontal="center" vertical="center"/>
    </xf>
    <xf numFmtId="0" fontId="8" fillId="12" borderId="18" xfId="2" applyFont="1" applyFill="1" applyBorder="1" applyAlignment="1">
      <alignment horizontal="center" vertical="center"/>
    </xf>
    <xf numFmtId="0" fontId="8" fillId="8" borderId="6" xfId="2" applyFont="1" applyFill="1" applyBorder="1" applyAlignment="1">
      <alignment horizontal="center" vertical="center"/>
    </xf>
    <xf numFmtId="0" fontId="8" fillId="7" borderId="7" xfId="2" applyFont="1" applyFill="1" applyBorder="1" applyAlignment="1">
      <alignment horizontal="center" vertical="center"/>
    </xf>
    <xf numFmtId="0" fontId="8" fillId="10" borderId="6" xfId="0" applyFont="1" applyFill="1" applyBorder="1" applyAlignment="1">
      <alignment horizontal="center" vertical="center"/>
    </xf>
    <xf numFmtId="0" fontId="8" fillId="10" borderId="0" xfId="0" applyFont="1" applyFill="1" applyAlignment="1">
      <alignment horizontal="center" vertical="center"/>
    </xf>
    <xf numFmtId="0" fontId="8" fillId="10" borderId="7" xfId="0" applyFont="1" applyFill="1" applyBorder="1" applyAlignment="1">
      <alignment horizontal="center" vertical="center"/>
    </xf>
    <xf numFmtId="1" fontId="0" fillId="4" borderId="35" xfId="0" applyNumberFormat="1" applyFill="1" applyBorder="1" applyAlignment="1">
      <alignment horizontal="center" vertical="center"/>
    </xf>
    <xf numFmtId="0" fontId="5" fillId="4" borderId="2" xfId="0" applyFont="1" applyFill="1" applyBorder="1" applyAlignment="1">
      <alignment horizontal="center" vertical="center"/>
    </xf>
    <xf numFmtId="14" fontId="0" fillId="0" borderId="38" xfId="0" applyNumberFormat="1" applyBorder="1" applyAlignment="1">
      <alignment horizontal="center" vertical="center"/>
    </xf>
    <xf numFmtId="14" fontId="0" fillId="0" borderId="39" xfId="0" applyNumberFormat="1" applyBorder="1" applyAlignment="1">
      <alignment horizontal="center" vertical="center"/>
    </xf>
    <xf numFmtId="0" fontId="0" fillId="0" borderId="33" xfId="0" applyBorder="1" applyAlignment="1">
      <alignment horizontal="center" vertical="center"/>
    </xf>
    <xf numFmtId="1" fontId="0" fillId="0" borderId="36" xfId="0" applyNumberFormat="1" applyBorder="1" applyAlignment="1">
      <alignment horizontal="center" vertical="center"/>
    </xf>
    <xf numFmtId="0" fontId="5" fillId="9" borderId="0" xfId="0" applyFont="1" applyFill="1" applyAlignment="1">
      <alignment horizontal="center" vertical="center"/>
    </xf>
    <xf numFmtId="2" fontId="22" fillId="9" borderId="0" xfId="0" applyNumberFormat="1" applyFont="1" applyFill="1" applyAlignment="1">
      <alignment horizontal="center" vertical="center"/>
    </xf>
    <xf numFmtId="0" fontId="0" fillId="9" borderId="0" xfId="0" applyFill="1" applyAlignment="1">
      <alignment horizontal="center"/>
    </xf>
    <xf numFmtId="2" fontId="31" fillId="9" borderId="0" xfId="0" applyNumberFormat="1" applyFont="1" applyFill="1" applyAlignment="1">
      <alignment horizontal="center" vertical="center"/>
    </xf>
    <xf numFmtId="0" fontId="5" fillId="6" borderId="0" xfId="0" applyFont="1" applyFill="1" applyAlignment="1">
      <alignment horizontal="center" vertical="center"/>
    </xf>
    <xf numFmtId="2" fontId="5" fillId="6" borderId="0" xfId="0" applyNumberFormat="1" applyFont="1" applyFill="1" applyAlignment="1">
      <alignment horizontal="center" vertical="center"/>
    </xf>
    <xf numFmtId="0" fontId="0" fillId="6" borderId="0" xfId="0" applyFill="1" applyAlignment="1">
      <alignment horizontal="center"/>
    </xf>
    <xf numFmtId="2" fontId="31" fillId="6" borderId="0" xfId="0" applyNumberFormat="1" applyFont="1" applyFill="1" applyAlignment="1">
      <alignment horizontal="center" vertical="center"/>
    </xf>
    <xf numFmtId="0" fontId="11" fillId="2" borderId="2" xfId="0" applyFont="1" applyFill="1" applyBorder="1" applyAlignment="1" applyProtection="1">
      <alignment horizontal="center" vertical="center"/>
      <protection locked="0"/>
    </xf>
    <xf numFmtId="0" fontId="9" fillId="2" borderId="0" xfId="0" applyFont="1" applyFill="1"/>
    <xf numFmtId="0" fontId="10" fillId="2" borderId="0" xfId="0" applyFont="1" applyFill="1" applyAlignment="1">
      <alignment horizontal="left" vertical="center"/>
    </xf>
    <xf numFmtId="0" fontId="10" fillId="2" borderId="0" xfId="0" applyFont="1" applyFill="1" applyAlignment="1">
      <alignment horizontal="center" vertical="center"/>
    </xf>
    <xf numFmtId="0" fontId="14" fillId="2" borderId="0" xfId="0" applyFont="1" applyFill="1" applyAlignment="1">
      <alignment horizontal="center" vertical="center"/>
    </xf>
    <xf numFmtId="10" fontId="14" fillId="2" borderId="0" xfId="0" applyNumberFormat="1" applyFont="1" applyFill="1" applyAlignment="1">
      <alignment horizontal="center" vertical="center"/>
    </xf>
    <xf numFmtId="0" fontId="9" fillId="2" borderId="0" xfId="0" applyFont="1" applyFill="1" applyAlignment="1">
      <alignment horizontal="center"/>
    </xf>
    <xf numFmtId="0" fontId="5" fillId="2" borderId="0" xfId="0" applyFont="1" applyFill="1" applyAlignment="1">
      <alignment horizontal="center" vertical="center"/>
    </xf>
    <xf numFmtId="0" fontId="5" fillId="2" borderId="0" xfId="0" applyFont="1" applyFill="1" applyAlignment="1">
      <alignment vertical="center"/>
    </xf>
    <xf numFmtId="0" fontId="9" fillId="2" borderId="6" xfId="0" applyFont="1" applyFill="1" applyBorder="1"/>
    <xf numFmtId="0" fontId="11" fillId="2" borderId="0" xfId="0" applyFont="1" applyFill="1" applyAlignment="1">
      <alignment vertical="center"/>
    </xf>
    <xf numFmtId="0" fontId="28" fillId="2" borderId="7" xfId="0" applyFont="1" applyFill="1" applyBorder="1" applyAlignment="1">
      <alignment horizontal="left" vertical="top" wrapText="1"/>
    </xf>
    <xf numFmtId="0" fontId="11" fillId="2" borderId="0" xfId="0" applyFont="1" applyFill="1" applyAlignment="1">
      <alignment horizontal="center" vertical="center"/>
    </xf>
    <xf numFmtId="0" fontId="12" fillId="2" borderId="0" xfId="0" applyFont="1" applyFill="1" applyAlignment="1">
      <alignment vertical="center"/>
    </xf>
    <xf numFmtId="0" fontId="12" fillId="2" borderId="7" xfId="0" applyFont="1" applyFill="1" applyBorder="1" applyAlignment="1">
      <alignment vertical="center"/>
    </xf>
    <xf numFmtId="0" fontId="14" fillId="2" borderId="0" xfId="0" applyFont="1" applyFill="1" applyAlignment="1">
      <alignmen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38" fillId="2" borderId="0" xfId="0" applyFont="1" applyFill="1"/>
    <xf numFmtId="0" fontId="39" fillId="2" borderId="0" xfId="0" applyFont="1" applyFill="1"/>
    <xf numFmtId="0" fontId="9" fillId="2" borderId="7" xfId="0" applyFont="1" applyFill="1" applyBorder="1"/>
    <xf numFmtId="0" fontId="14" fillId="2" borderId="0" xfId="0" applyFont="1" applyFill="1" applyAlignment="1">
      <alignment horizontal="left" vertical="center"/>
    </xf>
    <xf numFmtId="0" fontId="27" fillId="2" borderId="0" xfId="0" applyFont="1" applyFill="1" applyAlignment="1">
      <alignment horizontal="right" vertical="top"/>
    </xf>
    <xf numFmtId="0" fontId="11" fillId="2" borderId="0" xfId="0" applyFont="1" applyFill="1" applyAlignment="1">
      <alignment horizontal="left"/>
    </xf>
    <xf numFmtId="0" fontId="28" fillId="2" borderId="0" xfId="0" applyFont="1" applyFill="1" applyAlignment="1">
      <alignment horizontal="left" vertical="top" wrapText="1"/>
    </xf>
    <xf numFmtId="0" fontId="5" fillId="0" borderId="0" xfId="0" applyFont="1" applyAlignment="1">
      <alignment vertical="center"/>
    </xf>
    <xf numFmtId="0" fontId="11" fillId="2" borderId="0" xfId="0" applyFont="1" applyFill="1"/>
    <xf numFmtId="0" fontId="5" fillId="2" borderId="0" xfId="0" applyFont="1" applyFill="1"/>
    <xf numFmtId="0" fontId="11" fillId="2" borderId="7" xfId="0" applyFont="1" applyFill="1" applyBorder="1" applyAlignment="1">
      <alignment horizontal="center"/>
    </xf>
    <xf numFmtId="0" fontId="11" fillId="2" borderId="0" xfId="0" applyFont="1" applyFill="1" applyAlignment="1">
      <alignment horizontal="center"/>
    </xf>
    <xf numFmtId="0" fontId="12" fillId="2" borderId="0" xfId="0" applyFont="1" applyFill="1" applyAlignment="1">
      <alignment horizontal="center"/>
    </xf>
    <xf numFmtId="14" fontId="11" fillId="2" borderId="7" xfId="0" applyNumberFormat="1" applyFont="1" applyFill="1" applyBorder="1" applyAlignment="1">
      <alignment horizontal="center" vertical="center"/>
    </xf>
    <xf numFmtId="14" fontId="11" fillId="2" borderId="0" xfId="0" applyNumberFormat="1" applyFont="1" applyFill="1" applyAlignment="1">
      <alignment horizontal="center" vertical="center"/>
    </xf>
    <xf numFmtId="0" fontId="11" fillId="5" borderId="21" xfId="0" applyFont="1" applyFill="1" applyBorder="1" applyAlignment="1">
      <alignment horizontal="center" vertical="center"/>
    </xf>
    <xf numFmtId="0" fontId="11" fillId="5" borderId="15" xfId="0" applyFont="1" applyFill="1" applyBorder="1" applyAlignment="1">
      <alignment horizontal="center" vertical="center"/>
    </xf>
    <xf numFmtId="0" fontId="11" fillId="9" borderId="21" xfId="0" applyFont="1" applyFill="1" applyBorder="1" applyAlignment="1">
      <alignment horizontal="center" vertical="center"/>
    </xf>
    <xf numFmtId="0" fontId="11" fillId="9" borderId="15" xfId="0" applyFont="1" applyFill="1" applyBorder="1" applyAlignment="1">
      <alignment horizontal="center" vertical="center"/>
    </xf>
    <xf numFmtId="0" fontId="11" fillId="2" borderId="15" xfId="0" applyFont="1" applyFill="1" applyBorder="1" applyAlignment="1">
      <alignment wrapText="1"/>
    </xf>
    <xf numFmtId="0" fontId="25" fillId="2" borderId="0" xfId="0" applyFont="1" applyFill="1" applyAlignment="1">
      <alignment horizontal="left" vertical="center"/>
    </xf>
    <xf numFmtId="0" fontId="25" fillId="2" borderId="0" xfId="0" applyFont="1" applyFill="1" applyAlignment="1">
      <alignment horizontal="center" vertical="center"/>
    </xf>
    <xf numFmtId="0" fontId="11" fillId="2" borderId="0" xfId="0" applyFont="1" applyFill="1" applyAlignment="1">
      <alignment horizontal="left" vertical="center"/>
    </xf>
    <xf numFmtId="0" fontId="8" fillId="5" borderId="21" xfId="0" applyFont="1" applyFill="1" applyBorder="1" applyAlignment="1">
      <alignment horizontal="center" vertical="center"/>
    </xf>
    <xf numFmtId="0" fontId="8" fillId="9" borderId="21" xfId="0" applyFont="1" applyFill="1" applyBorder="1" applyAlignment="1">
      <alignment horizontal="center" vertical="center"/>
    </xf>
    <xf numFmtId="0" fontId="28" fillId="2" borderId="15" xfId="0" applyFont="1" applyFill="1" applyBorder="1" applyAlignment="1">
      <alignment horizontal="left" vertical="top" wrapText="1"/>
    </xf>
    <xf numFmtId="0" fontId="28" fillId="2" borderId="40" xfId="0" applyFont="1" applyFill="1" applyBorder="1" applyAlignment="1">
      <alignment horizontal="left" vertical="top" wrapText="1"/>
    </xf>
    <xf numFmtId="2" fontId="25" fillId="2" borderId="0" xfId="0" applyNumberFormat="1" applyFont="1" applyFill="1" applyAlignment="1">
      <alignment horizontal="center" vertical="center"/>
    </xf>
    <xf numFmtId="8" fontId="25" fillId="2" borderId="0" xfId="0" applyNumberFormat="1" applyFont="1" applyFill="1" applyAlignment="1">
      <alignment horizontal="center" vertical="center"/>
    </xf>
    <xf numFmtId="165" fontId="25" fillId="2" borderId="0" xfId="0" applyNumberFormat="1" applyFont="1" applyFill="1" applyAlignment="1">
      <alignment horizontal="center" vertical="center"/>
    </xf>
    <xf numFmtId="164" fontId="11" fillId="5" borderId="21" xfId="0" applyNumberFormat="1" applyFont="1" applyFill="1" applyBorder="1" applyAlignment="1">
      <alignment horizontal="center" vertical="center"/>
    </xf>
    <xf numFmtId="164" fontId="11" fillId="5" borderId="15" xfId="0" applyNumberFormat="1" applyFont="1" applyFill="1" applyBorder="1" applyAlignment="1">
      <alignment horizontal="center" vertical="center"/>
    </xf>
    <xf numFmtId="164" fontId="11" fillId="9" borderId="21" xfId="0" applyNumberFormat="1" applyFont="1" applyFill="1" applyBorder="1" applyAlignment="1">
      <alignment horizontal="center" vertical="center"/>
    </xf>
    <xf numFmtId="164" fontId="11" fillId="9" borderId="15" xfId="0" applyNumberFormat="1" applyFont="1" applyFill="1" applyBorder="1" applyAlignment="1">
      <alignment horizontal="center" vertical="center"/>
    </xf>
    <xf numFmtId="164" fontId="11" fillId="2" borderId="0" xfId="0" applyNumberFormat="1" applyFont="1" applyFill="1" applyAlignment="1">
      <alignment horizontal="center" vertical="center"/>
    </xf>
    <xf numFmtId="0" fontId="11" fillId="2" borderId="7" xfId="0" applyFont="1" applyFill="1" applyBorder="1"/>
    <xf numFmtId="164" fontId="25" fillId="2" borderId="0" xfId="0" applyNumberFormat="1" applyFont="1" applyFill="1" applyAlignment="1">
      <alignment horizontal="center" vertical="center"/>
    </xf>
    <xf numFmtId="0" fontId="3" fillId="2" borderId="6" xfId="0" applyFont="1" applyFill="1" applyBorder="1" applyAlignment="1">
      <alignment horizontal="right" vertical="center"/>
    </xf>
    <xf numFmtId="0" fontId="28" fillId="2" borderId="21" xfId="0" applyFont="1" applyFill="1" applyBorder="1" applyAlignment="1">
      <alignment horizontal="left" vertical="top" wrapText="1"/>
    </xf>
    <xf numFmtId="0" fontId="10" fillId="9" borderId="15" xfId="0" applyFont="1" applyFill="1" applyBorder="1" applyAlignment="1">
      <alignment horizontal="center" vertical="center"/>
    </xf>
    <xf numFmtId="0" fontId="14" fillId="2" borderId="41" xfId="0" applyFont="1" applyFill="1" applyBorder="1"/>
    <xf numFmtId="0" fontId="14" fillId="2" borderId="0" xfId="0" applyFont="1" applyFill="1"/>
    <xf numFmtId="164" fontId="11" fillId="2" borderId="7" xfId="0" applyNumberFormat="1" applyFont="1" applyFill="1" applyBorder="1" applyAlignment="1">
      <alignment horizontal="center"/>
    </xf>
    <xf numFmtId="164" fontId="11" fillId="2" borderId="0" xfId="0" applyNumberFormat="1" applyFont="1" applyFill="1" applyAlignment="1">
      <alignment horizontal="center"/>
    </xf>
    <xf numFmtId="0" fontId="26" fillId="2" borderId="0" xfId="0" applyFont="1" applyFill="1" applyAlignment="1">
      <alignment horizontal="left" vertical="center"/>
    </xf>
    <xf numFmtId="0" fontId="26" fillId="2" borderId="0" xfId="0" applyFont="1" applyFill="1" applyAlignment="1">
      <alignment horizontal="center" vertical="center"/>
    </xf>
    <xf numFmtId="0" fontId="12" fillId="2" borderId="0" xfId="0" applyFont="1" applyFill="1" applyAlignment="1">
      <alignment horizontal="left" vertical="center"/>
    </xf>
    <xf numFmtId="0" fontId="9" fillId="9" borderId="15" xfId="0" applyFont="1" applyFill="1" applyBorder="1" applyAlignment="1">
      <alignment horizontal="center" vertical="center"/>
    </xf>
    <xf numFmtId="0" fontId="27" fillId="0" borderId="0" xfId="0" applyFont="1" applyAlignment="1">
      <alignment horizontal="left" vertical="center"/>
    </xf>
    <xf numFmtId="165" fontId="27" fillId="0" borderId="0" xfId="0" applyNumberFormat="1" applyFont="1" applyAlignment="1">
      <alignment horizontal="center"/>
    </xf>
    <xf numFmtId="0" fontId="14" fillId="2" borderId="0" xfId="0" applyFont="1" applyFill="1" applyAlignment="1">
      <alignment horizontal="right"/>
    </xf>
    <xf numFmtId="2" fontId="11" fillId="5" borderId="21" xfId="0" applyNumberFormat="1" applyFont="1" applyFill="1" applyBorder="1" applyAlignment="1">
      <alignment horizontal="center" vertical="center"/>
    </xf>
    <xf numFmtId="2" fontId="11" fillId="5" borderId="15" xfId="0" applyNumberFormat="1" applyFont="1" applyFill="1" applyBorder="1" applyAlignment="1">
      <alignment horizontal="center" vertical="center"/>
    </xf>
    <xf numFmtId="2" fontId="11" fillId="9" borderId="21" xfId="0" applyNumberFormat="1" applyFont="1" applyFill="1" applyBorder="1" applyAlignment="1">
      <alignment horizontal="center" vertical="center"/>
    </xf>
    <xf numFmtId="2" fontId="11" fillId="9" borderId="15" xfId="0" applyNumberFormat="1" applyFont="1" applyFill="1" applyBorder="1" applyAlignment="1">
      <alignment horizontal="center" vertical="center"/>
    </xf>
    <xf numFmtId="0" fontId="27" fillId="2" borderId="0" xfId="0" applyFont="1" applyFill="1"/>
    <xf numFmtId="0" fontId="11" fillId="8" borderId="2" xfId="0" applyFont="1" applyFill="1" applyBorder="1" applyAlignment="1">
      <alignment horizontal="left" vertical="center"/>
    </xf>
    <xf numFmtId="165" fontId="11" fillId="2" borderId="7" xfId="0" applyNumberFormat="1" applyFont="1" applyFill="1" applyBorder="1" applyAlignment="1">
      <alignment horizontal="center"/>
    </xf>
    <xf numFmtId="165" fontId="11" fillId="2" borderId="0" xfId="0" applyNumberFormat="1" applyFont="1" applyFill="1" applyAlignment="1">
      <alignment horizontal="center"/>
    </xf>
    <xf numFmtId="0" fontId="9" fillId="5" borderId="21" xfId="0" applyFont="1" applyFill="1" applyBorder="1" applyAlignment="1">
      <alignment horizontal="center" vertical="center"/>
    </xf>
    <xf numFmtId="0" fontId="9" fillId="9" borderId="21"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15" xfId="0" applyFont="1" applyFill="1" applyBorder="1" applyAlignment="1">
      <alignment horizontal="center" vertical="center"/>
    </xf>
    <xf numFmtId="0" fontId="10" fillId="9" borderId="21" xfId="0" applyFont="1" applyFill="1" applyBorder="1" applyAlignment="1">
      <alignment horizontal="center" vertical="center"/>
    </xf>
    <xf numFmtId="0" fontId="9" fillId="2" borderId="0" xfId="0" applyFont="1" applyFill="1" applyAlignment="1">
      <alignment vertical="center"/>
    </xf>
    <xf numFmtId="0" fontId="9" fillId="2" borderId="7" xfId="0" applyFont="1" applyFill="1" applyBorder="1" applyAlignment="1">
      <alignment horizontal="center" vertical="center"/>
    </xf>
    <xf numFmtId="165" fontId="11" fillId="2" borderId="0" xfId="0" applyNumberFormat="1" applyFont="1" applyFill="1" applyAlignment="1">
      <alignment horizontal="center" vertical="center"/>
    </xf>
    <xf numFmtId="0" fontId="13" fillId="2" borderId="0" xfId="0" applyFont="1" applyFill="1" applyAlignment="1">
      <alignment vertical="center"/>
    </xf>
    <xf numFmtId="164" fontId="8" fillId="5" borderId="15" xfId="0" applyNumberFormat="1" applyFont="1" applyFill="1" applyBorder="1" applyAlignment="1">
      <alignment horizontal="center" vertical="center"/>
    </xf>
    <xf numFmtId="164" fontId="8" fillId="9" borderId="15" xfId="0" applyNumberFormat="1" applyFont="1" applyFill="1" applyBorder="1" applyAlignment="1">
      <alignment horizontal="center" vertical="center"/>
    </xf>
    <xf numFmtId="164" fontId="11" fillId="5" borderId="15" xfId="0" applyNumberFormat="1" applyFont="1" applyFill="1" applyBorder="1" applyAlignment="1">
      <alignment vertical="center"/>
    </xf>
    <xf numFmtId="0" fontId="3" fillId="2" borderId="0" xfId="0" applyFont="1" applyFill="1" applyAlignment="1">
      <alignment horizontal="left" vertical="center"/>
    </xf>
    <xf numFmtId="0" fontId="9" fillId="2" borderId="6" xfId="0" applyFont="1" applyFill="1" applyBorder="1" applyAlignment="1">
      <alignment horizontal="left"/>
    </xf>
    <xf numFmtId="0" fontId="9" fillId="6" borderId="38" xfId="0" applyFont="1" applyFill="1" applyBorder="1" applyAlignment="1">
      <alignment horizontal="center" vertical="center"/>
    </xf>
    <xf numFmtId="165" fontId="11" fillId="2" borderId="7" xfId="0" applyNumberFormat="1" applyFont="1" applyFill="1" applyBorder="1" applyAlignment="1">
      <alignment horizontal="center" vertical="center"/>
    </xf>
    <xf numFmtId="0" fontId="9" fillId="2" borderId="0" xfId="0" applyFont="1" applyFill="1" applyAlignment="1">
      <alignment horizontal="left"/>
    </xf>
    <xf numFmtId="0" fontId="9" fillId="6" borderId="2" xfId="0" applyFont="1" applyFill="1" applyBorder="1" applyAlignment="1">
      <alignment horizontal="center" vertical="center"/>
    </xf>
    <xf numFmtId="0" fontId="11" fillId="6" borderId="48" xfId="0" applyFont="1" applyFill="1" applyBorder="1" applyAlignment="1">
      <alignment vertical="center" wrapText="1"/>
    </xf>
    <xf numFmtId="0" fontId="9" fillId="2" borderId="8" xfId="0" applyFont="1" applyFill="1" applyBorder="1"/>
    <xf numFmtId="0" fontId="11" fillId="2" borderId="1" xfId="0" applyFont="1" applyFill="1" applyBorder="1" applyAlignment="1">
      <alignment wrapText="1"/>
    </xf>
    <xf numFmtId="0" fontId="9" fillId="2" borderId="1" xfId="0" applyFont="1" applyFill="1" applyBorder="1"/>
    <xf numFmtId="0" fontId="9" fillId="2" borderId="9" xfId="0" applyFont="1" applyFill="1" applyBorder="1"/>
    <xf numFmtId="0" fontId="42" fillId="2" borderId="0" xfId="0" applyFont="1" applyFill="1" applyAlignment="1">
      <alignment vertical="top"/>
    </xf>
    <xf numFmtId="0" fontId="2" fillId="2" borderId="0" xfId="0" applyFont="1" applyFill="1" applyAlignment="1">
      <alignment horizontal="center"/>
    </xf>
    <xf numFmtId="1" fontId="11" fillId="2" borderId="2" xfId="0" applyNumberFormat="1" applyFont="1" applyFill="1" applyBorder="1" applyAlignment="1" applyProtection="1">
      <alignment horizontal="center" vertical="center"/>
      <protection locked="0"/>
    </xf>
    <xf numFmtId="2" fontId="37" fillId="0" borderId="12" xfId="0" applyNumberFormat="1" applyFont="1" applyBorder="1" applyAlignment="1">
      <alignment horizontal="center" vertical="center"/>
    </xf>
    <xf numFmtId="2" fontId="37" fillId="0" borderId="30" xfId="0" applyNumberFormat="1" applyFont="1" applyBorder="1" applyAlignment="1">
      <alignment horizontal="center" vertical="center"/>
    </xf>
    <xf numFmtId="2" fontId="37" fillId="0" borderId="19" xfId="0" applyNumberFormat="1" applyFont="1" applyBorder="1" applyAlignment="1">
      <alignment horizontal="center" vertical="center"/>
    </xf>
    <xf numFmtId="2" fontId="37" fillId="0" borderId="9" xfId="0" applyNumberFormat="1" applyFont="1" applyBorder="1" applyAlignment="1">
      <alignment horizontal="center" vertical="center"/>
    </xf>
    <xf numFmtId="0" fontId="2" fillId="2" borderId="2" xfId="0" applyFont="1" applyFill="1" applyBorder="1" applyAlignment="1">
      <alignment horizontal="center" vertical="center"/>
    </xf>
    <xf numFmtId="164" fontId="9" fillId="2" borderId="2" xfId="0" applyNumberFormat="1" applyFont="1" applyFill="1" applyBorder="1" applyAlignment="1">
      <alignment horizontal="center" vertical="center"/>
    </xf>
    <xf numFmtId="0" fontId="5" fillId="0" borderId="2" xfId="0" applyFont="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0" borderId="2" xfId="0" applyNumberFormat="1" applyFont="1" applyBorder="1" applyAlignment="1">
      <alignment horizontal="center" vertical="center" wrapText="1"/>
    </xf>
    <xf numFmtId="0" fontId="27" fillId="2" borderId="0" xfId="0" applyFont="1" applyFill="1" applyAlignment="1">
      <alignment vertical="top"/>
    </xf>
    <xf numFmtId="0" fontId="41" fillId="0" borderId="0" xfId="0" applyFont="1" applyAlignment="1">
      <alignment horizontal="left" vertical="center"/>
    </xf>
    <xf numFmtId="165" fontId="11" fillId="6" borderId="2" xfId="0" applyNumberFormat="1" applyFont="1" applyFill="1" applyBorder="1" applyAlignment="1">
      <alignment horizontal="center" vertical="center"/>
    </xf>
    <xf numFmtId="165" fontId="11" fillId="6" borderId="33" xfId="0" applyNumberFormat="1" applyFont="1" applyFill="1" applyBorder="1" applyAlignment="1">
      <alignment horizontal="center" vertical="center"/>
    </xf>
    <xf numFmtId="164" fontId="11" fillId="5" borderId="21" xfId="0" applyNumberFormat="1" applyFont="1" applyFill="1" applyBorder="1" applyAlignment="1">
      <alignment horizontal="center" vertical="center"/>
    </xf>
    <xf numFmtId="0" fontId="11" fillId="5" borderId="15" xfId="0" applyFont="1" applyFill="1" applyBorder="1" applyAlignment="1">
      <alignment horizontal="center" vertical="center"/>
    </xf>
    <xf numFmtId="164" fontId="11" fillId="9" borderId="21" xfId="0" applyNumberFormat="1" applyFont="1" applyFill="1" applyBorder="1" applyAlignment="1">
      <alignment horizontal="center" vertical="center"/>
    </xf>
    <xf numFmtId="164" fontId="11" fillId="9" borderId="15" xfId="0" applyNumberFormat="1" applyFont="1" applyFill="1" applyBorder="1" applyAlignment="1">
      <alignment horizontal="center" vertical="center"/>
    </xf>
    <xf numFmtId="0" fontId="16" fillId="0" borderId="0" xfId="0" applyFont="1" applyAlignment="1">
      <alignment horizontal="center" vertical="center" wrapText="1"/>
    </xf>
    <xf numFmtId="0" fontId="13" fillId="2" borderId="6" xfId="0" applyFont="1" applyFill="1" applyBorder="1" applyAlignment="1">
      <alignment horizontal="center" vertical="top"/>
    </xf>
    <xf numFmtId="0" fontId="13" fillId="2" borderId="0" xfId="0" applyFont="1" applyFill="1" applyAlignment="1">
      <alignment horizontal="center" vertical="top"/>
    </xf>
    <xf numFmtId="0" fontId="13" fillId="2" borderId="7" xfId="0" applyFont="1" applyFill="1" applyBorder="1" applyAlignment="1">
      <alignment horizontal="center" vertical="top"/>
    </xf>
    <xf numFmtId="0" fontId="11" fillId="12" borderId="2" xfId="0" applyFont="1" applyFill="1" applyBorder="1" applyAlignment="1">
      <alignment vertical="center"/>
    </xf>
    <xf numFmtId="0" fontId="11" fillId="8" borderId="2" xfId="0" applyFont="1" applyFill="1" applyBorder="1" applyAlignment="1">
      <alignment horizontal="left"/>
    </xf>
    <xf numFmtId="0" fontId="11" fillId="4" borderId="2" xfId="0" applyFont="1" applyFill="1" applyBorder="1" applyAlignment="1">
      <alignment horizontal="center" vertical="center"/>
    </xf>
    <xf numFmtId="0" fontId="11" fillId="4" borderId="13" xfId="0" applyFont="1" applyFill="1" applyBorder="1" applyAlignment="1">
      <alignment horizontal="left" vertical="center"/>
    </xf>
    <xf numFmtId="0" fontId="11" fillId="4" borderId="16" xfId="0" applyFont="1" applyFill="1" applyBorder="1" applyAlignment="1">
      <alignment horizontal="left" vertical="center"/>
    </xf>
    <xf numFmtId="0" fontId="11" fillId="4" borderId="14" xfId="0" applyFont="1" applyFill="1" applyBorder="1" applyAlignment="1">
      <alignment horizontal="left" vertical="center"/>
    </xf>
    <xf numFmtId="0" fontId="11" fillId="12" borderId="2" xfId="0" applyFont="1" applyFill="1" applyBorder="1" applyAlignment="1">
      <alignment horizontal="left" vertical="center"/>
    </xf>
    <xf numFmtId="165" fontId="11" fillId="12" borderId="2" xfId="0" applyNumberFormat="1" applyFont="1" applyFill="1" applyBorder="1" applyAlignment="1">
      <alignment horizontal="center" vertical="center"/>
    </xf>
    <xf numFmtId="0" fontId="11" fillId="2" borderId="25" xfId="0" applyFont="1" applyFill="1" applyBorder="1" applyAlignment="1">
      <alignment horizontal="center" vertical="top"/>
    </xf>
    <xf numFmtId="0" fontId="11" fillId="8" borderId="13" xfId="0" applyFont="1" applyFill="1" applyBorder="1" applyAlignment="1">
      <alignment horizontal="left" vertical="center"/>
    </xf>
    <xf numFmtId="0" fontId="11" fillId="8" borderId="14" xfId="0" applyFont="1" applyFill="1" applyBorder="1" applyAlignment="1">
      <alignment horizontal="left" vertical="center"/>
    </xf>
    <xf numFmtId="0" fontId="11" fillId="8" borderId="2" xfId="0" applyFont="1" applyFill="1" applyBorder="1" applyAlignment="1">
      <alignment horizontal="left" vertical="center"/>
    </xf>
    <xf numFmtId="0" fontId="27" fillId="2" borderId="0" xfId="0" applyFont="1" applyFill="1" applyAlignment="1">
      <alignment horizontal="center"/>
    </xf>
    <xf numFmtId="14" fontId="11" fillId="8" borderId="13" xfId="0" applyNumberFormat="1" applyFont="1" applyFill="1" applyBorder="1" applyAlignment="1">
      <alignment horizontal="center" vertical="center"/>
    </xf>
    <xf numFmtId="14" fontId="11" fillId="8" borderId="16" xfId="0" applyNumberFormat="1" applyFont="1" applyFill="1" applyBorder="1" applyAlignment="1">
      <alignment horizontal="center" vertical="center"/>
    </xf>
    <xf numFmtId="14" fontId="11" fillId="8" borderId="14" xfId="0" applyNumberFormat="1" applyFont="1" applyFill="1" applyBorder="1" applyAlignment="1">
      <alignment horizontal="center" vertical="center"/>
    </xf>
    <xf numFmtId="164" fontId="11" fillId="2" borderId="2" xfId="0" applyNumberFormat="1"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12" borderId="2" xfId="0" applyFont="1" applyFill="1" applyBorder="1" applyAlignment="1">
      <alignment horizontal="center" vertical="center"/>
    </xf>
    <xf numFmtId="164" fontId="11" fillId="5" borderId="15" xfId="0" applyNumberFormat="1" applyFont="1" applyFill="1" applyBorder="1" applyAlignment="1">
      <alignment horizontal="center" vertical="center"/>
    </xf>
    <xf numFmtId="0" fontId="14" fillId="2" borderId="0" xfId="0" applyFont="1" applyFill="1" applyAlignment="1">
      <alignment horizontal="center" vertical="center"/>
    </xf>
    <xf numFmtId="0" fontId="17" fillId="2" borderId="0" xfId="0" applyFont="1" applyFill="1" applyAlignment="1">
      <alignment horizontal="center" vertical="center"/>
    </xf>
    <xf numFmtId="0" fontId="11" fillId="2" borderId="0" xfId="0" applyFont="1" applyFill="1" applyAlignment="1">
      <alignment horizontal="center" vertical="center" wrapText="1"/>
    </xf>
    <xf numFmtId="0" fontId="11" fillId="9" borderId="20" xfId="0" applyFont="1" applyFill="1" applyBorder="1" applyAlignment="1">
      <alignment horizontal="center" vertical="center"/>
    </xf>
    <xf numFmtId="0" fontId="11" fillId="9" borderId="24"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4" xfId="0" applyFont="1" applyFill="1" applyBorder="1" applyAlignment="1">
      <alignment horizontal="center" vertical="center"/>
    </xf>
    <xf numFmtId="0" fontId="5" fillId="0" borderId="0" xfId="0" applyFont="1" applyAlignment="1">
      <alignment vertical="center"/>
    </xf>
    <xf numFmtId="0" fontId="25" fillId="2" borderId="0" xfId="0" applyFont="1" applyFill="1" applyAlignment="1">
      <alignment horizontal="center" vertical="center"/>
    </xf>
    <xf numFmtId="0" fontId="11" fillId="5" borderId="32" xfId="0" applyFont="1" applyFill="1" applyBorder="1" applyAlignment="1">
      <alignment horizontal="left" vertical="center"/>
    </xf>
    <xf numFmtId="0" fontId="11" fillId="5" borderId="2" xfId="0" applyFont="1" applyFill="1" applyBorder="1" applyAlignment="1">
      <alignment horizontal="left" vertical="center"/>
    </xf>
    <xf numFmtId="0" fontId="11" fillId="2" borderId="0" xfId="0" applyFont="1" applyFill="1" applyAlignment="1">
      <alignment horizontal="left"/>
    </xf>
    <xf numFmtId="165" fontId="11" fillId="8" borderId="13" xfId="0" applyNumberFormat="1" applyFont="1" applyFill="1" applyBorder="1" applyAlignment="1">
      <alignment horizontal="center" vertical="center"/>
    </xf>
    <xf numFmtId="165" fontId="11" fillId="8" borderId="14" xfId="0" applyNumberFormat="1" applyFont="1" applyFill="1" applyBorder="1" applyAlignment="1">
      <alignment horizontal="center" vertical="center"/>
    </xf>
    <xf numFmtId="0" fontId="27" fillId="2" borderId="0" xfId="0" applyFont="1" applyFill="1" applyAlignment="1">
      <alignment horizontal="left"/>
    </xf>
    <xf numFmtId="0" fontId="15" fillId="2" borderId="25" xfId="0" applyFont="1" applyFill="1" applyBorder="1" applyAlignment="1">
      <alignment horizontal="center" vertical="center"/>
    </xf>
    <xf numFmtId="165" fontId="11" fillId="12" borderId="13" xfId="0" applyNumberFormat="1" applyFont="1" applyFill="1" applyBorder="1" applyAlignment="1">
      <alignment horizontal="center" vertical="center"/>
    </xf>
    <xf numFmtId="165" fontId="11" fillId="12" borderId="14" xfId="0" applyNumberFormat="1" applyFont="1" applyFill="1" applyBorder="1" applyAlignment="1">
      <alignment horizontal="center" vertical="center"/>
    </xf>
    <xf numFmtId="0" fontId="27" fillId="0" borderId="0" xfId="0" applyFont="1" applyAlignment="1">
      <alignment horizontal="left" vertical="center"/>
    </xf>
    <xf numFmtId="14" fontId="11" fillId="12" borderId="13" xfId="0" applyNumberFormat="1" applyFont="1" applyFill="1" applyBorder="1" applyAlignment="1">
      <alignment horizontal="center" vertical="center"/>
    </xf>
    <xf numFmtId="14" fontId="11" fillId="12" borderId="16" xfId="0" applyNumberFormat="1" applyFont="1" applyFill="1" applyBorder="1" applyAlignment="1">
      <alignment horizontal="center" vertical="center"/>
    </xf>
    <xf numFmtId="14" fontId="11" fillId="12" borderId="14" xfId="0" applyNumberFormat="1" applyFont="1" applyFill="1" applyBorder="1" applyAlignment="1">
      <alignment horizontal="center" vertical="center"/>
    </xf>
    <xf numFmtId="0" fontId="15" fillId="2" borderId="25" xfId="0" applyFont="1" applyFill="1" applyBorder="1" applyAlignment="1">
      <alignment horizontal="left" vertical="center"/>
    </xf>
    <xf numFmtId="8" fontId="11" fillId="2" borderId="14" xfId="0" applyNumberFormat="1" applyFont="1" applyFill="1" applyBorder="1" applyAlignment="1" applyProtection="1">
      <alignment horizontal="center" vertical="center"/>
      <protection locked="0"/>
    </xf>
    <xf numFmtId="8" fontId="11" fillId="2" borderId="2" xfId="0" applyNumberFormat="1" applyFont="1" applyFill="1" applyBorder="1" applyAlignment="1" applyProtection="1">
      <alignment horizontal="center" vertical="center"/>
      <protection locked="0"/>
    </xf>
    <xf numFmtId="0" fontId="27" fillId="2" borderId="0" xfId="0" applyFont="1" applyFill="1" applyAlignment="1">
      <alignment horizontal="center" vertical="center"/>
    </xf>
    <xf numFmtId="164" fontId="27" fillId="2" borderId="0" xfId="0" applyNumberFormat="1" applyFont="1" applyFill="1" applyAlignment="1">
      <alignment horizontal="center"/>
    </xf>
    <xf numFmtId="0" fontId="11" fillId="8" borderId="2" xfId="0" applyFont="1" applyFill="1" applyBorder="1" applyAlignment="1">
      <alignment horizontal="center" vertical="center"/>
    </xf>
    <xf numFmtId="0" fontId="11" fillId="12" borderId="2" xfId="0" applyFont="1" applyFill="1" applyBorder="1"/>
    <xf numFmtId="164" fontId="11" fillId="2" borderId="16" xfId="0" applyNumberFormat="1" applyFont="1" applyFill="1" applyBorder="1" applyAlignment="1" applyProtection="1">
      <alignment horizontal="center" vertical="center"/>
      <protection locked="0"/>
    </xf>
    <xf numFmtId="164" fontId="11" fillId="2" borderId="14" xfId="0" applyNumberFormat="1" applyFont="1" applyFill="1" applyBorder="1" applyAlignment="1" applyProtection="1">
      <alignment horizontal="center" vertical="center"/>
      <protection locked="0"/>
    </xf>
    <xf numFmtId="14" fontId="11" fillId="2" borderId="2" xfId="0" applyNumberFormat="1" applyFont="1" applyFill="1" applyBorder="1" applyAlignment="1" applyProtection="1">
      <alignment horizontal="center" vertical="center"/>
      <protection locked="0"/>
    </xf>
    <xf numFmtId="0" fontId="11" fillId="6" borderId="46" xfId="0" applyFont="1" applyFill="1" applyBorder="1" applyAlignment="1">
      <alignment vertical="center" wrapText="1"/>
    </xf>
    <xf numFmtId="0" fontId="11" fillId="6" borderId="47" xfId="0" applyFont="1" applyFill="1" applyBorder="1" applyAlignment="1">
      <alignment vertical="center" wrapText="1"/>
    </xf>
    <xf numFmtId="164" fontId="11" fillId="6" borderId="49" xfId="0" applyNumberFormat="1" applyFont="1" applyFill="1" applyBorder="1" applyAlignment="1">
      <alignment horizontal="center" vertical="center"/>
    </xf>
    <xf numFmtId="165" fontId="11" fillId="6" borderId="50" xfId="0" applyNumberFormat="1" applyFont="1" applyFill="1" applyBorder="1" applyAlignment="1">
      <alignment horizontal="center" vertical="center"/>
    </xf>
    <xf numFmtId="0" fontId="11" fillId="6" borderId="45" xfId="0" applyFont="1" applyFill="1" applyBorder="1" applyAlignment="1">
      <alignment vertical="center" wrapText="1"/>
    </xf>
    <xf numFmtId="0" fontId="11" fillId="6" borderId="16" xfId="0" applyFont="1" applyFill="1" applyBorder="1" applyAlignment="1">
      <alignment vertical="center" wrapText="1"/>
    </xf>
    <xf numFmtId="0" fontId="11" fillId="6" borderId="14" xfId="0" applyFont="1" applyFill="1" applyBorder="1" applyAlignment="1">
      <alignment vertical="center" wrapText="1"/>
    </xf>
    <xf numFmtId="0" fontId="11" fillId="6" borderId="42" xfId="0" applyFont="1" applyFill="1" applyBorder="1" applyAlignment="1">
      <alignment vertical="center" wrapText="1"/>
    </xf>
    <xf numFmtId="0" fontId="11" fillId="6" borderId="43" xfId="0" applyFont="1" applyFill="1" applyBorder="1" applyAlignment="1">
      <alignment vertical="center" wrapText="1"/>
    </xf>
    <xf numFmtId="0" fontId="11" fillId="6" borderId="44" xfId="0" applyFont="1" applyFill="1" applyBorder="1" applyAlignment="1">
      <alignment vertical="center" wrapText="1"/>
    </xf>
    <xf numFmtId="165" fontId="11" fillId="5" borderId="38" xfId="0" applyNumberFormat="1" applyFont="1" applyFill="1" applyBorder="1" applyAlignment="1">
      <alignment horizontal="center" vertical="center"/>
    </xf>
    <xf numFmtId="165" fontId="11" fillId="5" borderId="39" xfId="0" applyNumberFormat="1" applyFont="1" applyFill="1" applyBorder="1" applyAlignment="1">
      <alignment horizontal="center" vertical="center"/>
    </xf>
    <xf numFmtId="165" fontId="11" fillId="5" borderId="2" xfId="0" applyNumberFormat="1" applyFont="1" applyFill="1" applyBorder="1" applyAlignment="1">
      <alignment horizontal="center" vertical="center"/>
    </xf>
    <xf numFmtId="165" fontId="11" fillId="5" borderId="33" xfId="0" applyNumberFormat="1" applyFont="1" applyFill="1" applyBorder="1" applyAlignment="1">
      <alignment horizontal="center" vertical="center"/>
    </xf>
    <xf numFmtId="165" fontId="11" fillId="5" borderId="35" xfId="0" applyNumberFormat="1" applyFont="1" applyFill="1" applyBorder="1" applyAlignment="1">
      <alignment horizontal="center" vertical="center"/>
    </xf>
    <xf numFmtId="165" fontId="11" fillId="5" borderId="36" xfId="0" applyNumberFormat="1" applyFont="1" applyFill="1" applyBorder="1" applyAlignment="1">
      <alignment horizontal="center" vertical="center"/>
    </xf>
    <xf numFmtId="165" fontId="11" fillId="6" borderId="38" xfId="0" applyNumberFormat="1" applyFont="1" applyFill="1" applyBorder="1" applyAlignment="1">
      <alignment horizontal="center" vertical="center"/>
    </xf>
    <xf numFmtId="165" fontId="11" fillId="6" borderId="39" xfId="0" applyNumberFormat="1" applyFont="1" applyFill="1" applyBorder="1" applyAlignment="1">
      <alignment horizontal="center" vertical="center"/>
    </xf>
    <xf numFmtId="0" fontId="43" fillId="5" borderId="10"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43" fillId="5" borderId="12" xfId="0" applyFont="1" applyFill="1" applyBorder="1" applyAlignment="1">
      <alignment horizontal="center" vertical="center" wrapText="1"/>
    </xf>
    <xf numFmtId="8" fontId="27" fillId="0" borderId="0" xfId="0" applyNumberFormat="1" applyFont="1" applyAlignment="1">
      <alignment horizontal="center" vertical="center"/>
    </xf>
    <xf numFmtId="0" fontId="27" fillId="0" borderId="0" xfId="0" applyFont="1" applyAlignment="1">
      <alignment horizontal="center" vertical="center"/>
    </xf>
    <xf numFmtId="0" fontId="5" fillId="2" borderId="0" xfId="0" applyFont="1" applyFill="1" applyAlignment="1">
      <alignment vertical="center"/>
    </xf>
    <xf numFmtId="0" fontId="5" fillId="0" borderId="0" xfId="0" applyFont="1" applyAlignment="1">
      <alignment horizontal="center" vertical="center"/>
    </xf>
    <xf numFmtId="0" fontId="5" fillId="0" borderId="25" xfId="0" applyFont="1" applyBorder="1" applyAlignment="1">
      <alignment horizontal="center" vertical="center"/>
    </xf>
    <xf numFmtId="0" fontId="13" fillId="2" borderId="3" xfId="0" applyFont="1" applyFill="1" applyBorder="1" applyAlignment="1">
      <alignment horizont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13" fillId="2" borderId="6" xfId="0" applyFont="1" applyFill="1" applyBorder="1" applyAlignment="1">
      <alignment horizontal="center"/>
    </xf>
    <xf numFmtId="0" fontId="13" fillId="2" borderId="0" xfId="0" applyFont="1" applyFill="1" applyAlignment="1">
      <alignment horizontal="center"/>
    </xf>
    <xf numFmtId="0" fontId="13" fillId="2" borderId="7" xfId="0" applyFont="1" applyFill="1" applyBorder="1" applyAlignment="1">
      <alignment horizontal="center"/>
    </xf>
    <xf numFmtId="10" fontId="11" fillId="0" borderId="2" xfId="0" applyNumberFormat="1" applyFont="1" applyBorder="1" applyAlignment="1">
      <alignment horizontal="center" vertical="center"/>
    </xf>
    <xf numFmtId="165" fontId="27" fillId="0" borderId="0" xfId="0" applyNumberFormat="1" applyFont="1" applyAlignment="1">
      <alignment horizontal="center"/>
    </xf>
    <xf numFmtId="14" fontId="15" fillId="17" borderId="41" xfId="0" applyNumberFormat="1" applyFont="1" applyFill="1" applyBorder="1" applyAlignment="1">
      <alignment horizontal="left" vertical="center"/>
    </xf>
    <xf numFmtId="0" fontId="15" fillId="17" borderId="24" xfId="0" applyFont="1" applyFill="1" applyBorder="1" applyAlignment="1">
      <alignment horizontal="left" vertical="center"/>
    </xf>
    <xf numFmtId="0" fontId="15" fillId="17" borderId="25" xfId="0" applyFont="1" applyFill="1" applyBorder="1" applyAlignment="1">
      <alignment horizontal="left" vertical="center"/>
    </xf>
    <xf numFmtId="0" fontId="15" fillId="17" borderId="23" xfId="0" applyFont="1" applyFill="1" applyBorder="1" applyAlignment="1">
      <alignment horizontal="left" vertical="center"/>
    </xf>
    <xf numFmtId="0" fontId="15" fillId="17" borderId="20" xfId="0" applyFont="1" applyFill="1" applyBorder="1" applyAlignment="1">
      <alignment horizontal="right" vertical="center"/>
    </xf>
    <xf numFmtId="0" fontId="15" fillId="17" borderId="41" xfId="0" applyFont="1" applyFill="1" applyBorder="1" applyAlignment="1">
      <alignment horizontal="right" vertical="center"/>
    </xf>
    <xf numFmtId="0" fontId="15" fillId="17" borderId="22" xfId="0" applyFont="1" applyFill="1" applyBorder="1" applyAlignment="1">
      <alignment horizontal="right" vertical="center"/>
    </xf>
    <xf numFmtId="0" fontId="15" fillId="17" borderId="25" xfId="0" applyFont="1" applyFill="1" applyBorder="1" applyAlignment="1">
      <alignment horizontal="right" vertical="center"/>
    </xf>
    <xf numFmtId="14" fontId="15" fillId="11" borderId="41" xfId="0" applyNumberFormat="1" applyFont="1" applyFill="1" applyBorder="1" applyAlignment="1">
      <alignment horizontal="left" vertical="center"/>
    </xf>
    <xf numFmtId="0" fontId="15" fillId="11" borderId="24" xfId="0" applyFont="1" applyFill="1" applyBorder="1" applyAlignment="1">
      <alignment horizontal="left" vertical="center"/>
    </xf>
    <xf numFmtId="0" fontId="15" fillId="11" borderId="25" xfId="0" applyFont="1" applyFill="1" applyBorder="1" applyAlignment="1">
      <alignment horizontal="left" vertical="center"/>
    </xf>
    <xf numFmtId="0" fontId="15" fillId="11" borderId="23" xfId="0" applyFont="1" applyFill="1" applyBorder="1" applyAlignment="1">
      <alignment horizontal="left" vertical="center"/>
    </xf>
    <xf numFmtId="0" fontId="11" fillId="4" borderId="2" xfId="0" applyFont="1" applyFill="1" applyBorder="1" applyAlignment="1">
      <alignment horizontal="left" vertical="center"/>
    </xf>
    <xf numFmtId="8" fontId="11" fillId="2" borderId="16" xfId="0" applyNumberFormat="1" applyFont="1" applyFill="1" applyBorder="1" applyAlignment="1" applyProtection="1">
      <alignment horizontal="center" vertical="center"/>
      <protection locked="0"/>
    </xf>
    <xf numFmtId="165" fontId="11" fillId="2" borderId="0" xfId="0" applyNumberFormat="1" applyFont="1" applyFill="1" applyAlignment="1">
      <alignment horizontal="center" vertical="center"/>
    </xf>
    <xf numFmtId="165" fontId="11" fillId="8" borderId="2" xfId="0" applyNumberFormat="1" applyFont="1" applyFill="1" applyBorder="1" applyAlignment="1">
      <alignment horizontal="center" vertical="center"/>
    </xf>
    <xf numFmtId="164" fontId="11" fillId="2" borderId="13" xfId="0" applyNumberFormat="1" applyFont="1" applyFill="1" applyBorder="1" applyAlignment="1" applyProtection="1">
      <alignment horizontal="center" vertical="center"/>
      <protection locked="0"/>
    </xf>
    <xf numFmtId="0" fontId="15" fillId="11" borderId="20" xfId="0" applyFont="1" applyFill="1" applyBorder="1" applyAlignment="1">
      <alignment horizontal="right" vertical="center"/>
    </xf>
    <xf numFmtId="0" fontId="15" fillId="11" borderId="41" xfId="0" applyFont="1" applyFill="1" applyBorder="1" applyAlignment="1">
      <alignment horizontal="right" vertical="center"/>
    </xf>
    <xf numFmtId="0" fontId="15" fillId="11" borderId="22" xfId="0" applyFont="1" applyFill="1" applyBorder="1" applyAlignment="1">
      <alignment horizontal="right" vertical="center"/>
    </xf>
    <xf numFmtId="0" fontId="15" fillId="11" borderId="25" xfId="0" applyFont="1" applyFill="1" applyBorder="1" applyAlignment="1">
      <alignment horizontal="right" vertical="center"/>
    </xf>
    <xf numFmtId="0" fontId="11" fillId="5" borderId="34" xfId="0" applyFont="1" applyFill="1" applyBorder="1" applyAlignment="1">
      <alignment horizontal="left" vertical="center"/>
    </xf>
    <xf numFmtId="0" fontId="11" fillId="5" borderId="35" xfId="0" applyFont="1" applyFill="1" applyBorder="1" applyAlignment="1">
      <alignment horizontal="left" vertical="center"/>
    </xf>
    <xf numFmtId="0" fontId="11" fillId="9" borderId="15" xfId="0" applyFont="1" applyFill="1" applyBorder="1" applyAlignment="1">
      <alignment horizontal="center" vertical="center"/>
    </xf>
    <xf numFmtId="164" fontId="11" fillId="5" borderId="22" xfId="0" applyNumberFormat="1" applyFont="1" applyFill="1" applyBorder="1" applyAlignment="1">
      <alignment horizontal="center" vertical="center"/>
    </xf>
    <xf numFmtId="0" fontId="11" fillId="5" borderId="23" xfId="0" applyFont="1" applyFill="1" applyBorder="1" applyAlignment="1">
      <alignment horizontal="center" vertical="center"/>
    </xf>
    <xf numFmtId="164" fontId="11" fillId="9" borderId="22" xfId="0" applyNumberFormat="1" applyFont="1" applyFill="1" applyBorder="1" applyAlignment="1">
      <alignment horizontal="center" vertical="center"/>
    </xf>
    <xf numFmtId="0" fontId="11" fillId="9" borderId="23" xfId="0" applyFont="1" applyFill="1" applyBorder="1" applyAlignment="1">
      <alignment horizontal="center" vertical="center"/>
    </xf>
    <xf numFmtId="0" fontId="11" fillId="5" borderId="37" xfId="0" applyFont="1" applyFill="1" applyBorder="1" applyAlignment="1">
      <alignment horizontal="left" vertical="center"/>
    </xf>
    <xf numFmtId="0" fontId="11" fillId="5" borderId="38" xfId="0" applyFont="1" applyFill="1" applyBorder="1" applyAlignment="1">
      <alignment horizontal="left" vertical="center"/>
    </xf>
    <xf numFmtId="165" fontId="11" fillId="8" borderId="2" xfId="0" applyNumberFormat="1" applyFont="1" applyFill="1" applyBorder="1" applyAlignment="1">
      <alignment horizontal="center"/>
    </xf>
    <xf numFmtId="0" fontId="13" fillId="2" borderId="0" xfId="0" applyFont="1" applyFill="1" applyAlignment="1">
      <alignment horizontal="left" vertical="center"/>
    </xf>
    <xf numFmtId="0" fontId="11" fillId="9" borderId="21" xfId="0" applyFont="1" applyFill="1" applyBorder="1" applyAlignment="1">
      <alignment horizontal="center" vertical="center"/>
    </xf>
    <xf numFmtId="0" fontId="40" fillId="2" borderId="21" xfId="0" applyFont="1" applyFill="1" applyBorder="1" applyAlignment="1">
      <alignment horizontal="right"/>
    </xf>
    <xf numFmtId="0" fontId="19" fillId="12" borderId="8" xfId="2" applyFont="1" applyFill="1" applyBorder="1" applyAlignment="1">
      <alignment horizontal="left"/>
    </xf>
    <xf numFmtId="0" fontId="19" fillId="12" borderId="1" xfId="2" applyFont="1" applyFill="1" applyBorder="1" applyAlignment="1">
      <alignment horizontal="left"/>
    </xf>
    <xf numFmtId="0" fontId="19" fillId="12" borderId="6" xfId="0" applyFont="1" applyFill="1" applyBorder="1" applyAlignment="1">
      <alignment horizontal="left"/>
    </xf>
    <xf numFmtId="0" fontId="19" fillId="12" borderId="0" xfId="0" applyFont="1" applyFill="1" applyAlignment="1">
      <alignment horizontal="left"/>
    </xf>
    <xf numFmtId="0" fontId="8" fillId="5" borderId="3" xfId="0" applyFont="1" applyFill="1" applyBorder="1" applyAlignment="1">
      <alignment horizontal="center"/>
    </xf>
    <xf numFmtId="0" fontId="8" fillId="5" borderId="4" xfId="0" applyFont="1" applyFill="1" applyBorder="1" applyAlignment="1">
      <alignment horizontal="center"/>
    </xf>
    <xf numFmtId="0" fontId="8" fillId="5" borderId="5" xfId="0" applyFont="1" applyFill="1" applyBorder="1" applyAlignment="1">
      <alignment horizontal="center"/>
    </xf>
    <xf numFmtId="0" fontId="8" fillId="14" borderId="3" xfId="0" applyFont="1" applyFill="1" applyBorder="1" applyAlignment="1">
      <alignment horizontal="center"/>
    </xf>
    <xf numFmtId="0" fontId="8" fillId="14" borderId="4" xfId="0" applyFont="1" applyFill="1" applyBorder="1" applyAlignment="1">
      <alignment horizontal="center"/>
    </xf>
    <xf numFmtId="0" fontId="8" fillId="14" borderId="5" xfId="0" applyFont="1" applyFill="1" applyBorder="1" applyAlignment="1">
      <alignment horizontal="center"/>
    </xf>
    <xf numFmtId="0" fontId="19" fillId="12" borderId="3" xfId="0" applyFont="1" applyFill="1" applyBorder="1" applyAlignment="1">
      <alignment horizontal="left"/>
    </xf>
    <xf numFmtId="0" fontId="19" fillId="12" borderId="4" xfId="0" applyFont="1" applyFill="1" applyBorder="1" applyAlignment="1">
      <alignment horizontal="left"/>
    </xf>
    <xf numFmtId="0" fontId="16" fillId="13" borderId="10" xfId="2" applyFont="1" applyFill="1" applyBorder="1" applyAlignment="1">
      <alignment horizontal="center" vertical="center"/>
    </xf>
    <xf numFmtId="0" fontId="16" fillId="13" borderId="11" xfId="2" applyFont="1" applyFill="1" applyBorder="1" applyAlignment="1">
      <alignment horizontal="center" vertical="center"/>
    </xf>
    <xf numFmtId="0" fontId="16" fillId="13" borderId="12" xfId="2" applyFont="1" applyFill="1" applyBorder="1" applyAlignment="1">
      <alignment horizontal="center" vertical="center"/>
    </xf>
    <xf numFmtId="0" fontId="30" fillId="9" borderId="26" xfId="0" applyFont="1" applyFill="1" applyBorder="1" applyAlignment="1">
      <alignment horizontal="center" vertical="center" wrapText="1"/>
    </xf>
    <xf numFmtId="0" fontId="30" fillId="9" borderId="27"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2" fillId="2" borderId="0" xfId="0" applyFont="1" applyFill="1" applyAlignment="1">
      <alignment vertical="center" wrapText="1"/>
    </xf>
    <xf numFmtId="0" fontId="5" fillId="16" borderId="32" xfId="0" applyFont="1" applyFill="1" applyBorder="1" applyAlignment="1">
      <alignment horizontal="center" vertical="center"/>
    </xf>
    <xf numFmtId="0" fontId="5" fillId="16" borderId="2" xfId="0" applyFont="1" applyFill="1" applyBorder="1" applyAlignment="1">
      <alignment horizontal="center" vertical="center"/>
    </xf>
    <xf numFmtId="0" fontId="5" fillId="16" borderId="34" xfId="0" applyFont="1" applyFill="1" applyBorder="1" applyAlignment="1">
      <alignment horizontal="center" vertical="center"/>
    </xf>
    <xf numFmtId="0" fontId="5" fillId="16" borderId="35" xfId="0" applyFont="1" applyFill="1" applyBorder="1" applyAlignment="1">
      <alignment horizontal="center" vertical="center"/>
    </xf>
    <xf numFmtId="0" fontId="5" fillId="16" borderId="28" xfId="0" applyFont="1" applyFill="1" applyBorder="1" applyAlignment="1">
      <alignment horizontal="center"/>
    </xf>
    <xf numFmtId="0" fontId="0" fillId="16" borderId="29" xfId="0" applyFill="1" applyBorder="1" applyAlignment="1">
      <alignment horizontal="center"/>
    </xf>
    <xf numFmtId="14" fontId="0" fillId="0" borderId="31" xfId="0" applyNumberFormat="1" applyBorder="1" applyAlignment="1">
      <alignment horizontal="center"/>
    </xf>
    <xf numFmtId="0" fontId="0" fillId="0" borderId="12" xfId="0" applyBorder="1" applyAlignment="1">
      <alignment horizontal="center"/>
    </xf>
    <xf numFmtId="0" fontId="5" fillId="16" borderId="37" xfId="0" applyFont="1" applyFill="1" applyBorder="1" applyAlignment="1">
      <alignment horizontal="center" vertical="center"/>
    </xf>
    <xf numFmtId="0" fontId="0" fillId="16" borderId="38" xfId="0" applyFill="1" applyBorder="1" applyAlignment="1">
      <alignment horizontal="center" vertical="center"/>
    </xf>
    <xf numFmtId="0" fontId="11" fillId="0" borderId="17" xfId="0" applyFont="1" applyBorder="1" applyAlignment="1">
      <alignment vertical="center" wrapText="1"/>
    </xf>
    <xf numFmtId="0" fontId="11" fillId="0" borderId="19" xfId="0" applyFont="1" applyBorder="1" applyAlignment="1">
      <alignment vertical="center" wrapText="1"/>
    </xf>
  </cellXfs>
  <cellStyles count="40">
    <cellStyle name="Comma 2" xfId="10" xr:uid="{00000000-0005-0000-0000-000000000000}"/>
    <cellStyle name="Comma 3" xfId="11" xr:uid="{00000000-0005-0000-0000-000001000000}"/>
    <cellStyle name="Comma 3 2" xfId="12" xr:uid="{00000000-0005-0000-0000-000002000000}"/>
    <cellStyle name="Currency 2" xfId="13" xr:uid="{00000000-0005-0000-0000-000003000000}"/>
    <cellStyle name="Hyperlink 2" xfId="14" xr:uid="{00000000-0005-0000-0000-000004000000}"/>
    <cellStyle name="Hyperlink 2 2" xfId="15" xr:uid="{00000000-0005-0000-0000-000005000000}"/>
    <cellStyle name="Normal" xfId="0" builtinId="0"/>
    <cellStyle name="Normal 10" xfId="16" xr:uid="{00000000-0005-0000-0000-000007000000}"/>
    <cellStyle name="Normal 11" xfId="17" xr:uid="{00000000-0005-0000-0000-000008000000}"/>
    <cellStyle name="Normal 11 2" xfId="18" xr:uid="{00000000-0005-0000-0000-000009000000}"/>
    <cellStyle name="Normal 12" xfId="19" xr:uid="{00000000-0005-0000-0000-00000A000000}"/>
    <cellStyle name="Normal 13" xfId="20" xr:uid="{00000000-0005-0000-0000-00000B000000}"/>
    <cellStyle name="Normal 14" xfId="21" xr:uid="{00000000-0005-0000-0000-00000C000000}"/>
    <cellStyle name="Normal 15" xfId="22" xr:uid="{00000000-0005-0000-0000-00000D000000}"/>
    <cellStyle name="Normal 16" xfId="23" xr:uid="{00000000-0005-0000-0000-00000E000000}"/>
    <cellStyle name="Normal 17" xfId="24" xr:uid="{00000000-0005-0000-0000-00000F000000}"/>
    <cellStyle name="Normal 18" xfId="25" xr:uid="{00000000-0005-0000-0000-000010000000}"/>
    <cellStyle name="Normal 18 2" xfId="26" xr:uid="{00000000-0005-0000-0000-000011000000}"/>
    <cellStyle name="Normal 19" xfId="27" xr:uid="{00000000-0005-0000-0000-000012000000}"/>
    <cellStyle name="Normal 2" xfId="1" xr:uid="{00000000-0005-0000-0000-000013000000}"/>
    <cellStyle name="Normal 2 2" xfId="9" xr:uid="{00000000-0005-0000-0000-000014000000}"/>
    <cellStyle name="Normal 2 3" xfId="8" xr:uid="{00000000-0005-0000-0000-000015000000}"/>
    <cellStyle name="Normal 2 4" xfId="39" xr:uid="{B1EC26E2-4476-43EB-BA2B-D0C0E52A56AD}"/>
    <cellStyle name="Normal 2_TVIN-CBS" xfId="2" xr:uid="{00000000-0005-0000-0000-000016000000}"/>
    <cellStyle name="Normal 20" xfId="28" xr:uid="{00000000-0005-0000-0000-000017000000}"/>
    <cellStyle name="Normal 20 2" xfId="29" xr:uid="{00000000-0005-0000-0000-000018000000}"/>
    <cellStyle name="Normal 21" xfId="30" xr:uid="{00000000-0005-0000-0000-000019000000}"/>
    <cellStyle name="Normal 22" xfId="31" xr:uid="{00000000-0005-0000-0000-00001A000000}"/>
    <cellStyle name="Normal 23" xfId="32" xr:uid="{00000000-0005-0000-0000-00001B000000}"/>
    <cellStyle name="Normal 24" xfId="33" xr:uid="{00000000-0005-0000-0000-00001C000000}"/>
    <cellStyle name="Normal 25" xfId="34" xr:uid="{00000000-0005-0000-0000-00001D000000}"/>
    <cellStyle name="Normal 3" xfId="3" xr:uid="{00000000-0005-0000-0000-00001E000000}"/>
    <cellStyle name="Normal 4" xfId="4" xr:uid="{00000000-0005-0000-0000-00001F000000}"/>
    <cellStyle name="Normal 4 2" xfId="38" xr:uid="{00000000-0005-0000-0000-000020000000}"/>
    <cellStyle name="Normal 5" xfId="5" xr:uid="{00000000-0005-0000-0000-000021000000}"/>
    <cellStyle name="Normal 6" xfId="6" xr:uid="{00000000-0005-0000-0000-000022000000}"/>
    <cellStyle name="Normal 7" xfId="35" xr:uid="{00000000-0005-0000-0000-000023000000}"/>
    <cellStyle name="Normal 8" xfId="36" xr:uid="{00000000-0005-0000-0000-000024000000}"/>
    <cellStyle name="Normal 9" xfId="37" xr:uid="{00000000-0005-0000-0000-000025000000}"/>
    <cellStyle name="Percent 2" xfId="7" xr:uid="{00000000-0005-0000-0000-00002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30</xdr:col>
      <xdr:colOff>66675</xdr:colOff>
      <xdr:row>0</xdr:row>
      <xdr:rowOff>38100</xdr:rowOff>
    </xdr:from>
    <xdr:to>
      <xdr:col>37</xdr:col>
      <xdr:colOff>742950</xdr:colOff>
      <xdr:row>57</xdr:row>
      <xdr:rowOff>47625</xdr:rowOff>
    </xdr:to>
    <xdr:pic>
      <xdr:nvPicPr>
        <xdr:cNvPr id="10" name="Picture 9">
          <a:extLst>
            <a:ext uri="{FF2B5EF4-FFF2-40B4-BE49-F238E27FC236}">
              <a16:creationId xmlns:a16="http://schemas.microsoft.com/office/drawing/2014/main" id="{7C4E975C-51B4-C8F6-39C7-F319FB51E2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48700" y="38100"/>
          <a:ext cx="8296275" cy="1334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962027</xdr:colOff>
      <xdr:row>23</xdr:row>
      <xdr:rowOff>66673</xdr:rowOff>
    </xdr:from>
    <xdr:to>
      <xdr:col>36</xdr:col>
      <xdr:colOff>190502</xdr:colOff>
      <xdr:row>31</xdr:row>
      <xdr:rowOff>123823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rot="19387750">
          <a:off x="10725152" y="4752973"/>
          <a:ext cx="4562475" cy="1733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a:solidFill>
                <a:schemeClr val="bg1">
                  <a:lumMod val="50000"/>
                  <a:alpha val="68000"/>
                </a:schemeClr>
              </a:solidFill>
              <a:latin typeface="Arial" panose="020B0604020202020204" pitchFamily="34" charset="0"/>
              <a:cs typeface="Arial" panose="020B0604020202020204" pitchFamily="34" charset="0"/>
            </a:rPr>
            <a:t>EXAMPLE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GROUP_TK1\S%20O%20P%20A\Operations\Service%20&amp;%20Transfers\Transfers\NHS\Transfer%20Calculators\Transfer%20Calculators%20Flowchart\TVIN-CBS-Post%2001-01-2012-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417222\AppData\Local\Microsoft\Windows\Temporary%20Internet%20Files\Content.Outlook\KCTC7Z0K\Working%20on%2060%2065%202010%20tvout\New%20calcs\14.%20MANUAL%20TV%20IN%20CALC%20-%20NHS%2060%20POST%2001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ETV"/>
      <sheetName val="Factors"/>
      <sheetName val="Test"/>
    </sheetNames>
    <sheetDataSet>
      <sheetData sheetId="0"/>
      <sheetData sheetId="1">
        <row r="6">
          <cell r="D6">
            <v>4991</v>
          </cell>
        </row>
        <row r="11">
          <cell r="B11">
            <v>22149.43</v>
          </cell>
        </row>
        <row r="13">
          <cell r="B13">
            <v>1</v>
          </cell>
        </row>
        <row r="16">
          <cell r="B16">
            <v>0</v>
          </cell>
        </row>
        <row r="17">
          <cell r="B17">
            <v>16.350000000000001</v>
          </cell>
        </row>
        <row r="18">
          <cell r="B18">
            <v>0.83</v>
          </cell>
        </row>
        <row r="19">
          <cell r="B19">
            <v>1.54</v>
          </cell>
        </row>
        <row r="20">
          <cell r="B20">
            <v>2.9</v>
          </cell>
        </row>
        <row r="21">
          <cell r="B21">
            <v>12.62</v>
          </cell>
        </row>
        <row r="24">
          <cell r="B24">
            <v>1</v>
          </cell>
        </row>
        <row r="25">
          <cell r="B25">
            <v>0.15</v>
          </cell>
        </row>
        <row r="27">
          <cell r="B27">
            <v>3785.88</v>
          </cell>
          <cell r="I27">
            <v>1222</v>
          </cell>
        </row>
        <row r="33">
          <cell r="B33">
            <v>1112.022752739726</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P FACTORS"/>
      <sheetName val="FEMALES"/>
      <sheetName val="MALES"/>
      <sheetName val="FEMALE NI MOD"/>
      <sheetName val="MALE NI MOD"/>
      <sheetName val="DATAINPUT"/>
      <sheetName val="Sheet2"/>
      <sheetName val="NHS AWARD CHECKLIST"/>
      <sheetName val="MAXSERVICE"/>
      <sheetName val="CALCULATION "/>
      <sheetName val="Prop Credit"/>
      <sheetName val="NABcalc"/>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row r="2">
          <cell r="P2">
            <v>1</v>
          </cell>
          <cell r="Q2">
            <v>365</v>
          </cell>
          <cell r="R2">
            <v>31</v>
          </cell>
          <cell r="S2">
            <v>31</v>
          </cell>
        </row>
        <row r="3">
          <cell r="P3">
            <v>2</v>
          </cell>
          <cell r="Q3">
            <v>334</v>
          </cell>
          <cell r="R3">
            <v>59</v>
          </cell>
          <cell r="S3">
            <v>28</v>
          </cell>
        </row>
        <row r="4">
          <cell r="P4">
            <v>3</v>
          </cell>
          <cell r="Q4">
            <v>306</v>
          </cell>
          <cell r="R4">
            <v>90</v>
          </cell>
          <cell r="S4">
            <v>31</v>
          </cell>
        </row>
        <row r="5">
          <cell r="P5">
            <v>4</v>
          </cell>
          <cell r="Q5">
            <v>275</v>
          </cell>
          <cell r="R5">
            <v>120</v>
          </cell>
          <cell r="S5">
            <v>30</v>
          </cell>
        </row>
        <row r="6">
          <cell r="P6">
            <v>5</v>
          </cell>
          <cell r="Q6">
            <v>245</v>
          </cell>
          <cell r="R6">
            <v>151</v>
          </cell>
          <cell r="S6">
            <v>31</v>
          </cell>
        </row>
        <row r="7">
          <cell r="P7">
            <v>6</v>
          </cell>
          <cell r="Q7">
            <v>214</v>
          </cell>
          <cell r="R7">
            <v>181</v>
          </cell>
          <cell r="S7">
            <v>30</v>
          </cell>
        </row>
        <row r="8">
          <cell r="P8">
            <v>7</v>
          </cell>
          <cell r="Q8">
            <v>184</v>
          </cell>
          <cell r="R8">
            <v>212</v>
          </cell>
          <cell r="S8">
            <v>31</v>
          </cell>
        </row>
        <row r="9">
          <cell r="P9">
            <v>8</v>
          </cell>
          <cell r="Q9">
            <v>153</v>
          </cell>
          <cell r="R9">
            <v>243</v>
          </cell>
          <cell r="S9">
            <v>31</v>
          </cell>
        </row>
        <row r="10">
          <cell r="P10">
            <v>9</v>
          </cell>
          <cell r="Q10">
            <v>122</v>
          </cell>
          <cell r="R10">
            <v>273</v>
          </cell>
          <cell r="S10">
            <v>30</v>
          </cell>
        </row>
        <row r="11">
          <cell r="P11">
            <v>10</v>
          </cell>
          <cell r="Q11">
            <v>92</v>
          </cell>
          <cell r="R11">
            <v>304</v>
          </cell>
          <cell r="S11">
            <v>31</v>
          </cell>
        </row>
        <row r="12">
          <cell r="P12">
            <v>11</v>
          </cell>
          <cell r="Q12">
            <v>61</v>
          </cell>
          <cell r="R12">
            <v>334</v>
          </cell>
          <cell r="S12">
            <v>30</v>
          </cell>
        </row>
        <row r="13">
          <cell r="P13">
            <v>12</v>
          </cell>
          <cell r="Q13">
            <v>31</v>
          </cell>
          <cell r="R13">
            <v>365</v>
          </cell>
          <cell r="S13">
            <v>31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C56"/>
  <sheetViews>
    <sheetView showGridLines="0" tabSelected="1" zoomScaleNormal="100" workbookViewId="0">
      <selection activeCell="E7" sqref="E7:F7"/>
    </sheetView>
  </sheetViews>
  <sheetFormatPr defaultColWidth="9.1796875" defaultRowHeight="12.5" x14ac:dyDescent="0.25"/>
  <cols>
    <col min="1" max="1" width="2" style="117" customWidth="1"/>
    <col min="2" max="2" width="3.54296875" style="117" customWidth="1"/>
    <col min="3" max="3" width="13.7265625" style="117" customWidth="1"/>
    <col min="4" max="4" width="20.54296875" style="117" customWidth="1"/>
    <col min="5" max="5" width="9.453125" style="117" customWidth="1"/>
    <col min="6" max="6" width="9.1796875" style="117" customWidth="1"/>
    <col min="7" max="7" width="5" style="117" customWidth="1"/>
    <col min="8" max="8" width="13.7265625" style="117" customWidth="1"/>
    <col min="9" max="9" width="9.453125" style="117" customWidth="1"/>
    <col min="10" max="10" width="8.54296875" style="117" customWidth="1"/>
    <col min="11" max="12" width="9.453125" style="117" customWidth="1"/>
    <col min="13" max="13" width="3.26953125" style="117" customWidth="1"/>
    <col min="14" max="14" width="7" style="117" customWidth="1"/>
    <col min="15" max="15" width="4.26953125" style="118" customWidth="1"/>
    <col min="16" max="16" width="0.7265625" style="118" hidden="1" customWidth="1"/>
    <col min="17" max="17" width="3.81640625" style="118" hidden="1" customWidth="1"/>
    <col min="18" max="18" width="5.7265625" style="118" hidden="1" customWidth="1"/>
    <col min="19" max="19" width="5" style="118" hidden="1" customWidth="1"/>
    <col min="20" max="20" width="9" style="118" hidden="1" customWidth="1"/>
    <col min="21" max="21" width="10.26953125" style="119" hidden="1" customWidth="1"/>
    <col min="22" max="22" width="10" style="119" hidden="1" customWidth="1"/>
    <col min="23" max="23" width="9.7265625" style="119" hidden="1" customWidth="1"/>
    <col min="24" max="24" width="13.26953125" style="119" hidden="1" customWidth="1"/>
    <col min="25" max="25" width="8.54296875" style="119" hidden="1" customWidth="1"/>
    <col min="26" max="26" width="0.81640625" style="119" hidden="1" customWidth="1"/>
    <col min="27" max="27" width="30.1796875" style="117" hidden="1" customWidth="1"/>
    <col min="28" max="28" width="0.1796875" style="117" customWidth="1"/>
    <col min="29" max="29" width="26.54296875" style="117" hidden="1" customWidth="1"/>
    <col min="30" max="30" width="27.26953125" style="117" hidden="1" customWidth="1"/>
    <col min="31" max="32" width="15.1796875" style="117" customWidth="1"/>
    <col min="33" max="33" width="17.1796875" style="117" customWidth="1"/>
    <col min="34" max="34" width="16.1796875" style="117" customWidth="1"/>
    <col min="35" max="35" width="14.453125" style="117" customWidth="1"/>
    <col min="36" max="36" width="17.1796875" style="117" customWidth="1"/>
    <col min="37" max="37" width="19.1796875" style="117" customWidth="1"/>
    <col min="38" max="38" width="13.1796875" style="117" customWidth="1"/>
    <col min="39" max="39" width="2.453125" style="117" customWidth="1"/>
    <col min="40" max="40" width="13.453125" style="117" hidden="1" customWidth="1"/>
    <col min="41" max="41" width="14.26953125" style="117" hidden="1" customWidth="1"/>
    <col min="42" max="42" width="15.54296875" style="117" hidden="1" customWidth="1"/>
    <col min="43" max="43" width="118.26953125" style="117" hidden="1" customWidth="1"/>
    <col min="44" max="44" width="2.7265625" style="117" customWidth="1"/>
    <col min="45" max="58" width="9.1796875" style="117"/>
    <col min="59" max="59" width="15.7265625" style="117" customWidth="1"/>
    <col min="60" max="16384" width="9.1796875" style="117"/>
  </cols>
  <sheetData>
    <row r="1" spans="2:45" ht="9" customHeight="1" thickBot="1" x14ac:dyDescent="0.3"/>
    <row r="2" spans="2:45" ht="19.149999999999999" customHeight="1" x14ac:dyDescent="0.25">
      <c r="B2" s="320" t="s">
        <v>82</v>
      </c>
      <c r="C2" s="321"/>
      <c r="D2" s="321"/>
      <c r="E2" s="321"/>
      <c r="F2" s="321"/>
      <c r="G2" s="321"/>
      <c r="H2" s="321"/>
      <c r="I2" s="321"/>
      <c r="J2" s="321"/>
      <c r="K2" s="321"/>
      <c r="L2" s="321"/>
      <c r="M2" s="322"/>
      <c r="T2" s="120">
        <v>60</v>
      </c>
      <c r="U2" s="262" t="s">
        <v>68</v>
      </c>
      <c r="V2" s="262"/>
      <c r="W2" s="120">
        <v>365</v>
      </c>
      <c r="X2" s="120" t="s">
        <v>80</v>
      </c>
      <c r="Y2" s="120">
        <f>(E16/W2)+C16</f>
        <v>0</v>
      </c>
      <c r="Z2" s="121">
        <v>0.5</v>
      </c>
      <c r="AA2" s="120">
        <v>60</v>
      </c>
      <c r="AD2" s="122" t="b">
        <f>IF(Results!E6="NHS 1995 Section","60",IF(Results!E6="NHS 2008 Section","65"))</f>
        <v>0</v>
      </c>
    </row>
    <row r="3" spans="2:45" ht="17.149999999999999" customHeight="1" x14ac:dyDescent="0.25">
      <c r="B3" s="323"/>
      <c r="C3" s="324"/>
      <c r="D3" s="324"/>
      <c r="E3" s="324"/>
      <c r="F3" s="324"/>
      <c r="G3" s="324"/>
      <c r="H3" s="324"/>
      <c r="I3" s="324"/>
      <c r="J3" s="324"/>
      <c r="K3" s="324"/>
      <c r="L3" s="324"/>
      <c r="M3" s="325"/>
      <c r="T3" s="120">
        <v>80</v>
      </c>
      <c r="U3" s="262" t="s">
        <v>69</v>
      </c>
      <c r="V3" s="262"/>
      <c r="W3" s="120">
        <v>122</v>
      </c>
      <c r="X3" s="120" t="s">
        <v>81</v>
      </c>
      <c r="Y3" s="120">
        <f>(K16/W2)+H16</f>
        <v>0</v>
      </c>
      <c r="Z3" s="121">
        <v>0.375</v>
      </c>
      <c r="AA3" s="120"/>
    </row>
    <row r="4" spans="2:45" ht="17.149999999999999" customHeight="1" x14ac:dyDescent="0.25">
      <c r="B4" s="238" t="s">
        <v>173</v>
      </c>
      <c r="C4" s="239"/>
      <c r="D4" s="239"/>
      <c r="E4" s="239"/>
      <c r="F4" s="239"/>
      <c r="G4" s="239"/>
      <c r="H4" s="239"/>
      <c r="I4" s="239"/>
      <c r="J4" s="239"/>
      <c r="K4" s="239"/>
      <c r="L4" s="239"/>
      <c r="M4" s="240"/>
      <c r="T4" s="120"/>
      <c r="U4" s="262" t="s">
        <v>67</v>
      </c>
      <c r="V4" s="262"/>
      <c r="W4" s="120"/>
      <c r="X4" s="120"/>
      <c r="Y4" s="120"/>
      <c r="Z4" s="121"/>
      <c r="AA4" s="120"/>
    </row>
    <row r="5" spans="2:45" ht="15" customHeight="1" x14ac:dyDescent="0.25">
      <c r="B5" s="238"/>
      <c r="C5" s="239"/>
      <c r="D5" s="239"/>
      <c r="E5" s="239"/>
      <c r="F5" s="239"/>
      <c r="G5" s="239"/>
      <c r="H5" s="239"/>
      <c r="I5" s="239"/>
      <c r="J5" s="239"/>
      <c r="K5" s="239"/>
      <c r="L5" s="239"/>
      <c r="M5" s="240"/>
      <c r="T5" s="123"/>
      <c r="U5" s="317"/>
      <c r="V5" s="317"/>
      <c r="W5" s="317"/>
      <c r="X5" s="317"/>
      <c r="Y5" s="124"/>
      <c r="Z5" s="124"/>
    </row>
    <row r="6" spans="2:45" ht="17.149999999999999" customHeight="1" x14ac:dyDescent="0.25">
      <c r="B6" s="125"/>
      <c r="C6" s="340" t="s">
        <v>132</v>
      </c>
      <c r="D6" s="340"/>
      <c r="E6" s="258" t="s">
        <v>169</v>
      </c>
      <c r="F6" s="258"/>
      <c r="G6" s="126"/>
      <c r="H6" s="244" t="s">
        <v>64</v>
      </c>
      <c r="I6" s="245"/>
      <c r="J6" s="246"/>
      <c r="K6" s="326">
        <v>3.7999999999999999E-2</v>
      </c>
      <c r="L6" s="326"/>
      <c r="M6" s="127"/>
      <c r="N6" s="128"/>
      <c r="P6" s="120">
        <f>C16+(E16/365)</f>
        <v>0</v>
      </c>
      <c r="T6" s="123"/>
      <c r="U6" s="317"/>
      <c r="V6" s="317"/>
      <c r="W6" s="317"/>
      <c r="X6" s="317"/>
      <c r="Y6" s="123"/>
      <c r="Z6" s="262"/>
      <c r="AA6" s="262"/>
      <c r="AB6" s="262"/>
      <c r="AC6" s="262"/>
    </row>
    <row r="7" spans="2:45" ht="17.149999999999999" customHeight="1" x14ac:dyDescent="0.4">
      <c r="B7" s="125"/>
      <c r="C7" s="340" t="s">
        <v>66</v>
      </c>
      <c r="D7" s="340"/>
      <c r="E7" s="258"/>
      <c r="F7" s="258"/>
      <c r="G7" s="126"/>
      <c r="L7" s="129"/>
      <c r="M7" s="130"/>
      <c r="N7" s="129"/>
      <c r="P7" s="120" t="b">
        <f>IF(Results!E6="NHS 2008 Section","60",IF(Results!E6="NHS 1995 Section","80"))</f>
        <v>0</v>
      </c>
      <c r="T7" s="123"/>
      <c r="U7" s="269"/>
      <c r="V7" s="269"/>
      <c r="W7" s="269"/>
      <c r="X7" s="269"/>
      <c r="Y7" s="131"/>
      <c r="Z7" s="123"/>
      <c r="AA7" s="132"/>
      <c r="AB7" s="133"/>
      <c r="AC7" s="132"/>
      <c r="AR7" s="134" t="s">
        <v>139</v>
      </c>
      <c r="AS7" s="135"/>
    </row>
    <row r="8" spans="2:45" ht="17.149999999999999" customHeight="1" x14ac:dyDescent="0.25">
      <c r="B8" s="125"/>
      <c r="C8" s="340" t="s">
        <v>28</v>
      </c>
      <c r="D8" s="340"/>
      <c r="E8" s="258" t="s">
        <v>169</v>
      </c>
      <c r="F8" s="258"/>
      <c r="G8" s="126"/>
      <c r="H8" s="244" t="s">
        <v>65</v>
      </c>
      <c r="I8" s="245"/>
      <c r="J8" s="246"/>
      <c r="K8" s="243">
        <f>'NHS FS Non Club Factors'!C112</f>
        <v>125</v>
      </c>
      <c r="L8" s="243"/>
      <c r="M8" s="130"/>
      <c r="N8" s="129"/>
      <c r="T8" s="123"/>
      <c r="U8" s="269"/>
      <c r="V8" s="269"/>
      <c r="W8" s="269"/>
      <c r="X8" s="269"/>
      <c r="Y8" s="131"/>
      <c r="Z8" s="123"/>
      <c r="AA8" s="132"/>
      <c r="AB8" s="133"/>
      <c r="AC8" s="132"/>
    </row>
    <row r="9" spans="2:45" ht="17.149999999999999" customHeight="1" x14ac:dyDescent="0.3">
      <c r="B9" s="125"/>
      <c r="C9" s="340" t="s">
        <v>83</v>
      </c>
      <c r="D9" s="340"/>
      <c r="E9" s="293"/>
      <c r="F9" s="293"/>
      <c r="G9" s="126"/>
      <c r="H9" s="244" t="s">
        <v>138</v>
      </c>
      <c r="I9" s="245"/>
      <c r="J9" s="246"/>
      <c r="K9" s="243">
        <f>'NHS FS Non Club Factors'!C123</f>
        <v>126</v>
      </c>
      <c r="L9" s="243"/>
      <c r="M9" s="136"/>
      <c r="T9" s="123"/>
      <c r="U9" s="269"/>
      <c r="V9" s="269"/>
      <c r="W9" s="269"/>
      <c r="X9" s="269"/>
      <c r="Y9" s="137"/>
      <c r="Z9" s="123"/>
      <c r="AA9" s="132"/>
      <c r="AB9" s="133"/>
      <c r="AC9" s="132"/>
      <c r="AR9" s="138">
        <v>1</v>
      </c>
      <c r="AS9" s="139" t="s">
        <v>140</v>
      </c>
    </row>
    <row r="10" spans="2:45" ht="17.149999999999999" customHeight="1" x14ac:dyDescent="0.3">
      <c r="B10" s="125"/>
      <c r="C10" s="243" t="s">
        <v>133</v>
      </c>
      <c r="D10" s="243"/>
      <c r="E10" s="116">
        <v>0</v>
      </c>
      <c r="F10" s="218">
        <v>0</v>
      </c>
      <c r="G10" s="140">
        <v>1</v>
      </c>
      <c r="H10" s="318"/>
      <c r="I10" s="318"/>
      <c r="J10" s="318"/>
      <c r="K10" s="318"/>
      <c r="L10" s="318"/>
      <c r="M10" s="136"/>
      <c r="T10" s="123"/>
      <c r="U10" s="141"/>
      <c r="V10" s="141"/>
      <c r="W10" s="141"/>
      <c r="X10" s="141"/>
      <c r="Y10" s="124"/>
      <c r="AR10" s="138"/>
      <c r="AS10" s="142"/>
    </row>
    <row r="11" spans="2:45" ht="17.149999999999999" customHeight="1" x14ac:dyDescent="0.3">
      <c r="B11" s="125"/>
      <c r="C11" s="249"/>
      <c r="D11" s="249"/>
      <c r="E11" s="249"/>
      <c r="F11" s="249"/>
      <c r="H11" s="319"/>
      <c r="I11" s="319"/>
      <c r="J11" s="319"/>
      <c r="K11" s="319"/>
      <c r="L11" s="319"/>
      <c r="M11" s="136"/>
      <c r="T11" s="123"/>
      <c r="U11" s="269"/>
      <c r="V11" s="269"/>
      <c r="W11" s="269"/>
      <c r="X11" s="269"/>
      <c r="Y11" s="143"/>
      <c r="AR11" s="138">
        <v>2</v>
      </c>
      <c r="AS11" s="142" t="s">
        <v>156</v>
      </c>
    </row>
    <row r="12" spans="2:45" ht="16.5" customHeight="1" x14ac:dyDescent="0.3">
      <c r="B12" s="125"/>
      <c r="C12" s="332" t="s">
        <v>166</v>
      </c>
      <c r="D12" s="333"/>
      <c r="E12" s="328">
        <v>45747</v>
      </c>
      <c r="F12" s="329"/>
      <c r="H12" s="345" t="s">
        <v>165</v>
      </c>
      <c r="I12" s="346"/>
      <c r="J12" s="346"/>
      <c r="K12" s="336">
        <v>46112</v>
      </c>
      <c r="L12" s="337"/>
      <c r="M12" s="144"/>
      <c r="N12" s="145"/>
      <c r="Q12" s="263" t="s">
        <v>76</v>
      </c>
      <c r="R12" s="263"/>
      <c r="T12" s="132"/>
      <c r="U12" s="133"/>
      <c r="V12" s="277" t="s">
        <v>170</v>
      </c>
      <c r="W12" s="277"/>
      <c r="X12" s="133"/>
      <c r="Y12" s="133"/>
      <c r="Z12" s="133"/>
    </row>
    <row r="13" spans="2:45" ht="12.75" customHeight="1" x14ac:dyDescent="0.3">
      <c r="B13" s="125"/>
      <c r="C13" s="334"/>
      <c r="D13" s="335"/>
      <c r="E13" s="330"/>
      <c r="F13" s="331"/>
      <c r="G13" s="146"/>
      <c r="H13" s="347"/>
      <c r="I13" s="348"/>
      <c r="J13" s="348"/>
      <c r="K13" s="338"/>
      <c r="L13" s="339"/>
      <c r="M13" s="147"/>
      <c r="N13" s="148"/>
      <c r="P13" s="270" t="s">
        <v>7</v>
      </c>
      <c r="Q13" s="270"/>
      <c r="R13" s="270" t="s">
        <v>8</v>
      </c>
      <c r="S13" s="270"/>
      <c r="U13" s="267" t="s">
        <v>7</v>
      </c>
      <c r="V13" s="268"/>
      <c r="W13" s="265" t="s">
        <v>8</v>
      </c>
      <c r="X13" s="266"/>
      <c r="Y13" s="133"/>
      <c r="Z13" s="264" t="s">
        <v>25</v>
      </c>
      <c r="AR13" s="138">
        <v>3</v>
      </c>
      <c r="AS13" s="142" t="s">
        <v>141</v>
      </c>
    </row>
    <row r="14" spans="2:45" ht="17.149999999999999" customHeight="1" x14ac:dyDescent="0.3">
      <c r="B14" s="125"/>
      <c r="C14" s="254" t="s">
        <v>70</v>
      </c>
      <c r="D14" s="255"/>
      <c r="E14" s="255"/>
      <c r="F14" s="256"/>
      <c r="G14" s="146"/>
      <c r="H14" s="281" t="s">
        <v>70</v>
      </c>
      <c r="I14" s="282"/>
      <c r="J14" s="282"/>
      <c r="K14" s="282"/>
      <c r="L14" s="283"/>
      <c r="M14" s="147"/>
      <c r="N14" s="148"/>
      <c r="U14" s="149"/>
      <c r="V14" s="150"/>
      <c r="W14" s="151"/>
      <c r="X14" s="152"/>
      <c r="Y14" s="133"/>
      <c r="Z14" s="264"/>
    </row>
    <row r="15" spans="2:45" ht="17.149999999999999" customHeight="1" x14ac:dyDescent="0.3">
      <c r="B15" s="125"/>
      <c r="C15" s="289" t="s">
        <v>3</v>
      </c>
      <c r="D15" s="289"/>
      <c r="E15" s="289" t="s">
        <v>4</v>
      </c>
      <c r="F15" s="289"/>
      <c r="G15" s="153"/>
      <c r="H15" s="260" t="s">
        <v>3</v>
      </c>
      <c r="I15" s="260"/>
      <c r="J15" s="260"/>
      <c r="K15" s="260" t="s">
        <v>4</v>
      </c>
      <c r="L15" s="260"/>
      <c r="M15" s="144"/>
      <c r="N15" s="145"/>
      <c r="O15" s="154"/>
      <c r="P15" s="155" t="s">
        <v>47</v>
      </c>
      <c r="Q15" s="155" t="s">
        <v>48</v>
      </c>
      <c r="R15" s="155" t="s">
        <v>47</v>
      </c>
      <c r="S15" s="155" t="s">
        <v>48</v>
      </c>
      <c r="T15" s="156"/>
      <c r="U15" s="157" t="s">
        <v>47</v>
      </c>
      <c r="V15" s="150" t="s">
        <v>48</v>
      </c>
      <c r="W15" s="158" t="s">
        <v>47</v>
      </c>
      <c r="X15" s="152" t="s">
        <v>48</v>
      </c>
      <c r="Y15" s="128" t="s">
        <v>10</v>
      </c>
      <c r="Z15" s="264"/>
      <c r="AA15" s="128"/>
      <c r="AR15" s="138">
        <v>4</v>
      </c>
      <c r="AS15" s="142" t="s">
        <v>142</v>
      </c>
    </row>
    <row r="16" spans="2:45" ht="17.149999999999999" customHeight="1" x14ac:dyDescent="0.25">
      <c r="B16" s="125"/>
      <c r="C16" s="259">
        <v>0</v>
      </c>
      <c r="D16" s="259"/>
      <c r="E16" s="259">
        <v>0</v>
      </c>
      <c r="F16" s="259"/>
      <c r="G16" s="159">
        <v>2</v>
      </c>
      <c r="H16" s="259">
        <f>C16</f>
        <v>0</v>
      </c>
      <c r="I16" s="259"/>
      <c r="J16" s="259"/>
      <c r="K16" s="259">
        <f>E16</f>
        <v>0</v>
      </c>
      <c r="L16" s="259"/>
      <c r="M16" s="160">
        <v>14</v>
      </c>
      <c r="N16" s="128"/>
      <c r="O16" s="154" t="s">
        <v>5</v>
      </c>
      <c r="P16" s="161"/>
      <c r="Q16" s="162"/>
      <c r="R16" s="155"/>
      <c r="S16" s="163"/>
      <c r="T16" s="156"/>
      <c r="U16" s="164">
        <f>IF(E6=U2,ROUND((E28/T3)*Y2,2),ROUND((E28/T2)*Y2,2))</f>
        <v>0</v>
      </c>
      <c r="V16" s="165">
        <f>AA49</f>
        <v>0</v>
      </c>
      <c r="W16" s="166">
        <f>IF(E6=U2,ROUND((K19/T3)*Y3,2),ROUND((K19/T2)*Y3,2))</f>
        <v>0</v>
      </c>
      <c r="X16" s="167">
        <f>AA50</f>
        <v>0</v>
      </c>
      <c r="Y16" s="168">
        <f>(W16+X16)-(U16+V16)</f>
        <v>0</v>
      </c>
      <c r="Z16" s="168">
        <f>(U16+V16)*K6</f>
        <v>0</v>
      </c>
      <c r="AA16" s="168">
        <f>(U16+V16)+Z16</f>
        <v>0</v>
      </c>
    </row>
    <row r="17" spans="2:81" ht="17.149999999999999" customHeight="1" x14ac:dyDescent="0.3">
      <c r="B17" s="125"/>
      <c r="H17" s="142"/>
      <c r="I17" s="142"/>
      <c r="J17" s="142"/>
      <c r="K17" s="142"/>
      <c r="L17" s="142"/>
      <c r="M17" s="169"/>
      <c r="N17" s="142"/>
      <c r="O17" s="154" t="s">
        <v>6</v>
      </c>
      <c r="P17" s="170"/>
      <c r="Q17" s="170"/>
      <c r="R17" s="155"/>
      <c r="S17" s="155"/>
      <c r="T17" s="156"/>
      <c r="U17" s="164">
        <f>IF(E6=U2,(U16*3),0)</f>
        <v>0</v>
      </c>
      <c r="V17" s="165"/>
      <c r="W17" s="166">
        <f>IF(E6=U2,(W16*3),0)</f>
        <v>0</v>
      </c>
      <c r="X17" s="167"/>
      <c r="Y17" s="168">
        <f>(W17+X17)-(U17+V17)</f>
        <v>0</v>
      </c>
      <c r="Z17" s="168">
        <f>(U17+V17)*K6</f>
        <v>0</v>
      </c>
      <c r="AA17" s="168">
        <f>(U17+V17)+Z17</f>
        <v>0</v>
      </c>
      <c r="AR17" s="138">
        <v>5</v>
      </c>
      <c r="AS17" s="142" t="s">
        <v>143</v>
      </c>
    </row>
    <row r="18" spans="2:81" ht="17.149999999999999" customHeight="1" x14ac:dyDescent="0.25">
      <c r="B18" s="171"/>
      <c r="C18" s="252" t="s">
        <v>134</v>
      </c>
      <c r="D18" s="252"/>
      <c r="E18" s="291">
        <v>0</v>
      </c>
      <c r="F18" s="292"/>
      <c r="G18" s="159">
        <v>3</v>
      </c>
      <c r="H18" s="247" t="s">
        <v>171</v>
      </c>
      <c r="I18" s="247"/>
      <c r="J18" s="247"/>
      <c r="K18" s="257">
        <v>0</v>
      </c>
      <c r="L18" s="258"/>
      <c r="M18" s="160">
        <v>15</v>
      </c>
      <c r="N18" s="168"/>
      <c r="O18" s="154" t="s">
        <v>9</v>
      </c>
      <c r="P18" s="170"/>
      <c r="Q18" s="162"/>
      <c r="R18" s="155"/>
      <c r="S18" s="161"/>
      <c r="T18" s="156"/>
      <c r="U18" s="164">
        <f>IF(E6=U2,(U16*Z2),(U16*Z3))</f>
        <v>0</v>
      </c>
      <c r="V18" s="165">
        <f>V16*0.3375</f>
        <v>0</v>
      </c>
      <c r="W18" s="166">
        <f>IF(E6=U2,(W16*Z2),(W16*Z3))</f>
        <v>0</v>
      </c>
      <c r="X18" s="167">
        <f>X16*0.3375</f>
        <v>0</v>
      </c>
      <c r="Y18" s="168">
        <f t="shared" ref="Y18" si="0">(W18+X18)-(U18+V18)</f>
        <v>0</v>
      </c>
      <c r="Z18" s="133"/>
      <c r="AA18" s="133"/>
    </row>
    <row r="19" spans="2:81" ht="17.149999999999999" customHeight="1" x14ac:dyDescent="0.3">
      <c r="B19" s="171"/>
      <c r="C19" s="252" t="s">
        <v>135</v>
      </c>
      <c r="D19" s="252"/>
      <c r="E19" s="341">
        <v>0</v>
      </c>
      <c r="F19" s="285"/>
      <c r="G19" s="172">
        <v>4</v>
      </c>
      <c r="H19" s="247" t="s">
        <v>172</v>
      </c>
      <c r="I19" s="247"/>
      <c r="J19" s="247"/>
      <c r="K19" s="257">
        <v>0</v>
      </c>
      <c r="L19" s="257"/>
      <c r="M19" s="160">
        <v>16</v>
      </c>
      <c r="N19" s="145"/>
      <c r="O19" s="154"/>
      <c r="P19" s="155"/>
      <c r="Q19" s="155"/>
      <c r="R19" s="155"/>
      <c r="S19" s="155"/>
      <c r="T19" s="156"/>
      <c r="U19" s="164"/>
      <c r="V19" s="165"/>
      <c r="W19" s="166"/>
      <c r="X19" s="173"/>
      <c r="Y19" s="128"/>
      <c r="Z19" s="133"/>
      <c r="AA19" s="133"/>
      <c r="AR19" s="138">
        <v>6</v>
      </c>
      <c r="AS19" s="142" t="s">
        <v>146</v>
      </c>
    </row>
    <row r="20" spans="2:81" ht="17.149999999999999" customHeight="1" x14ac:dyDescent="0.3">
      <c r="B20" s="171"/>
      <c r="C20" s="252" t="s">
        <v>136</v>
      </c>
      <c r="D20" s="252"/>
      <c r="E20" s="285">
        <v>0</v>
      </c>
      <c r="F20" s="286"/>
      <c r="G20" s="140">
        <v>5</v>
      </c>
      <c r="H20" s="174"/>
      <c r="I20" s="175"/>
      <c r="J20" s="175"/>
      <c r="K20" s="175"/>
      <c r="L20" s="175"/>
      <c r="M20" s="176"/>
      <c r="N20" s="177"/>
      <c r="O20" s="178" t="s">
        <v>14</v>
      </c>
      <c r="P20" s="179"/>
      <c r="Q20" s="179"/>
      <c r="R20" s="179"/>
      <c r="S20" s="179"/>
      <c r="T20" s="180"/>
      <c r="U20" s="149"/>
      <c r="V20" s="150"/>
      <c r="W20" s="151"/>
      <c r="X20" s="181" t="s">
        <v>15</v>
      </c>
      <c r="Y20" s="133"/>
      <c r="Z20" s="120"/>
      <c r="AA20" s="175"/>
      <c r="AB20" s="175"/>
      <c r="AC20" s="175"/>
    </row>
    <row r="21" spans="2:81" ht="17.149999999999999" customHeight="1" x14ac:dyDescent="0.3">
      <c r="B21" s="171"/>
      <c r="C21" s="252" t="s">
        <v>137</v>
      </c>
      <c r="D21" s="252"/>
      <c r="E21" s="341">
        <v>0</v>
      </c>
      <c r="F21" s="285"/>
      <c r="G21" s="140">
        <v>6</v>
      </c>
      <c r="H21" s="175"/>
      <c r="I21" s="175"/>
      <c r="J21" s="175"/>
      <c r="K21" s="175"/>
      <c r="L21" s="175"/>
      <c r="M21" s="176"/>
      <c r="N21" s="177"/>
      <c r="O21" s="178"/>
      <c r="P21" s="179"/>
      <c r="Q21" s="179"/>
      <c r="R21" s="179"/>
      <c r="S21" s="179"/>
      <c r="T21" s="180"/>
      <c r="U21" s="149"/>
      <c r="V21" s="150"/>
      <c r="W21" s="151"/>
      <c r="X21" s="181"/>
      <c r="Y21" s="133"/>
      <c r="Z21" s="120"/>
      <c r="AA21" s="175"/>
      <c r="AB21" s="175"/>
      <c r="AC21" s="175"/>
      <c r="AR21" s="138">
        <v>7</v>
      </c>
      <c r="AS21" s="142" t="s">
        <v>150</v>
      </c>
    </row>
    <row r="22" spans="2:81" ht="17.149999999999999" customHeight="1" x14ac:dyDescent="0.3">
      <c r="B22" s="171"/>
      <c r="C22" s="252" t="s">
        <v>145</v>
      </c>
      <c r="D22" s="252"/>
      <c r="E22" s="291">
        <v>0</v>
      </c>
      <c r="F22" s="292"/>
      <c r="G22" s="172">
        <v>7</v>
      </c>
      <c r="H22" s="182"/>
      <c r="I22" s="182"/>
      <c r="J22" s="182"/>
      <c r="K22" s="183"/>
      <c r="L22" s="183"/>
      <c r="M22" s="176"/>
      <c r="N22" s="177"/>
      <c r="O22" s="178"/>
      <c r="P22" s="179"/>
      <c r="Q22" s="179"/>
      <c r="R22" s="179"/>
      <c r="S22" s="179"/>
      <c r="T22" s="180"/>
      <c r="U22" s="149"/>
      <c r="V22" s="150"/>
      <c r="W22" s="151"/>
      <c r="X22" s="181"/>
      <c r="Y22" s="133"/>
      <c r="Z22" s="120"/>
      <c r="AA22" s="175"/>
      <c r="AB22" s="175"/>
      <c r="AC22" s="175"/>
    </row>
    <row r="23" spans="2:81" ht="17.149999999999999" customHeight="1" x14ac:dyDescent="0.3">
      <c r="B23" s="171"/>
      <c r="C23" s="252" t="s">
        <v>148</v>
      </c>
      <c r="D23" s="252"/>
      <c r="E23" s="292">
        <v>0</v>
      </c>
      <c r="F23" s="257"/>
      <c r="G23" s="140">
        <v>8</v>
      </c>
      <c r="H23" s="280"/>
      <c r="I23" s="280"/>
      <c r="J23" s="280"/>
      <c r="K23" s="327"/>
      <c r="L23" s="327"/>
      <c r="M23" s="176"/>
      <c r="N23" s="177"/>
      <c r="O23" s="178"/>
      <c r="P23" s="179"/>
      <c r="Q23" s="179"/>
      <c r="R23" s="179"/>
      <c r="S23" s="179"/>
      <c r="T23" s="180"/>
      <c r="U23" s="149"/>
      <c r="V23" s="150"/>
      <c r="W23" s="151"/>
      <c r="X23" s="181"/>
      <c r="Y23" s="133"/>
      <c r="Z23" s="120"/>
      <c r="AA23" s="175"/>
      <c r="AB23" s="175"/>
      <c r="AC23" s="175"/>
      <c r="AR23" s="138">
        <v>8</v>
      </c>
      <c r="AS23" s="273" t="s">
        <v>149</v>
      </c>
      <c r="AT23" s="273"/>
      <c r="AU23" s="273"/>
      <c r="AV23" s="273"/>
      <c r="AW23" s="273"/>
      <c r="AX23" s="273"/>
      <c r="AY23" s="273"/>
      <c r="AZ23" s="273"/>
      <c r="BA23" s="273"/>
      <c r="BB23" s="273"/>
      <c r="BC23" s="273"/>
      <c r="BD23" s="273"/>
    </row>
    <row r="24" spans="2:81" ht="17.149999999999999" customHeight="1" x14ac:dyDescent="0.3">
      <c r="B24" s="171"/>
      <c r="C24" s="250" t="s">
        <v>151</v>
      </c>
      <c r="D24" s="251"/>
      <c r="E24" s="344">
        <v>0</v>
      </c>
      <c r="F24" s="292"/>
      <c r="G24" s="140">
        <v>9</v>
      </c>
      <c r="H24" s="182"/>
      <c r="I24" s="182"/>
      <c r="J24" s="182"/>
      <c r="K24" s="183"/>
      <c r="L24" s="183"/>
      <c r="M24" s="176"/>
      <c r="N24" s="177"/>
      <c r="O24" s="178"/>
      <c r="P24" s="179"/>
      <c r="Q24" s="179"/>
      <c r="R24" s="179"/>
      <c r="S24" s="179"/>
      <c r="T24" s="180"/>
      <c r="U24" s="149"/>
      <c r="V24" s="150"/>
      <c r="W24" s="151"/>
      <c r="X24" s="181"/>
      <c r="Y24" s="133"/>
      <c r="Z24" s="120"/>
      <c r="AA24" s="175"/>
      <c r="AB24" s="175"/>
      <c r="AC24" s="175"/>
      <c r="AR24" s="138"/>
      <c r="AS24" s="139"/>
      <c r="AT24" s="139"/>
      <c r="AU24" s="139"/>
      <c r="AV24" s="139"/>
      <c r="AW24" s="139"/>
      <c r="AX24" s="139"/>
      <c r="AY24" s="139"/>
      <c r="AZ24" s="139"/>
      <c r="BA24" s="139"/>
      <c r="BB24" s="139"/>
      <c r="BC24" s="139"/>
      <c r="BD24" s="139"/>
    </row>
    <row r="25" spans="2:81" ht="17.149999999999999" customHeight="1" x14ac:dyDescent="0.3">
      <c r="B25" s="171"/>
      <c r="C25" s="252" t="s">
        <v>153</v>
      </c>
      <c r="D25" s="252"/>
      <c r="E25" s="257">
        <v>0</v>
      </c>
      <c r="F25" s="257"/>
      <c r="G25" s="140">
        <v>10</v>
      </c>
      <c r="H25" s="182"/>
      <c r="I25" s="182"/>
      <c r="J25" s="182"/>
      <c r="K25" s="183"/>
      <c r="L25" s="183"/>
      <c r="M25" s="176"/>
      <c r="N25" s="177"/>
      <c r="O25" s="178"/>
      <c r="P25" s="179"/>
      <c r="Q25" s="179"/>
      <c r="R25" s="179"/>
      <c r="S25" s="179"/>
      <c r="T25" s="180"/>
      <c r="U25" s="149"/>
      <c r="V25" s="150"/>
      <c r="W25" s="151"/>
      <c r="X25" s="181"/>
      <c r="Y25" s="133"/>
      <c r="Z25" s="120"/>
      <c r="AA25" s="175"/>
      <c r="AB25" s="175"/>
      <c r="AC25" s="175"/>
      <c r="AR25" s="138">
        <v>9</v>
      </c>
      <c r="AS25" s="139" t="s">
        <v>155</v>
      </c>
      <c r="AT25" s="139"/>
      <c r="AU25" s="139"/>
      <c r="AV25" s="139"/>
      <c r="AW25" s="139"/>
      <c r="AX25" s="139"/>
      <c r="AY25" s="139"/>
      <c r="AZ25" s="139"/>
      <c r="BA25" s="139"/>
      <c r="BB25" s="139"/>
      <c r="BC25" s="139"/>
      <c r="BD25" s="139"/>
    </row>
    <row r="26" spans="2:81" ht="17.149999999999999" customHeight="1" x14ac:dyDescent="0.3">
      <c r="B26" s="171"/>
      <c r="C26" s="250" t="s">
        <v>159</v>
      </c>
      <c r="D26" s="251"/>
      <c r="E26" s="344">
        <v>0</v>
      </c>
      <c r="F26" s="292"/>
      <c r="G26" s="140">
        <v>11</v>
      </c>
      <c r="H26" s="182"/>
      <c r="I26" s="182"/>
      <c r="J26" s="182"/>
      <c r="K26" s="183"/>
      <c r="L26" s="183"/>
      <c r="M26" s="176"/>
      <c r="N26" s="177"/>
      <c r="O26" s="178"/>
      <c r="P26" s="179"/>
      <c r="Q26" s="179"/>
      <c r="R26" s="179"/>
      <c r="S26" s="179"/>
      <c r="T26" s="180"/>
      <c r="U26" s="149"/>
      <c r="V26" s="150"/>
      <c r="W26" s="151"/>
      <c r="X26" s="181"/>
      <c r="Y26" s="133"/>
      <c r="Z26" s="120"/>
      <c r="AA26" s="175"/>
      <c r="AB26" s="175"/>
      <c r="AC26" s="175"/>
      <c r="AR26" s="138"/>
      <c r="AS26" s="139"/>
      <c r="AT26" s="139"/>
      <c r="AU26" s="139"/>
      <c r="AV26" s="139"/>
      <c r="AW26" s="139"/>
      <c r="AX26" s="139"/>
      <c r="AY26" s="139"/>
      <c r="AZ26" s="139"/>
      <c r="BA26" s="139"/>
      <c r="BB26" s="139"/>
      <c r="BC26" s="139"/>
      <c r="BD26" s="139"/>
    </row>
    <row r="27" spans="2:81" ht="17.149999999999999" customHeight="1" x14ac:dyDescent="0.3">
      <c r="B27" s="171"/>
      <c r="C27" s="250" t="s">
        <v>162</v>
      </c>
      <c r="D27" s="251"/>
      <c r="E27" s="344">
        <v>0</v>
      </c>
      <c r="F27" s="292"/>
      <c r="G27" s="140">
        <v>12</v>
      </c>
      <c r="H27" s="182"/>
      <c r="I27" s="182"/>
      <c r="J27" s="182"/>
      <c r="K27" s="183"/>
      <c r="L27" s="183"/>
      <c r="M27" s="176"/>
      <c r="N27" s="177"/>
      <c r="O27" s="178"/>
      <c r="P27" s="179"/>
      <c r="Q27" s="179"/>
      <c r="R27" s="179"/>
      <c r="S27" s="179"/>
      <c r="T27" s="180"/>
      <c r="U27" s="149"/>
      <c r="V27" s="150"/>
      <c r="W27" s="151"/>
      <c r="X27" s="181"/>
      <c r="Y27" s="133"/>
      <c r="Z27" s="120"/>
      <c r="AA27" s="175"/>
      <c r="AB27" s="175"/>
      <c r="AC27" s="175"/>
      <c r="AR27" s="138">
        <v>10</v>
      </c>
      <c r="AS27" s="139" t="s">
        <v>157</v>
      </c>
      <c r="AT27" s="139"/>
      <c r="AU27" s="139"/>
      <c r="AV27" s="139"/>
      <c r="AW27" s="139"/>
      <c r="AX27" s="139"/>
      <c r="AY27" s="139"/>
      <c r="AZ27" s="139"/>
      <c r="BA27" s="139"/>
      <c r="BB27" s="139"/>
      <c r="BC27" s="139"/>
      <c r="BD27" s="139"/>
    </row>
    <row r="28" spans="2:81" ht="17.149999999999999" customHeight="1" x14ac:dyDescent="0.3">
      <c r="B28" s="171"/>
      <c r="C28" s="252" t="s">
        <v>163</v>
      </c>
      <c r="D28" s="252"/>
      <c r="E28" s="257">
        <v>0</v>
      </c>
      <c r="F28" s="257"/>
      <c r="G28" s="140">
        <v>13</v>
      </c>
      <c r="H28" s="182"/>
      <c r="I28" s="182"/>
      <c r="J28" s="182"/>
      <c r="K28" s="183"/>
      <c r="L28" s="183"/>
      <c r="M28" s="176"/>
      <c r="N28" s="177"/>
      <c r="O28" s="178"/>
      <c r="P28" s="179"/>
      <c r="Q28" s="179"/>
      <c r="R28" s="179"/>
      <c r="S28" s="179"/>
      <c r="T28" s="180"/>
      <c r="U28" s="149"/>
      <c r="V28" s="150"/>
      <c r="W28" s="151"/>
      <c r="X28" s="181"/>
      <c r="Y28" s="133"/>
      <c r="Z28" s="120"/>
      <c r="AA28" s="175"/>
      <c r="AB28" s="175"/>
      <c r="AC28" s="175"/>
      <c r="AR28" s="138"/>
      <c r="AS28" s="142"/>
      <c r="AT28" s="142"/>
      <c r="AU28" s="142"/>
      <c r="AV28" s="142"/>
      <c r="AW28" s="142"/>
      <c r="AX28" s="142"/>
      <c r="AY28" s="139"/>
      <c r="AZ28" s="139"/>
      <c r="BA28" s="139"/>
      <c r="BB28" s="139"/>
      <c r="BC28" s="139"/>
      <c r="BD28" s="139"/>
    </row>
    <row r="29" spans="2:81" ht="17.149999999999999" customHeight="1" x14ac:dyDescent="0.3">
      <c r="B29" s="125"/>
      <c r="C29" s="253"/>
      <c r="D29" s="253"/>
      <c r="E29" s="315"/>
      <c r="F29" s="316"/>
      <c r="G29" s="184"/>
      <c r="H29" s="276"/>
      <c r="I29" s="276"/>
      <c r="J29" s="276"/>
      <c r="K29" s="288"/>
      <c r="L29" s="253"/>
      <c r="M29" s="144"/>
      <c r="N29" s="145"/>
      <c r="O29" s="154" t="s">
        <v>5</v>
      </c>
      <c r="P29" s="155"/>
      <c r="Q29" s="155"/>
      <c r="R29" s="155"/>
      <c r="S29" s="155"/>
      <c r="T29" s="156"/>
      <c r="U29" s="185">
        <f>'NHS FS Non Club Factors'!F113</f>
        <v>18.66</v>
      </c>
      <c r="V29" s="186" t="e">
        <f>'NHS CARE Non Club Factors'!I59</f>
        <v>#NUM!</v>
      </c>
      <c r="W29" s="187">
        <f>'NHS FS Non Club Factors'!F124</f>
        <v>18.66</v>
      </c>
      <c r="X29" s="188" t="e">
        <f>'NHS CARE Non Club Factors'!J59</f>
        <v>#NUM!</v>
      </c>
      <c r="Y29" s="133"/>
      <c r="Z29" s="120"/>
      <c r="AA29" s="175"/>
      <c r="AB29" s="175"/>
      <c r="AC29" s="175"/>
      <c r="AR29" s="138">
        <v>11</v>
      </c>
      <c r="AS29" s="142" t="s">
        <v>160</v>
      </c>
      <c r="AT29" s="142"/>
      <c r="AU29" s="142"/>
      <c r="AV29" s="142"/>
      <c r="AW29" s="142"/>
      <c r="AX29" s="142"/>
      <c r="AY29" s="142"/>
      <c r="AZ29" s="142"/>
      <c r="BA29" s="142"/>
      <c r="BB29" s="142"/>
      <c r="BC29" s="142"/>
    </row>
    <row r="30" spans="2:81" ht="17.149999999999999" customHeight="1" x14ac:dyDescent="0.3">
      <c r="B30" s="125"/>
      <c r="C30" s="284" t="s">
        <v>84</v>
      </c>
      <c r="D30" s="284"/>
      <c r="E30" s="284"/>
      <c r="F30" s="142"/>
      <c r="G30" s="189"/>
      <c r="H30" s="287"/>
      <c r="I30" s="287"/>
      <c r="J30" s="287"/>
      <c r="K30" s="175"/>
      <c r="L30" s="175"/>
      <c r="M30" s="136"/>
      <c r="O30" s="154" t="s">
        <v>6</v>
      </c>
      <c r="P30" s="155"/>
      <c r="Q30" s="155"/>
      <c r="R30" s="155"/>
      <c r="S30" s="155"/>
      <c r="T30" s="156"/>
      <c r="U30" s="185">
        <f>'NHS FS Non Club Factors'!F114</f>
        <v>0.99</v>
      </c>
      <c r="V30" s="186"/>
      <c r="W30" s="187">
        <f>'NHS FS Non Club Factors'!F125</f>
        <v>0.99</v>
      </c>
      <c r="X30" s="188"/>
      <c r="Y30" s="133"/>
      <c r="Z30" s="120"/>
      <c r="AA30" s="175"/>
      <c r="AB30" s="175"/>
      <c r="AC30" s="175"/>
      <c r="AR30" s="138"/>
      <c r="AS30" s="142"/>
      <c r="AT30" s="142"/>
      <c r="AU30" s="142"/>
      <c r="AV30" s="142"/>
      <c r="AW30" s="142"/>
      <c r="AX30" s="142"/>
    </row>
    <row r="31" spans="2:81" ht="17.149999999999999" customHeight="1" x14ac:dyDescent="0.3">
      <c r="B31" s="125"/>
      <c r="C31" s="190" t="s">
        <v>50</v>
      </c>
      <c r="D31" s="190"/>
      <c r="E31" s="274">
        <f>U16</f>
        <v>0</v>
      </c>
      <c r="F31" s="275"/>
      <c r="G31" s="142"/>
      <c r="H31" s="247" t="s">
        <v>50</v>
      </c>
      <c r="I31" s="247"/>
      <c r="J31" s="247"/>
      <c r="K31" s="248">
        <f>W16</f>
        <v>0</v>
      </c>
      <c r="L31" s="248"/>
      <c r="M31" s="191"/>
      <c r="N31" s="192"/>
      <c r="O31" s="154" t="s">
        <v>9</v>
      </c>
      <c r="P31" s="155"/>
      <c r="Q31" s="155"/>
      <c r="R31" s="155"/>
      <c r="S31" s="155"/>
      <c r="T31" s="156"/>
      <c r="U31" s="185">
        <f>'NHS FS Non Club Factors'!F115</f>
        <v>1.77</v>
      </c>
      <c r="V31" s="186" t="e">
        <f>'NHS CARE Non Club Factors'!I60</f>
        <v>#NUM!</v>
      </c>
      <c r="W31" s="187">
        <f>'NHS FS Non Club Factors'!F126</f>
        <v>1.77</v>
      </c>
      <c r="X31" s="188" t="e">
        <f>'NHS CARE Non Club Factors'!J60</f>
        <v>#NUM!</v>
      </c>
      <c r="Y31" s="133"/>
      <c r="Z31" s="120"/>
      <c r="AA31" s="175"/>
      <c r="AB31" s="175"/>
      <c r="AC31" s="175"/>
      <c r="AR31" s="138">
        <v>12</v>
      </c>
      <c r="AS31" s="273" t="s">
        <v>167</v>
      </c>
      <c r="AT31" s="273"/>
      <c r="AU31" s="273"/>
      <c r="AV31" s="273"/>
      <c r="AW31" s="273"/>
      <c r="AX31" s="273"/>
      <c r="AY31" s="273"/>
      <c r="AZ31" s="273"/>
      <c r="BA31" s="273"/>
      <c r="BB31" s="273"/>
      <c r="BC31" s="273"/>
      <c r="BD31" s="273"/>
      <c r="BE31" s="273"/>
      <c r="BF31" s="273"/>
      <c r="BG31" s="273"/>
      <c r="BH31" s="273"/>
      <c r="BI31" s="273"/>
      <c r="BJ31" s="273"/>
      <c r="BK31" s="273"/>
      <c r="BL31" s="273"/>
      <c r="BM31" s="273"/>
      <c r="BN31" s="273"/>
      <c r="BO31" s="273"/>
      <c r="BP31" s="273"/>
      <c r="BQ31" s="273"/>
      <c r="BR31" s="273"/>
      <c r="BS31" s="273"/>
      <c r="BT31" s="273"/>
      <c r="BU31" s="273"/>
      <c r="BV31" s="273"/>
      <c r="BW31" s="273"/>
      <c r="BX31" s="273"/>
      <c r="BY31" s="273"/>
      <c r="BZ31" s="273"/>
      <c r="CA31" s="273"/>
      <c r="CB31" s="273"/>
      <c r="CC31" s="273"/>
    </row>
    <row r="32" spans="2:81" ht="17.149999999999999" customHeight="1" x14ac:dyDescent="0.3">
      <c r="B32" s="125"/>
      <c r="C32" s="250" t="s">
        <v>51</v>
      </c>
      <c r="D32" s="251"/>
      <c r="E32" s="274">
        <f>V16</f>
        <v>0</v>
      </c>
      <c r="F32" s="275"/>
      <c r="G32" s="142"/>
      <c r="H32" s="241" t="s">
        <v>51</v>
      </c>
      <c r="I32" s="241"/>
      <c r="J32" s="241"/>
      <c r="K32" s="248">
        <f>X16</f>
        <v>0</v>
      </c>
      <c r="L32" s="248"/>
      <c r="M32" s="191"/>
      <c r="N32" s="192"/>
      <c r="O32" s="154" t="s">
        <v>31</v>
      </c>
      <c r="P32" s="155"/>
      <c r="Q32" s="155"/>
      <c r="R32" s="155"/>
      <c r="S32" s="155"/>
      <c r="T32" s="156"/>
      <c r="U32" s="193"/>
      <c r="V32" s="150">
        <v>1</v>
      </c>
      <c r="W32" s="194"/>
      <c r="X32" s="152">
        <v>1</v>
      </c>
      <c r="Y32" s="133"/>
      <c r="Z32" s="120"/>
      <c r="AA32" s="175"/>
      <c r="AB32" s="175"/>
      <c r="AC32" s="175"/>
      <c r="AR32" s="138"/>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c r="BS32" s="273"/>
      <c r="BT32" s="273"/>
      <c r="BU32" s="273"/>
      <c r="BV32" s="273"/>
      <c r="BW32" s="273"/>
      <c r="BX32" s="273"/>
      <c r="BY32" s="273"/>
      <c r="BZ32" s="273"/>
      <c r="CA32" s="273"/>
      <c r="CB32" s="273"/>
      <c r="CC32" s="273"/>
    </row>
    <row r="33" spans="2:45" ht="17.149999999999999" customHeight="1" x14ac:dyDescent="0.3">
      <c r="B33" s="125"/>
      <c r="C33" s="252" t="s">
        <v>53</v>
      </c>
      <c r="D33" s="252"/>
      <c r="E33" s="343">
        <f>SUM(E31:F32)</f>
        <v>0</v>
      </c>
      <c r="F33" s="343"/>
      <c r="H33" s="241" t="s">
        <v>53</v>
      </c>
      <c r="I33" s="241"/>
      <c r="J33" s="241"/>
      <c r="K33" s="248">
        <f>SUM(K31:L32)</f>
        <v>0</v>
      </c>
      <c r="L33" s="248"/>
      <c r="M33" s="191"/>
      <c r="N33" s="192"/>
      <c r="O33" s="237"/>
      <c r="P33" s="237"/>
      <c r="Q33" s="237"/>
      <c r="R33" s="237"/>
      <c r="S33" s="237"/>
      <c r="T33" s="132"/>
      <c r="U33" s="195"/>
      <c r="V33" s="196"/>
      <c r="W33" s="197"/>
      <c r="X33" s="181"/>
      <c r="Y33" s="133"/>
      <c r="Z33" s="120"/>
      <c r="AA33" s="175"/>
      <c r="AB33" s="175"/>
      <c r="AC33" s="175"/>
      <c r="AR33" s="138">
        <v>13</v>
      </c>
      <c r="AS33" s="142" t="s">
        <v>177</v>
      </c>
    </row>
    <row r="34" spans="2:45" ht="17.149999999999999" customHeight="1" x14ac:dyDescent="0.3">
      <c r="B34" s="125"/>
      <c r="C34" s="242" t="s">
        <v>52</v>
      </c>
      <c r="D34" s="242"/>
      <c r="E34" s="343">
        <f>U47</f>
        <v>0</v>
      </c>
      <c r="F34" s="343"/>
      <c r="G34" s="198"/>
      <c r="H34" s="290" t="s">
        <v>52</v>
      </c>
      <c r="I34" s="290"/>
      <c r="J34" s="290"/>
      <c r="K34" s="248">
        <f>W47</f>
        <v>0</v>
      </c>
      <c r="L34" s="248"/>
      <c r="M34" s="199"/>
      <c r="N34" s="133"/>
      <c r="O34" s="237"/>
      <c r="P34" s="237"/>
      <c r="Q34" s="237"/>
      <c r="R34" s="237"/>
      <c r="S34" s="237"/>
      <c r="T34" s="132"/>
      <c r="U34" s="195"/>
      <c r="V34" s="196"/>
      <c r="W34" s="197"/>
      <c r="X34" s="181"/>
      <c r="Y34" s="133"/>
      <c r="Z34" s="120"/>
      <c r="AA34" s="175"/>
      <c r="AB34" s="175"/>
      <c r="AC34" s="175"/>
      <c r="AR34" s="138"/>
      <c r="AS34" s="142"/>
    </row>
    <row r="35" spans="2:45" ht="17.149999999999999" customHeight="1" x14ac:dyDescent="0.3">
      <c r="B35" s="125"/>
      <c r="D35" s="342"/>
      <c r="E35" s="342"/>
      <c r="F35" s="200"/>
      <c r="M35" s="136"/>
      <c r="P35" s="119"/>
      <c r="Q35" s="119"/>
      <c r="R35" s="119"/>
      <c r="S35" s="119"/>
      <c r="T35" s="132"/>
      <c r="U35" s="164">
        <f>(U16)*U29</f>
        <v>0</v>
      </c>
      <c r="V35" s="165" t="e">
        <f t="shared" ref="V35:X37" si="1">V16*V29</f>
        <v>#NUM!</v>
      </c>
      <c r="W35" s="166">
        <f t="shared" si="1"/>
        <v>0</v>
      </c>
      <c r="X35" s="167" t="e">
        <f t="shared" si="1"/>
        <v>#NUM!</v>
      </c>
      <c r="Y35" s="133"/>
      <c r="Z35" s="120"/>
      <c r="AA35" s="175"/>
      <c r="AB35" s="175"/>
      <c r="AC35" s="175"/>
      <c r="AR35" s="138">
        <v>14</v>
      </c>
      <c r="AS35" s="142" t="s">
        <v>175</v>
      </c>
    </row>
    <row r="36" spans="2:45" ht="17.149999999999999" customHeight="1" x14ac:dyDescent="0.3">
      <c r="B36" s="125"/>
      <c r="C36" s="252" t="s">
        <v>54</v>
      </c>
      <c r="D36" s="252"/>
      <c r="E36" s="343">
        <f>U39</f>
        <v>0</v>
      </c>
      <c r="F36" s="343"/>
      <c r="H36" s="247" t="s">
        <v>54</v>
      </c>
      <c r="I36" s="247"/>
      <c r="J36" s="247"/>
      <c r="K36" s="278">
        <f>W39</f>
        <v>0</v>
      </c>
      <c r="L36" s="279"/>
      <c r="M36" s="191"/>
      <c r="N36" s="192"/>
      <c r="P36" s="119"/>
      <c r="Q36" s="119"/>
      <c r="R36" s="119"/>
      <c r="S36" s="119"/>
      <c r="T36" s="132"/>
      <c r="U36" s="164">
        <f>(U17)*U30</f>
        <v>0</v>
      </c>
      <c r="V36" s="165">
        <f t="shared" si="1"/>
        <v>0</v>
      </c>
      <c r="W36" s="166">
        <f t="shared" si="1"/>
        <v>0</v>
      </c>
      <c r="X36" s="167">
        <f t="shared" si="1"/>
        <v>0</v>
      </c>
      <c r="Y36" s="133"/>
      <c r="Z36" s="120"/>
      <c r="AA36" s="175"/>
      <c r="AB36" s="175"/>
      <c r="AC36" s="175"/>
      <c r="AR36" s="138"/>
      <c r="AS36" s="142"/>
    </row>
    <row r="37" spans="2:45" ht="17.149999999999999" customHeight="1" x14ac:dyDescent="0.3">
      <c r="B37" s="125"/>
      <c r="C37" s="252" t="s">
        <v>55</v>
      </c>
      <c r="D37" s="252"/>
      <c r="E37" s="343" t="e">
        <f>V39</f>
        <v>#NUM!</v>
      </c>
      <c r="F37" s="343"/>
      <c r="H37" s="247" t="s">
        <v>55</v>
      </c>
      <c r="I37" s="247"/>
      <c r="J37" s="247"/>
      <c r="K37" s="278" t="e">
        <f>X39</f>
        <v>#NUM!</v>
      </c>
      <c r="L37" s="279"/>
      <c r="M37" s="191"/>
      <c r="N37" s="192"/>
      <c r="P37" s="119"/>
      <c r="Q37" s="119"/>
      <c r="R37" s="119"/>
      <c r="S37" s="119"/>
      <c r="U37" s="164">
        <f>U18*U31</f>
        <v>0</v>
      </c>
      <c r="V37" s="165" t="e">
        <f t="shared" si="1"/>
        <v>#NUM!</v>
      </c>
      <c r="W37" s="166">
        <f t="shared" si="1"/>
        <v>0</v>
      </c>
      <c r="X37" s="167" t="e">
        <f t="shared" si="1"/>
        <v>#NUM!</v>
      </c>
      <c r="Y37" s="133"/>
      <c r="Z37" s="133"/>
      <c r="AR37" s="229">
        <v>15</v>
      </c>
      <c r="AS37" s="142" t="s">
        <v>176</v>
      </c>
    </row>
    <row r="38" spans="2:45" ht="17.149999999999999" customHeight="1" x14ac:dyDescent="0.3">
      <c r="B38" s="125"/>
      <c r="C38" s="252" t="s">
        <v>56</v>
      </c>
      <c r="D38" s="252"/>
      <c r="E38" s="358" t="e">
        <f>SUM(E36:F37)</f>
        <v>#NUM!</v>
      </c>
      <c r="F38" s="358"/>
      <c r="H38" s="247" t="s">
        <v>56</v>
      </c>
      <c r="I38" s="247"/>
      <c r="J38" s="247"/>
      <c r="K38" s="278" t="e">
        <f>SUM(K36:L37)</f>
        <v>#NUM!</v>
      </c>
      <c r="L38" s="279"/>
      <c r="M38" s="191"/>
      <c r="N38" s="192"/>
      <c r="P38" s="119"/>
      <c r="Q38" s="119"/>
      <c r="R38" s="119"/>
      <c r="S38" s="119"/>
      <c r="U38" s="195"/>
      <c r="V38" s="165" t="e">
        <f>SUM(V35:V37)</f>
        <v>#NUM!</v>
      </c>
      <c r="W38" s="197"/>
      <c r="X38" s="167" t="e">
        <f>SUM(X35:X37)</f>
        <v>#NUM!</v>
      </c>
      <c r="Y38" s="133"/>
      <c r="Z38" s="133"/>
      <c r="AR38" s="138"/>
      <c r="AS38" s="142"/>
    </row>
    <row r="39" spans="2:45" ht="17.149999999999999" customHeight="1" x14ac:dyDescent="0.3">
      <c r="B39" s="125"/>
      <c r="H39" s="201"/>
      <c r="I39" s="201"/>
      <c r="M39" s="136"/>
      <c r="P39" s="119"/>
      <c r="Q39" s="119"/>
      <c r="R39" s="119"/>
      <c r="S39" s="119"/>
      <c r="U39" s="164">
        <f>SUM(U35:U37)</f>
        <v>0</v>
      </c>
      <c r="V39" s="202" t="e">
        <f>V38*V32</f>
        <v>#NUM!</v>
      </c>
      <c r="W39" s="166">
        <f>SUM(W35:W37)</f>
        <v>0</v>
      </c>
      <c r="X39" s="203" t="e">
        <f>X38*X32</f>
        <v>#NUM!</v>
      </c>
      <c r="Y39" s="133"/>
      <c r="Z39" s="223" t="s">
        <v>130</v>
      </c>
      <c r="AA39" s="223" t="s">
        <v>131</v>
      </c>
      <c r="AR39" s="229">
        <v>16</v>
      </c>
      <c r="AS39" s="142" t="s">
        <v>178</v>
      </c>
    </row>
    <row r="40" spans="2:45" ht="17.149999999999999" customHeight="1" x14ac:dyDescent="0.25">
      <c r="B40" s="125"/>
      <c r="D40" s="359" t="s">
        <v>161</v>
      </c>
      <c r="E40" s="359"/>
      <c r="F40" s="359"/>
      <c r="G40" s="359"/>
      <c r="H40" s="359"/>
      <c r="M40" s="136"/>
      <c r="P40" s="119"/>
      <c r="Q40" s="119"/>
      <c r="R40" s="119"/>
      <c r="S40" s="119"/>
      <c r="T40" s="132"/>
      <c r="U40" s="195"/>
      <c r="V40" s="204"/>
      <c r="W40" s="197"/>
      <c r="X40" s="181"/>
      <c r="Y40" s="133"/>
      <c r="Z40" s="223" t="s">
        <v>77</v>
      </c>
      <c r="AA40" s="224">
        <f>(E18/54)*1.014</f>
        <v>0</v>
      </c>
    </row>
    <row r="41" spans="2:45" ht="17.149999999999999" customHeight="1" thickBot="1" x14ac:dyDescent="0.3">
      <c r="B41" s="125"/>
      <c r="D41" s="359"/>
      <c r="E41" s="359"/>
      <c r="F41" s="359"/>
      <c r="G41" s="359"/>
      <c r="H41" s="359"/>
      <c r="M41" s="136"/>
      <c r="P41" s="119"/>
      <c r="Q41" s="119"/>
      <c r="R41" s="119"/>
      <c r="S41" s="119"/>
      <c r="T41" s="205"/>
      <c r="U41" s="233" t="e">
        <f>U39+V39</f>
        <v>#NUM!</v>
      </c>
      <c r="V41" s="261"/>
      <c r="W41" s="235" t="e">
        <f>W39+X39</f>
        <v>#NUM!</v>
      </c>
      <c r="X41" s="236"/>
      <c r="Y41" s="133"/>
      <c r="Z41" s="223" t="s">
        <v>78</v>
      </c>
      <c r="AA41" s="224">
        <f>((E19/54)+AA40)*1.025</f>
        <v>0</v>
      </c>
    </row>
    <row r="42" spans="2:45" ht="17.149999999999999" customHeight="1" x14ac:dyDescent="0.25">
      <c r="B42" s="125"/>
      <c r="D42" s="356" t="s">
        <v>57</v>
      </c>
      <c r="E42" s="357"/>
      <c r="F42" s="357"/>
      <c r="G42" s="357"/>
      <c r="H42" s="304">
        <f>(W16+X16)-AA16</f>
        <v>0</v>
      </c>
      <c r="I42" s="304"/>
      <c r="J42" s="305"/>
      <c r="M42" s="136"/>
      <c r="P42" s="119"/>
      <c r="Q42" s="119"/>
      <c r="R42" s="119"/>
      <c r="S42" s="119"/>
      <c r="T42" s="132"/>
      <c r="U42" s="233" t="e">
        <f>U41*K6</f>
        <v>#NUM!</v>
      </c>
      <c r="V42" s="261"/>
      <c r="W42" s="360"/>
      <c r="X42" s="351"/>
      <c r="Y42" s="133"/>
      <c r="Z42" s="223" t="s">
        <v>128</v>
      </c>
      <c r="AA42" s="224">
        <f>((E20/54)+AA41)*1.045</f>
        <v>0</v>
      </c>
    </row>
    <row r="43" spans="2:45" ht="17.149999999999999" customHeight="1" x14ac:dyDescent="0.25">
      <c r="B43" s="125"/>
      <c r="D43" s="271" t="s">
        <v>58</v>
      </c>
      <c r="E43" s="272"/>
      <c r="F43" s="272"/>
      <c r="G43" s="272"/>
      <c r="H43" s="306">
        <f>W17-AA17</f>
        <v>0</v>
      </c>
      <c r="I43" s="306"/>
      <c r="J43" s="307"/>
      <c r="M43" s="136"/>
      <c r="O43" s="154" t="s">
        <v>16</v>
      </c>
      <c r="P43" s="155"/>
      <c r="Q43" s="155"/>
      <c r="R43" s="155"/>
      <c r="S43" s="155"/>
      <c r="T43" s="156"/>
      <c r="U43" s="233" t="e">
        <f>U41+U42</f>
        <v>#NUM!</v>
      </c>
      <c r="V43" s="261"/>
      <c r="W43" s="360"/>
      <c r="X43" s="351"/>
      <c r="Y43" s="133"/>
      <c r="Z43" s="223" t="s">
        <v>129</v>
      </c>
      <c r="AA43" s="224">
        <f>((E21/54)+AA42)*1.039</f>
        <v>0</v>
      </c>
      <c r="AB43" s="143"/>
    </row>
    <row r="44" spans="2:45" ht="17.149999999999999" customHeight="1" x14ac:dyDescent="0.25">
      <c r="B44" s="125"/>
      <c r="D44" s="271" t="s">
        <v>59</v>
      </c>
      <c r="E44" s="272"/>
      <c r="F44" s="272"/>
      <c r="G44" s="272"/>
      <c r="H44" s="306">
        <f>K33</f>
        <v>0</v>
      </c>
      <c r="I44" s="306"/>
      <c r="J44" s="307"/>
      <c r="M44" s="136"/>
      <c r="O44" s="154"/>
      <c r="P44" s="155"/>
      <c r="Q44" s="155"/>
      <c r="R44" s="155"/>
      <c r="S44" s="155"/>
      <c r="T44" s="156"/>
      <c r="U44" s="149"/>
      <c r="V44" s="150"/>
      <c r="W44" s="151"/>
      <c r="X44" s="152"/>
      <c r="Y44" s="133"/>
      <c r="Z44" s="223" t="s">
        <v>144</v>
      </c>
      <c r="AA44" s="224">
        <f>((E22/54)+AA43)*1.032</f>
        <v>0</v>
      </c>
      <c r="AB44" s="143"/>
    </row>
    <row r="45" spans="2:45" ht="17.149999999999999" customHeight="1" x14ac:dyDescent="0.25">
      <c r="B45" s="125"/>
      <c r="D45" s="271" t="s">
        <v>60</v>
      </c>
      <c r="E45" s="272"/>
      <c r="F45" s="272"/>
      <c r="G45" s="272"/>
      <c r="H45" s="306">
        <f>W47</f>
        <v>0</v>
      </c>
      <c r="I45" s="306"/>
      <c r="J45" s="307"/>
      <c r="M45" s="136"/>
      <c r="O45" s="154" t="s">
        <v>49</v>
      </c>
      <c r="P45" s="155"/>
      <c r="Q45" s="155"/>
      <c r="R45" s="155"/>
      <c r="S45" s="155"/>
      <c r="T45" s="156"/>
      <c r="U45" s="233" t="e">
        <f>U43</f>
        <v>#NUM!</v>
      </c>
      <c r="V45" s="234"/>
      <c r="W45" s="235" t="e">
        <f>W41</f>
        <v>#NUM!</v>
      </c>
      <c r="X45" s="351"/>
      <c r="Y45" s="361"/>
      <c r="Z45" s="225" t="s">
        <v>147</v>
      </c>
      <c r="AA45" s="226">
        <f>((E23/54)+AA44)*1.02</f>
        <v>0</v>
      </c>
      <c r="AB45" s="216"/>
    </row>
    <row r="46" spans="2:45" ht="17.149999999999999" customHeight="1" x14ac:dyDescent="0.25">
      <c r="B46" s="125"/>
      <c r="D46" s="271" t="s">
        <v>61</v>
      </c>
      <c r="E46" s="272"/>
      <c r="F46" s="272"/>
      <c r="G46" s="272"/>
      <c r="H46" s="306" t="e">
        <f>U43</f>
        <v>#NUM!</v>
      </c>
      <c r="I46" s="306"/>
      <c r="J46" s="307"/>
      <c r="M46" s="136"/>
      <c r="O46" s="154" t="s">
        <v>5</v>
      </c>
      <c r="P46" s="155"/>
      <c r="Q46" s="155"/>
      <c r="R46" s="155"/>
      <c r="S46" s="155"/>
      <c r="T46" s="156"/>
      <c r="U46" s="233">
        <f>U16+V16</f>
        <v>0</v>
      </c>
      <c r="V46" s="234"/>
      <c r="W46" s="235">
        <f>W16+X16</f>
        <v>0</v>
      </c>
      <c r="X46" s="351"/>
      <c r="Y46" s="361"/>
      <c r="Z46" s="227" t="s">
        <v>152</v>
      </c>
      <c r="AA46" s="228">
        <f>((E24/54)+AA45)*1.046</f>
        <v>0</v>
      </c>
      <c r="AB46" s="230"/>
      <c r="AC46" s="230"/>
    </row>
    <row r="47" spans="2:45" ht="16.5" customHeight="1" x14ac:dyDescent="0.25">
      <c r="B47" s="125"/>
      <c r="D47" s="271" t="s">
        <v>62</v>
      </c>
      <c r="E47" s="272"/>
      <c r="F47" s="272"/>
      <c r="G47" s="272"/>
      <c r="H47" s="306" t="e">
        <f>K38</f>
        <v>#NUM!</v>
      </c>
      <c r="I47" s="306"/>
      <c r="J47" s="307"/>
      <c r="M47" s="136"/>
      <c r="O47" s="154" t="s">
        <v>6</v>
      </c>
      <c r="P47" s="155"/>
      <c r="Q47" s="155"/>
      <c r="R47" s="155"/>
      <c r="S47" s="155"/>
      <c r="T47" s="156"/>
      <c r="U47" s="352">
        <f>U17+V17</f>
        <v>0</v>
      </c>
      <c r="V47" s="353"/>
      <c r="W47" s="354">
        <f>W17+X17</f>
        <v>0</v>
      </c>
      <c r="X47" s="355"/>
      <c r="Y47" s="133"/>
      <c r="Z47" s="227" t="s">
        <v>154</v>
      </c>
      <c r="AA47" s="226">
        <f>((E25/54)+AA46)*1.116</f>
        <v>0</v>
      </c>
      <c r="AB47" s="143"/>
    </row>
    <row r="48" spans="2:45" ht="17.149999999999999" customHeight="1" thickBot="1" x14ac:dyDescent="0.3">
      <c r="B48" s="125"/>
      <c r="C48" s="132"/>
      <c r="D48" s="349" t="s">
        <v>63</v>
      </c>
      <c r="E48" s="350"/>
      <c r="F48" s="350"/>
      <c r="G48" s="350"/>
      <c r="H48" s="308" t="e">
        <f>H47-H46</f>
        <v>#NUM!</v>
      </c>
      <c r="I48" s="308"/>
      <c r="J48" s="309"/>
      <c r="M48" s="136"/>
      <c r="O48" s="132"/>
      <c r="P48" s="132"/>
      <c r="Q48" s="132"/>
      <c r="R48" s="132"/>
      <c r="S48" s="132"/>
      <c r="T48" s="132"/>
      <c r="U48" s="133"/>
      <c r="V48" s="133"/>
      <c r="W48" s="133"/>
      <c r="X48" s="133"/>
      <c r="Y48" s="133"/>
      <c r="Z48" s="227" t="s">
        <v>158</v>
      </c>
      <c r="AA48" s="226">
        <f>((E26/54)+AA47)*1.082</f>
        <v>0</v>
      </c>
      <c r="AB48" s="143"/>
    </row>
    <row r="49" spans="2:28" ht="33" customHeight="1" thickBot="1" x14ac:dyDescent="0.3">
      <c r="B49" s="125"/>
      <c r="C49" s="132"/>
      <c r="D49" s="312" t="s">
        <v>168</v>
      </c>
      <c r="E49" s="313"/>
      <c r="F49" s="313"/>
      <c r="G49" s="313"/>
      <c r="H49" s="313"/>
      <c r="I49" s="313"/>
      <c r="J49" s="314"/>
      <c r="M49" s="136"/>
      <c r="O49" s="132"/>
      <c r="P49" s="132"/>
      <c r="Q49" s="132"/>
      <c r="R49" s="132"/>
      <c r="S49" s="132"/>
      <c r="T49" s="132"/>
      <c r="U49" s="133"/>
      <c r="V49" s="133"/>
      <c r="W49" s="133"/>
      <c r="X49" s="133"/>
      <c r="Y49" s="133"/>
      <c r="Z49" s="227" t="s">
        <v>164</v>
      </c>
      <c r="AA49" s="226">
        <f>((E27/54)+AA48)*1.032</f>
        <v>0</v>
      </c>
      <c r="AB49" s="143"/>
    </row>
    <row r="50" spans="2:28" ht="17.149999999999999" customHeight="1" thickBot="1" x14ac:dyDescent="0.3">
      <c r="B50" s="125"/>
      <c r="M50" s="136"/>
      <c r="O50" s="132"/>
      <c r="P50" s="132"/>
      <c r="Q50" s="132"/>
      <c r="R50" s="132"/>
      <c r="S50" s="132"/>
      <c r="T50" s="132"/>
      <c r="U50" s="133"/>
      <c r="V50" s="133"/>
      <c r="W50" s="133"/>
      <c r="X50" s="133"/>
      <c r="Y50" s="133"/>
      <c r="Z50" s="227" t="s">
        <v>174</v>
      </c>
      <c r="AA50" s="226">
        <f>((K18/54)+AA49)*1.053</f>
        <v>0</v>
      </c>
    </row>
    <row r="51" spans="2:28" s="209" customFormat="1" ht="40.15" customHeight="1" x14ac:dyDescent="0.25">
      <c r="B51" s="206"/>
      <c r="C51" s="301" t="s">
        <v>17</v>
      </c>
      <c r="D51" s="302"/>
      <c r="E51" s="302"/>
      <c r="F51" s="302"/>
      <c r="G51" s="302"/>
      <c r="H51" s="302"/>
      <c r="I51" s="303"/>
      <c r="J51" s="207" t="s">
        <v>21</v>
      </c>
      <c r="K51" s="310">
        <f>H44</f>
        <v>0</v>
      </c>
      <c r="L51" s="311"/>
      <c r="M51" s="208"/>
      <c r="N51" s="200"/>
      <c r="O51" s="132"/>
      <c r="P51" s="132"/>
      <c r="Q51" s="132"/>
      <c r="R51" s="132"/>
      <c r="S51" s="132"/>
      <c r="T51" s="132"/>
      <c r="U51" s="132"/>
      <c r="V51" s="132"/>
      <c r="W51" s="132"/>
      <c r="X51" s="132"/>
      <c r="Y51" s="132"/>
      <c r="Z51" s="133"/>
    </row>
    <row r="52" spans="2:28" s="209" customFormat="1" ht="40.15" customHeight="1" x14ac:dyDescent="0.25">
      <c r="B52" s="206"/>
      <c r="C52" s="298" t="s">
        <v>18</v>
      </c>
      <c r="D52" s="299"/>
      <c r="E52" s="299"/>
      <c r="F52" s="299"/>
      <c r="G52" s="299"/>
      <c r="H52" s="299"/>
      <c r="I52" s="300"/>
      <c r="J52" s="210" t="s">
        <v>22</v>
      </c>
      <c r="K52" s="231">
        <f>W47</f>
        <v>0</v>
      </c>
      <c r="L52" s="232"/>
      <c r="M52" s="208"/>
      <c r="N52" s="200"/>
      <c r="O52" s="132"/>
      <c r="P52" s="132"/>
      <c r="Q52" s="132"/>
      <c r="R52" s="132"/>
      <c r="S52" s="132"/>
      <c r="T52" s="132"/>
      <c r="U52" s="132"/>
      <c r="V52" s="132"/>
      <c r="W52" s="132"/>
      <c r="X52" s="132"/>
      <c r="Y52" s="132"/>
      <c r="Z52" s="132"/>
      <c r="AA52" s="217"/>
    </row>
    <row r="53" spans="2:28" s="209" customFormat="1" ht="40.15" customHeight="1" x14ac:dyDescent="0.25">
      <c r="B53" s="206"/>
      <c r="C53" s="298" t="s">
        <v>19</v>
      </c>
      <c r="D53" s="299"/>
      <c r="E53" s="299"/>
      <c r="F53" s="299"/>
      <c r="G53" s="299"/>
      <c r="H53" s="299"/>
      <c r="I53" s="300"/>
      <c r="J53" s="210" t="s">
        <v>23</v>
      </c>
      <c r="K53" s="231">
        <f>AA16</f>
        <v>0</v>
      </c>
      <c r="L53" s="232"/>
      <c r="M53" s="208"/>
      <c r="N53" s="200"/>
      <c r="O53" s="118"/>
      <c r="P53" s="118"/>
      <c r="Q53" s="118"/>
      <c r="R53" s="118"/>
      <c r="S53" s="118"/>
      <c r="T53" s="118"/>
      <c r="U53" s="118"/>
      <c r="V53" s="118"/>
      <c r="W53" s="118"/>
      <c r="X53" s="118"/>
      <c r="Y53" s="119"/>
      <c r="Z53" s="118"/>
    </row>
    <row r="54" spans="2:28" s="209" customFormat="1" ht="40.15" customHeight="1" x14ac:dyDescent="0.25">
      <c r="B54" s="206"/>
      <c r="C54" s="298" t="s">
        <v>20</v>
      </c>
      <c r="D54" s="299"/>
      <c r="E54" s="299"/>
      <c r="F54" s="299"/>
      <c r="G54" s="299"/>
      <c r="H54" s="299"/>
      <c r="I54" s="300"/>
      <c r="J54" s="210" t="s">
        <v>24</v>
      </c>
      <c r="K54" s="231">
        <f>AA17</f>
        <v>0</v>
      </c>
      <c r="L54" s="232"/>
      <c r="M54" s="208"/>
      <c r="N54" s="200"/>
      <c r="O54" s="118"/>
      <c r="P54" s="118"/>
      <c r="Q54" s="118"/>
      <c r="R54" s="118"/>
      <c r="S54" s="118"/>
      <c r="T54" s="118"/>
      <c r="U54" s="118"/>
      <c r="V54" s="118"/>
      <c r="W54" s="118"/>
      <c r="X54" s="118"/>
      <c r="Y54" s="118"/>
      <c r="Z54" s="118"/>
    </row>
    <row r="55" spans="2:28" ht="34" customHeight="1" thickBot="1" x14ac:dyDescent="0.3">
      <c r="B55" s="125"/>
      <c r="C55" s="294" t="s">
        <v>26</v>
      </c>
      <c r="D55" s="295"/>
      <c r="E55" s="295"/>
      <c r="F55" s="295"/>
      <c r="G55" s="295"/>
      <c r="H55" s="295"/>
      <c r="I55" s="295"/>
      <c r="J55" s="211"/>
      <c r="K55" s="296">
        <f>SUM((20*K51)+K52)-((20*K53)+K54)</f>
        <v>0</v>
      </c>
      <c r="L55" s="297"/>
      <c r="M55" s="208"/>
      <c r="N55" s="200"/>
    </row>
    <row r="56" spans="2:28" ht="13.75" customHeight="1" thickBot="1" x14ac:dyDescent="0.35">
      <c r="B56" s="212"/>
      <c r="C56" s="213"/>
      <c r="D56" s="213"/>
      <c r="E56" s="214"/>
      <c r="F56" s="214"/>
      <c r="G56" s="214"/>
      <c r="H56" s="214"/>
      <c r="I56" s="214"/>
      <c r="J56" s="214"/>
      <c r="K56" s="214"/>
      <c r="L56" s="214"/>
      <c r="M56" s="215"/>
    </row>
  </sheetData>
  <sheetProtection algorithmName="SHA-512" hashValue="Qafw9vlztjXHd5tjczmj6SVKCyAAbkzur5z4IWyGDZzanv1xz2FrmFqDNwsstgUPPxHf3SiznRJhwiT1ejGdXA==" saltValue="8pJgpO9hM1a2EdfkNWA5dQ==" spinCount="100000" sheet="1" objects="1" scenarios="1"/>
  <mergeCells count="157">
    <mergeCell ref="H12:J13"/>
    <mergeCell ref="AS32:CC32"/>
    <mergeCell ref="D48:G48"/>
    <mergeCell ref="U11:X11"/>
    <mergeCell ref="W46:X46"/>
    <mergeCell ref="U47:V47"/>
    <mergeCell ref="W47:X47"/>
    <mergeCell ref="U46:V46"/>
    <mergeCell ref="D42:G42"/>
    <mergeCell ref="D43:G43"/>
    <mergeCell ref="E38:F38"/>
    <mergeCell ref="K36:L36"/>
    <mergeCell ref="K37:L37"/>
    <mergeCell ref="D40:H41"/>
    <mergeCell ref="C33:D33"/>
    <mergeCell ref="C21:D21"/>
    <mergeCell ref="E21:F21"/>
    <mergeCell ref="W42:X42"/>
    <mergeCell ref="W43:X43"/>
    <mergeCell ref="W45:X45"/>
    <mergeCell ref="E33:F33"/>
    <mergeCell ref="C27:D27"/>
    <mergeCell ref="E27:F27"/>
    <mergeCell ref="Y45:Y46"/>
    <mergeCell ref="D44:G44"/>
    <mergeCell ref="D45:G45"/>
    <mergeCell ref="D46:G46"/>
    <mergeCell ref="H32:J32"/>
    <mergeCell ref="H31:J31"/>
    <mergeCell ref="K32:L32"/>
    <mergeCell ref="C22:D22"/>
    <mergeCell ref="E22:F22"/>
    <mergeCell ref="C25:D25"/>
    <mergeCell ref="E25:F25"/>
    <mergeCell ref="C24:D24"/>
    <mergeCell ref="E24:F24"/>
    <mergeCell ref="E28:F28"/>
    <mergeCell ref="C28:D28"/>
    <mergeCell ref="C26:D26"/>
    <mergeCell ref="E26:F26"/>
    <mergeCell ref="C38:D38"/>
    <mergeCell ref="U42:V42"/>
    <mergeCell ref="C36:D36"/>
    <mergeCell ref="C37:D37"/>
    <mergeCell ref="D35:E35"/>
    <mergeCell ref="E34:F34"/>
    <mergeCell ref="H38:J38"/>
    <mergeCell ref="H37:J37"/>
    <mergeCell ref="H36:J36"/>
    <mergeCell ref="E36:F36"/>
    <mergeCell ref="E37:F37"/>
    <mergeCell ref="K34:L34"/>
    <mergeCell ref="U2:V2"/>
    <mergeCell ref="U3:V3"/>
    <mergeCell ref="U4:V4"/>
    <mergeCell ref="E29:F29"/>
    <mergeCell ref="U5:X5"/>
    <mergeCell ref="H10:L11"/>
    <mergeCell ref="P13:Q13"/>
    <mergeCell ref="H16:J16"/>
    <mergeCell ref="U6:X6"/>
    <mergeCell ref="B2:M3"/>
    <mergeCell ref="H6:J6"/>
    <mergeCell ref="K6:L6"/>
    <mergeCell ref="K15:L15"/>
    <mergeCell ref="K23:L23"/>
    <mergeCell ref="K19:L19"/>
    <mergeCell ref="E12:F13"/>
    <mergeCell ref="C12:D13"/>
    <mergeCell ref="K12:L13"/>
    <mergeCell ref="C6:D6"/>
    <mergeCell ref="C7:D7"/>
    <mergeCell ref="C9:D9"/>
    <mergeCell ref="C8:D8"/>
    <mergeCell ref="E23:F23"/>
    <mergeCell ref="E19:F19"/>
    <mergeCell ref="C18:D18"/>
    <mergeCell ref="E18:F18"/>
    <mergeCell ref="E6:F6"/>
    <mergeCell ref="C10:D10"/>
    <mergeCell ref="E7:F7"/>
    <mergeCell ref="E8:F8"/>
    <mergeCell ref="E9:F9"/>
    <mergeCell ref="C55:I55"/>
    <mergeCell ref="K55:L55"/>
    <mergeCell ref="C52:I52"/>
    <mergeCell ref="C51:I51"/>
    <mergeCell ref="H42:J42"/>
    <mergeCell ref="H43:J43"/>
    <mergeCell ref="H44:J44"/>
    <mergeCell ref="H45:J45"/>
    <mergeCell ref="H46:J46"/>
    <mergeCell ref="H47:J47"/>
    <mergeCell ref="H48:J48"/>
    <mergeCell ref="K54:L54"/>
    <mergeCell ref="C54:I54"/>
    <mergeCell ref="C53:I53"/>
    <mergeCell ref="K51:L51"/>
    <mergeCell ref="K52:L52"/>
    <mergeCell ref="D49:J49"/>
    <mergeCell ref="D47:G47"/>
    <mergeCell ref="AS23:BD23"/>
    <mergeCell ref="AS31:CC31"/>
    <mergeCell ref="U41:V41"/>
    <mergeCell ref="K9:L9"/>
    <mergeCell ref="E32:F32"/>
    <mergeCell ref="H29:J29"/>
    <mergeCell ref="U9:X9"/>
    <mergeCell ref="V12:W12"/>
    <mergeCell ref="K38:L38"/>
    <mergeCell ref="K31:L31"/>
    <mergeCell ref="E31:F31"/>
    <mergeCell ref="H23:J23"/>
    <mergeCell ref="H14:L14"/>
    <mergeCell ref="C30:E30"/>
    <mergeCell ref="C20:D20"/>
    <mergeCell ref="E20:F20"/>
    <mergeCell ref="H30:J30"/>
    <mergeCell ref="K29:L29"/>
    <mergeCell ref="C16:D16"/>
    <mergeCell ref="E15:F15"/>
    <mergeCell ref="C15:D15"/>
    <mergeCell ref="E16:F16"/>
    <mergeCell ref="H34:J34"/>
    <mergeCell ref="AB6:AC6"/>
    <mergeCell ref="Z6:AA6"/>
    <mergeCell ref="Q12:R12"/>
    <mergeCell ref="Z13:Z15"/>
    <mergeCell ref="W13:X13"/>
    <mergeCell ref="U13:V13"/>
    <mergeCell ref="U7:X7"/>
    <mergeCell ref="U8:X8"/>
    <mergeCell ref="R13:S13"/>
    <mergeCell ref="AB46:AC46"/>
    <mergeCell ref="K53:L53"/>
    <mergeCell ref="U45:V45"/>
    <mergeCell ref="W41:X41"/>
    <mergeCell ref="O33:S34"/>
    <mergeCell ref="B4:M5"/>
    <mergeCell ref="H33:J33"/>
    <mergeCell ref="C34:D34"/>
    <mergeCell ref="K8:L8"/>
    <mergeCell ref="H8:J8"/>
    <mergeCell ref="H9:J9"/>
    <mergeCell ref="H18:J18"/>
    <mergeCell ref="H19:J19"/>
    <mergeCell ref="K33:L33"/>
    <mergeCell ref="C11:F11"/>
    <mergeCell ref="C32:D32"/>
    <mergeCell ref="C19:D19"/>
    <mergeCell ref="C29:D29"/>
    <mergeCell ref="C23:D23"/>
    <mergeCell ref="C14:F14"/>
    <mergeCell ref="K18:L18"/>
    <mergeCell ref="K16:L16"/>
    <mergeCell ref="H15:J15"/>
    <mergeCell ref="U43:V43"/>
  </mergeCells>
  <phoneticPr fontId="6" type="noConversion"/>
  <dataValidations count="2">
    <dataValidation type="list" allowBlank="1" showInputMessage="1" showErrorMessage="1" sqref="E8:F8" xr:uid="{00000000-0002-0000-0000-000000000000}">
      <formula1>"Choose, M, F"</formula1>
    </dataValidation>
    <dataValidation type="list" allowBlank="1" showInputMessage="1" showErrorMessage="1" sqref="E6:F6" xr:uid="{00000000-0002-0000-0000-000001000000}">
      <formula1>"Choose, NHS 1995 Section, NHS 2008 Section"</formula1>
    </dataValidation>
  </dataValidations>
  <printOptions horizontalCentered="1"/>
  <pageMargins left="0.15748031496062992" right="0.15748031496062992" top="0.39370078740157483" bottom="0.39370078740157483" header="0.51181102362204722" footer="0.51181102362204722"/>
  <pageSetup paperSize="9" scale="87" orientation="portrait" r:id="rId1"/>
  <headerFooter alignWithMargins="0"/>
  <ignoredErrors>
    <ignoredError sqref="W3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32"/>
  <sheetViews>
    <sheetView zoomScale="90" zoomScaleNormal="90" workbookViewId="0">
      <selection activeCell="H33" sqref="H33"/>
    </sheetView>
  </sheetViews>
  <sheetFormatPr defaultColWidth="9.1796875" defaultRowHeight="12.5" x14ac:dyDescent="0.25"/>
  <cols>
    <col min="1" max="2" width="11.453125" style="3" customWidth="1"/>
    <col min="3" max="3" width="12.1796875" style="3" customWidth="1"/>
    <col min="4" max="26" width="11.453125" style="3" customWidth="1"/>
    <col min="27" max="27" width="10.1796875" style="3" customWidth="1"/>
    <col min="28" max="32" width="11.453125" style="3" customWidth="1"/>
    <col min="33" max="35" width="11.453125" style="2" customWidth="1"/>
    <col min="36" max="36" width="9.1796875" style="2"/>
    <col min="37" max="41" width="11.453125" style="2" customWidth="1"/>
    <col min="42" max="44" width="11.453125" style="3" customWidth="1"/>
    <col min="45" max="16384" width="9.1796875" style="3"/>
  </cols>
  <sheetData>
    <row r="1" spans="1:41" customFormat="1" ht="14" x14ac:dyDescent="0.25">
      <c r="A1" s="5" t="s">
        <v>85</v>
      </c>
      <c r="B1" s="1"/>
      <c r="C1" s="1"/>
      <c r="D1" s="1"/>
      <c r="E1" s="1"/>
      <c r="F1" s="1"/>
      <c r="G1" s="1"/>
      <c r="H1" s="1"/>
      <c r="I1" s="5" t="s">
        <v>86</v>
      </c>
      <c r="J1" s="1"/>
      <c r="K1" s="1"/>
      <c r="L1" s="1"/>
      <c r="M1" s="1"/>
      <c r="N1" s="1"/>
      <c r="O1" s="1"/>
      <c r="P1" s="1"/>
      <c r="Q1" s="5" t="s">
        <v>87</v>
      </c>
      <c r="R1" s="1"/>
      <c r="S1" s="1"/>
      <c r="T1" s="1"/>
      <c r="U1" s="1"/>
      <c r="V1" s="1"/>
      <c r="W1" s="1"/>
      <c r="X1" s="1"/>
      <c r="Y1" s="5" t="s">
        <v>88</v>
      </c>
      <c r="Z1" s="1"/>
      <c r="AA1" s="1"/>
      <c r="AB1" s="1"/>
      <c r="AC1" s="1"/>
      <c r="AD1" s="1"/>
      <c r="AE1" s="1"/>
      <c r="AF1" s="1"/>
      <c r="AG1" s="1"/>
      <c r="AH1" s="1"/>
      <c r="AI1" s="1"/>
      <c r="AJ1" s="1"/>
      <c r="AK1" s="1"/>
      <c r="AL1" s="1"/>
      <c r="AM1" s="1"/>
      <c r="AN1" s="1"/>
      <c r="AO1" s="1"/>
    </row>
    <row r="2" spans="1:41" customFormat="1" ht="57.5" x14ac:dyDescent="0.25">
      <c r="A2" s="377" t="s">
        <v>46</v>
      </c>
      <c r="B2" s="6" t="s">
        <v>12</v>
      </c>
      <c r="C2" s="6" t="s">
        <v>89</v>
      </c>
      <c r="D2" s="6" t="s">
        <v>90</v>
      </c>
      <c r="E2" s="6" t="s">
        <v>91</v>
      </c>
      <c r="F2" s="6" t="s">
        <v>92</v>
      </c>
      <c r="G2" s="6" t="s">
        <v>93</v>
      </c>
      <c r="H2" s="1"/>
      <c r="I2" s="379" t="s">
        <v>46</v>
      </c>
      <c r="J2" s="7" t="s">
        <v>12</v>
      </c>
      <c r="K2" s="7" t="s">
        <v>89</v>
      </c>
      <c r="L2" s="7" t="s">
        <v>90</v>
      </c>
      <c r="M2" s="7" t="s">
        <v>94</v>
      </c>
      <c r="N2" s="7" t="s">
        <v>92</v>
      </c>
      <c r="O2" s="7" t="s">
        <v>93</v>
      </c>
      <c r="P2" s="1"/>
      <c r="Q2" s="380" t="s">
        <v>46</v>
      </c>
      <c r="R2" s="8" t="s">
        <v>95</v>
      </c>
      <c r="S2" s="8" t="s">
        <v>96</v>
      </c>
      <c r="T2" s="8" t="s">
        <v>90</v>
      </c>
      <c r="U2" s="8" t="s">
        <v>91</v>
      </c>
      <c r="V2" s="8" t="s">
        <v>97</v>
      </c>
      <c r="W2" s="6" t="s">
        <v>93</v>
      </c>
      <c r="X2" s="1"/>
      <c r="Y2" s="379" t="s">
        <v>46</v>
      </c>
      <c r="Z2" s="9" t="s">
        <v>95</v>
      </c>
      <c r="AA2" s="9" t="s">
        <v>98</v>
      </c>
      <c r="AB2" s="9" t="s">
        <v>90</v>
      </c>
      <c r="AC2" s="9" t="s">
        <v>99</v>
      </c>
      <c r="AD2" s="9" t="s">
        <v>100</v>
      </c>
      <c r="AE2" s="9" t="s">
        <v>97</v>
      </c>
      <c r="AF2" s="7" t="s">
        <v>93</v>
      </c>
      <c r="AG2" s="1"/>
      <c r="AH2" s="1"/>
      <c r="AI2" s="1"/>
      <c r="AJ2" s="1"/>
      <c r="AK2" s="1"/>
      <c r="AL2" s="1"/>
      <c r="AM2" s="1"/>
      <c r="AN2" s="1"/>
      <c r="AO2" s="1"/>
    </row>
    <row r="3" spans="1:41" customFormat="1" x14ac:dyDescent="0.25">
      <c r="A3" s="378"/>
      <c r="B3" s="6" t="s">
        <v>101</v>
      </c>
      <c r="C3" s="6" t="s">
        <v>102</v>
      </c>
      <c r="D3" s="6" t="s">
        <v>103</v>
      </c>
      <c r="E3" s="6" t="s">
        <v>104</v>
      </c>
      <c r="F3" s="6" t="s">
        <v>105</v>
      </c>
      <c r="G3" s="6" t="s">
        <v>79</v>
      </c>
      <c r="H3" s="1"/>
      <c r="I3" s="379"/>
      <c r="J3" s="7" t="s">
        <v>101</v>
      </c>
      <c r="K3" s="7" t="s">
        <v>102</v>
      </c>
      <c r="L3" s="7" t="s">
        <v>103</v>
      </c>
      <c r="M3" s="7" t="s">
        <v>104</v>
      </c>
      <c r="N3" s="7" t="s">
        <v>105</v>
      </c>
      <c r="O3" s="7"/>
      <c r="P3" s="1"/>
      <c r="Q3" s="380"/>
      <c r="R3" s="6" t="s">
        <v>101</v>
      </c>
      <c r="S3" s="6" t="s">
        <v>102</v>
      </c>
      <c r="T3" s="6" t="s">
        <v>103</v>
      </c>
      <c r="U3" s="6" t="s">
        <v>104</v>
      </c>
      <c r="V3" s="6" t="s">
        <v>106</v>
      </c>
      <c r="W3" s="6" t="s">
        <v>79</v>
      </c>
      <c r="X3" s="1"/>
      <c r="Y3" s="379"/>
      <c r="Z3" s="7" t="s">
        <v>101</v>
      </c>
      <c r="AA3" s="7" t="s">
        <v>102</v>
      </c>
      <c r="AB3" s="7" t="s">
        <v>103</v>
      </c>
      <c r="AC3" s="7" t="s">
        <v>104</v>
      </c>
      <c r="AD3" s="7" t="s">
        <v>107</v>
      </c>
      <c r="AE3" s="7" t="s">
        <v>106</v>
      </c>
      <c r="AF3" s="7" t="s">
        <v>79</v>
      </c>
      <c r="AG3" s="1"/>
      <c r="AH3" s="1"/>
      <c r="AI3" s="1"/>
      <c r="AJ3" s="1"/>
      <c r="AK3" s="1"/>
      <c r="AL3" s="1"/>
      <c r="AM3" s="1"/>
      <c r="AN3" s="1"/>
      <c r="AO3" s="1"/>
    </row>
    <row r="4" spans="1:41" customFormat="1" x14ac:dyDescent="0.25">
      <c r="A4" s="10">
        <v>18</v>
      </c>
      <c r="B4" s="11">
        <v>7.26</v>
      </c>
      <c r="C4" s="11">
        <v>0.35</v>
      </c>
      <c r="D4" s="11">
        <v>0.66</v>
      </c>
      <c r="E4" s="11">
        <v>3.63</v>
      </c>
      <c r="F4" s="11">
        <v>5.18</v>
      </c>
      <c r="G4" s="12">
        <v>0.15</v>
      </c>
      <c r="H4" s="1"/>
      <c r="I4" s="13">
        <v>18</v>
      </c>
      <c r="J4" s="14">
        <v>7.26</v>
      </c>
      <c r="K4" s="14">
        <v>0.35</v>
      </c>
      <c r="L4" s="14">
        <v>0.66</v>
      </c>
      <c r="M4" s="14">
        <v>3.1</v>
      </c>
      <c r="N4" s="14">
        <v>5.18</v>
      </c>
      <c r="O4" s="14">
        <v>0.15</v>
      </c>
      <c r="P4" s="1"/>
      <c r="Q4" s="10">
        <v>18</v>
      </c>
      <c r="R4" s="15">
        <v>9.2899999999999991</v>
      </c>
      <c r="S4" s="15">
        <v>0.46</v>
      </c>
      <c r="T4" s="15">
        <v>1.17</v>
      </c>
      <c r="U4" s="15">
        <v>3.66</v>
      </c>
      <c r="V4" s="15">
        <v>4.6500000000000004</v>
      </c>
      <c r="W4" s="11">
        <v>0.15</v>
      </c>
      <c r="X4" s="1"/>
      <c r="Y4" s="13">
        <v>18</v>
      </c>
      <c r="Z4" s="16">
        <v>9.2899999999999991</v>
      </c>
      <c r="AA4" s="16">
        <v>0.46</v>
      </c>
      <c r="AB4" s="16">
        <v>1.17</v>
      </c>
      <c r="AC4" s="16">
        <v>-0.67</v>
      </c>
      <c r="AD4" s="16">
        <v>-0.67</v>
      </c>
      <c r="AE4" s="16">
        <v>4.6500000000000004</v>
      </c>
      <c r="AF4" s="14">
        <v>3.5</v>
      </c>
      <c r="AG4" s="1"/>
      <c r="AH4" s="1"/>
      <c r="AI4" s="1"/>
      <c r="AJ4" s="1"/>
      <c r="AK4" s="1"/>
      <c r="AL4" s="1"/>
      <c r="AM4" s="1"/>
      <c r="AN4" s="1"/>
      <c r="AO4" s="1"/>
    </row>
    <row r="5" spans="1:41" customFormat="1" x14ac:dyDescent="0.25">
      <c r="A5" s="10">
        <v>19</v>
      </c>
      <c r="B5" s="11">
        <v>7.26</v>
      </c>
      <c r="C5" s="11">
        <v>0.35</v>
      </c>
      <c r="D5" s="11">
        <v>0.66</v>
      </c>
      <c r="E5" s="11">
        <v>3.63</v>
      </c>
      <c r="F5" s="11">
        <v>5.18</v>
      </c>
      <c r="G5" s="12">
        <v>0.15</v>
      </c>
      <c r="H5" s="1"/>
      <c r="I5" s="13">
        <v>19</v>
      </c>
      <c r="J5" s="14">
        <v>7.26</v>
      </c>
      <c r="K5" s="14">
        <v>0.35</v>
      </c>
      <c r="L5" s="14">
        <v>0.66</v>
      </c>
      <c r="M5" s="14">
        <v>3.1</v>
      </c>
      <c r="N5" s="14">
        <v>5.18</v>
      </c>
      <c r="O5" s="14">
        <v>0.15</v>
      </c>
      <c r="P5" s="1"/>
      <c r="Q5" s="10">
        <v>19</v>
      </c>
      <c r="R5" s="15">
        <v>9.43</v>
      </c>
      <c r="S5" s="15">
        <v>0.46</v>
      </c>
      <c r="T5" s="15">
        <v>1.21</v>
      </c>
      <c r="U5" s="15">
        <v>3.65</v>
      </c>
      <c r="V5" s="15">
        <v>4.78</v>
      </c>
      <c r="W5" s="11">
        <v>0.15</v>
      </c>
      <c r="X5" s="1"/>
      <c r="Y5" s="13">
        <v>19</v>
      </c>
      <c r="Z5" s="16">
        <v>9.43</v>
      </c>
      <c r="AA5" s="16">
        <v>0.46</v>
      </c>
      <c r="AB5" s="16">
        <v>1.21</v>
      </c>
      <c r="AC5" s="16">
        <v>-0.68</v>
      </c>
      <c r="AD5" s="16">
        <v>-0.68</v>
      </c>
      <c r="AE5" s="16">
        <v>4.78</v>
      </c>
      <c r="AF5" s="14">
        <v>3.5</v>
      </c>
      <c r="AG5" s="1"/>
      <c r="AH5" s="1"/>
      <c r="AI5" s="1"/>
      <c r="AJ5" s="1"/>
      <c r="AK5" s="1"/>
      <c r="AL5" s="1"/>
      <c r="AM5" s="1"/>
      <c r="AN5" s="1"/>
      <c r="AO5" s="1"/>
    </row>
    <row r="6" spans="1:41" customFormat="1" x14ac:dyDescent="0.25">
      <c r="A6" s="10">
        <v>20</v>
      </c>
      <c r="B6" s="11">
        <v>7.26</v>
      </c>
      <c r="C6" s="11">
        <v>0.35</v>
      </c>
      <c r="D6" s="11">
        <v>0.66</v>
      </c>
      <c r="E6" s="11">
        <v>3.63</v>
      </c>
      <c r="F6" s="11">
        <v>5.18</v>
      </c>
      <c r="G6" s="12">
        <v>0.15</v>
      </c>
      <c r="H6" s="1"/>
      <c r="I6" s="13">
        <v>20</v>
      </c>
      <c r="J6" s="14">
        <v>7.26</v>
      </c>
      <c r="K6" s="14">
        <v>0.35</v>
      </c>
      <c r="L6" s="14">
        <v>0.66</v>
      </c>
      <c r="M6" s="14">
        <v>3.1</v>
      </c>
      <c r="N6" s="14">
        <v>5.18</v>
      </c>
      <c r="O6" s="14">
        <v>0.15</v>
      </c>
      <c r="P6" s="1"/>
      <c r="Q6" s="10">
        <v>20</v>
      </c>
      <c r="R6" s="15">
        <v>9.56</v>
      </c>
      <c r="S6" s="15">
        <v>0.47</v>
      </c>
      <c r="T6" s="15">
        <v>1.23</v>
      </c>
      <c r="U6" s="15">
        <v>3.64</v>
      </c>
      <c r="V6" s="15">
        <v>4.91</v>
      </c>
      <c r="W6" s="11">
        <v>0.15</v>
      </c>
      <c r="X6" s="1"/>
      <c r="Y6" s="13">
        <v>20</v>
      </c>
      <c r="Z6" s="16">
        <v>9.56</v>
      </c>
      <c r="AA6" s="16">
        <v>0.47</v>
      </c>
      <c r="AB6" s="16">
        <v>1.23</v>
      </c>
      <c r="AC6" s="16">
        <v>-0.7</v>
      </c>
      <c r="AD6" s="16">
        <v>-0.7</v>
      </c>
      <c r="AE6" s="16">
        <v>4.91</v>
      </c>
      <c r="AF6" s="14">
        <v>3.5</v>
      </c>
      <c r="AG6" s="1"/>
      <c r="AH6" s="1"/>
      <c r="AI6" s="1"/>
      <c r="AJ6" s="1"/>
      <c r="AK6" s="1"/>
      <c r="AL6" s="1"/>
      <c r="AM6" s="1"/>
      <c r="AN6" s="1"/>
      <c r="AO6" s="1"/>
    </row>
    <row r="7" spans="1:41" customFormat="1" x14ac:dyDescent="0.25">
      <c r="A7" s="10">
        <v>21</v>
      </c>
      <c r="B7" s="11">
        <v>7.26</v>
      </c>
      <c r="C7" s="11">
        <v>0.35</v>
      </c>
      <c r="D7" s="11">
        <v>0.66</v>
      </c>
      <c r="E7" s="11">
        <v>3.63</v>
      </c>
      <c r="F7" s="11">
        <v>5.18</v>
      </c>
      <c r="G7" s="12">
        <v>0.15</v>
      </c>
      <c r="H7" s="1"/>
      <c r="I7" s="13">
        <v>21</v>
      </c>
      <c r="J7" s="14">
        <v>7.26</v>
      </c>
      <c r="K7" s="14">
        <v>0.35</v>
      </c>
      <c r="L7" s="14">
        <v>0.66</v>
      </c>
      <c r="M7" s="14">
        <v>3.1</v>
      </c>
      <c r="N7" s="14">
        <v>5.18</v>
      </c>
      <c r="O7" s="14">
        <v>0.15</v>
      </c>
      <c r="P7" s="1"/>
      <c r="Q7" s="10">
        <v>21</v>
      </c>
      <c r="R7" s="15">
        <v>9.6999999999999993</v>
      </c>
      <c r="S7" s="15">
        <v>0.48</v>
      </c>
      <c r="T7" s="15">
        <v>1.25</v>
      </c>
      <c r="U7" s="15">
        <v>3.64</v>
      </c>
      <c r="V7" s="15">
        <v>5.04</v>
      </c>
      <c r="W7" s="11">
        <v>0.15</v>
      </c>
      <c r="X7" s="1"/>
      <c r="Y7" s="13">
        <v>21</v>
      </c>
      <c r="Z7" s="16">
        <v>9.6999999999999993</v>
      </c>
      <c r="AA7" s="16">
        <v>0.48</v>
      </c>
      <c r="AB7" s="16">
        <v>1.25</v>
      </c>
      <c r="AC7" s="16">
        <v>-0.71</v>
      </c>
      <c r="AD7" s="16">
        <v>-0.71</v>
      </c>
      <c r="AE7" s="16">
        <v>5.04</v>
      </c>
      <c r="AF7" s="14">
        <v>3.5</v>
      </c>
      <c r="AG7" s="1"/>
      <c r="AH7" s="1"/>
      <c r="AI7" s="1"/>
      <c r="AJ7" s="1"/>
      <c r="AK7" s="1"/>
      <c r="AL7" s="1"/>
      <c r="AM7" s="1"/>
      <c r="AN7" s="1"/>
      <c r="AO7" s="1"/>
    </row>
    <row r="8" spans="1:41" customFormat="1" ht="14.5" x14ac:dyDescent="0.25">
      <c r="A8" s="10">
        <v>22</v>
      </c>
      <c r="B8" s="17">
        <v>12.29</v>
      </c>
      <c r="C8" s="17">
        <v>0.53</v>
      </c>
      <c r="D8" s="17">
        <v>1.24</v>
      </c>
      <c r="E8" s="17">
        <v>3.63</v>
      </c>
      <c r="F8" s="17">
        <v>5.18</v>
      </c>
      <c r="G8" s="12">
        <v>0.15</v>
      </c>
      <c r="H8" s="1"/>
      <c r="I8" s="13">
        <v>22</v>
      </c>
      <c r="J8" s="18">
        <v>12.29</v>
      </c>
      <c r="K8" s="18">
        <v>0.53</v>
      </c>
      <c r="L8" s="18">
        <v>1.24</v>
      </c>
      <c r="M8" s="18">
        <v>3.1</v>
      </c>
      <c r="N8" s="18">
        <v>5.18</v>
      </c>
      <c r="O8" s="14">
        <v>0.15</v>
      </c>
      <c r="P8" s="1"/>
      <c r="Q8" s="10">
        <v>22</v>
      </c>
      <c r="R8" s="15">
        <v>9.84</v>
      </c>
      <c r="S8" s="15">
        <v>0.49</v>
      </c>
      <c r="T8" s="15">
        <v>1.27</v>
      </c>
      <c r="U8" s="15">
        <v>3.63</v>
      </c>
      <c r="V8" s="15">
        <v>5.18</v>
      </c>
      <c r="W8" s="11">
        <v>0.15</v>
      </c>
      <c r="X8" s="1"/>
      <c r="Y8" s="13">
        <v>22</v>
      </c>
      <c r="Z8" s="16">
        <v>9.84</v>
      </c>
      <c r="AA8" s="16">
        <v>0.49</v>
      </c>
      <c r="AB8" s="16">
        <v>1.27</v>
      </c>
      <c r="AC8" s="16">
        <v>-0.73</v>
      </c>
      <c r="AD8" s="16">
        <v>-0.73</v>
      </c>
      <c r="AE8" s="16">
        <v>5.18</v>
      </c>
      <c r="AF8" s="14">
        <v>3.5</v>
      </c>
      <c r="AG8" s="1"/>
      <c r="AH8" s="1"/>
      <c r="AI8" s="1"/>
      <c r="AJ8" s="1"/>
      <c r="AK8" s="1"/>
      <c r="AL8" s="1"/>
      <c r="AM8" s="1"/>
      <c r="AN8" s="1"/>
      <c r="AO8" s="1"/>
    </row>
    <row r="9" spans="1:41" customFormat="1" ht="14.5" x14ac:dyDescent="0.25">
      <c r="A9" s="10">
        <v>23</v>
      </c>
      <c r="B9" s="17">
        <v>12.48</v>
      </c>
      <c r="C9" s="17">
        <v>0.54</v>
      </c>
      <c r="D9" s="17">
        <v>1.25</v>
      </c>
      <c r="E9" s="17">
        <v>3.63</v>
      </c>
      <c r="F9" s="17">
        <v>5.32</v>
      </c>
      <c r="G9" s="12">
        <v>0.15</v>
      </c>
      <c r="H9" s="1"/>
      <c r="I9" s="13">
        <v>23</v>
      </c>
      <c r="J9" s="18">
        <v>12.48</v>
      </c>
      <c r="K9" s="18">
        <v>0.54</v>
      </c>
      <c r="L9" s="18">
        <v>1.25</v>
      </c>
      <c r="M9" s="18">
        <v>3.09</v>
      </c>
      <c r="N9" s="18">
        <v>5.32</v>
      </c>
      <c r="O9" s="14">
        <v>0.15</v>
      </c>
      <c r="P9" s="1"/>
      <c r="Q9" s="10">
        <v>23</v>
      </c>
      <c r="R9" s="15">
        <v>9.99</v>
      </c>
      <c r="S9" s="15">
        <v>0.5</v>
      </c>
      <c r="T9" s="15">
        <v>1.29</v>
      </c>
      <c r="U9" s="15">
        <v>3.63</v>
      </c>
      <c r="V9" s="15">
        <v>5.32</v>
      </c>
      <c r="W9" s="11">
        <v>0.15</v>
      </c>
      <c r="X9" s="1"/>
      <c r="Y9" s="13">
        <v>23</v>
      </c>
      <c r="Z9" s="16">
        <v>9.99</v>
      </c>
      <c r="AA9" s="16">
        <v>0.5</v>
      </c>
      <c r="AB9" s="16">
        <v>1.29</v>
      </c>
      <c r="AC9" s="16">
        <v>-0.74</v>
      </c>
      <c r="AD9" s="16">
        <v>-0.74</v>
      </c>
      <c r="AE9" s="16">
        <v>5.32</v>
      </c>
      <c r="AF9" s="14">
        <v>3.5</v>
      </c>
      <c r="AG9" s="1"/>
      <c r="AH9" s="1"/>
      <c r="AI9" s="1"/>
      <c r="AJ9" s="1"/>
      <c r="AK9" s="1"/>
      <c r="AL9" s="1"/>
      <c r="AM9" s="1"/>
      <c r="AN9" s="1"/>
      <c r="AO9" s="1"/>
    </row>
    <row r="10" spans="1:41" customFormat="1" ht="14.5" x14ac:dyDescent="0.25">
      <c r="A10" s="10">
        <v>24</v>
      </c>
      <c r="B10" s="17">
        <v>12.66</v>
      </c>
      <c r="C10" s="17">
        <v>0.55000000000000004</v>
      </c>
      <c r="D10" s="17">
        <v>1.27</v>
      </c>
      <c r="E10" s="17">
        <v>3.62</v>
      </c>
      <c r="F10" s="17">
        <v>5.46</v>
      </c>
      <c r="G10" s="12">
        <v>0.15</v>
      </c>
      <c r="H10" s="1"/>
      <c r="I10" s="13">
        <v>24</v>
      </c>
      <c r="J10" s="18">
        <v>12.66</v>
      </c>
      <c r="K10" s="18">
        <v>0.55000000000000004</v>
      </c>
      <c r="L10" s="18">
        <v>1.27</v>
      </c>
      <c r="M10" s="18">
        <v>3.09</v>
      </c>
      <c r="N10" s="18">
        <v>5.46</v>
      </c>
      <c r="O10" s="14">
        <v>0.15</v>
      </c>
      <c r="P10" s="1"/>
      <c r="Q10" s="10">
        <v>24</v>
      </c>
      <c r="R10" s="15">
        <v>10.130000000000001</v>
      </c>
      <c r="S10" s="15">
        <v>0.51</v>
      </c>
      <c r="T10" s="15">
        <v>1.31</v>
      </c>
      <c r="U10" s="15">
        <v>3.62</v>
      </c>
      <c r="V10" s="15">
        <v>5.46</v>
      </c>
      <c r="W10" s="11">
        <v>0.15</v>
      </c>
      <c r="X10" s="1"/>
      <c r="Y10" s="13">
        <v>24</v>
      </c>
      <c r="Z10" s="16">
        <v>10.130000000000001</v>
      </c>
      <c r="AA10" s="16">
        <v>0.51</v>
      </c>
      <c r="AB10" s="16">
        <v>1.31</v>
      </c>
      <c r="AC10" s="16">
        <v>-0.76</v>
      </c>
      <c r="AD10" s="16">
        <v>-0.76</v>
      </c>
      <c r="AE10" s="16">
        <v>5.46</v>
      </c>
      <c r="AF10" s="14">
        <v>3.5</v>
      </c>
      <c r="AG10" s="1"/>
      <c r="AH10" s="1"/>
      <c r="AI10" s="1"/>
      <c r="AJ10" s="1"/>
      <c r="AK10" s="1"/>
      <c r="AL10" s="1"/>
      <c r="AM10" s="1"/>
      <c r="AN10" s="1"/>
      <c r="AO10" s="1"/>
    </row>
    <row r="11" spans="1:41" customFormat="1" ht="14.5" x14ac:dyDescent="0.25">
      <c r="A11" s="10">
        <v>25</v>
      </c>
      <c r="B11" s="17">
        <v>12.85</v>
      </c>
      <c r="C11" s="17">
        <v>0.56000000000000005</v>
      </c>
      <c r="D11" s="17">
        <v>1.29</v>
      </c>
      <c r="E11" s="17">
        <v>3.61</v>
      </c>
      <c r="F11" s="17">
        <v>5.61</v>
      </c>
      <c r="G11" s="12">
        <v>0.15</v>
      </c>
      <c r="H11" s="1"/>
      <c r="I11" s="13">
        <v>25</v>
      </c>
      <c r="J11" s="18">
        <v>12.85</v>
      </c>
      <c r="K11" s="18">
        <v>0.56000000000000005</v>
      </c>
      <c r="L11" s="18">
        <v>1.29</v>
      </c>
      <c r="M11" s="18">
        <v>3.08</v>
      </c>
      <c r="N11" s="18">
        <v>5.61</v>
      </c>
      <c r="O11" s="14">
        <v>0.15</v>
      </c>
      <c r="P11" s="1"/>
      <c r="Q11" s="10">
        <v>25</v>
      </c>
      <c r="R11" s="15">
        <v>10.28</v>
      </c>
      <c r="S11" s="15">
        <v>0.51</v>
      </c>
      <c r="T11" s="15">
        <v>1.33</v>
      </c>
      <c r="U11" s="15">
        <v>3.61</v>
      </c>
      <c r="V11" s="15">
        <v>5.61</v>
      </c>
      <c r="W11" s="11">
        <v>0.15</v>
      </c>
      <c r="X11" s="1"/>
      <c r="Y11" s="13">
        <v>25</v>
      </c>
      <c r="Z11" s="16">
        <v>10.28</v>
      </c>
      <c r="AA11" s="16">
        <v>0.51</v>
      </c>
      <c r="AB11" s="16">
        <v>1.33</v>
      </c>
      <c r="AC11" s="16">
        <v>-0.78</v>
      </c>
      <c r="AD11" s="16">
        <v>-0.78</v>
      </c>
      <c r="AE11" s="16">
        <v>5.61</v>
      </c>
      <c r="AF11" s="14">
        <v>3.5</v>
      </c>
      <c r="AG11" s="1"/>
      <c r="AH11" s="1"/>
      <c r="AI11" s="1"/>
      <c r="AJ11" s="1"/>
      <c r="AK11" s="1"/>
      <c r="AL11" s="1"/>
      <c r="AM11" s="1"/>
      <c r="AN11" s="1"/>
      <c r="AO11" s="1"/>
    </row>
    <row r="12" spans="1:41" customFormat="1" ht="14.5" x14ac:dyDescent="0.25">
      <c r="A12" s="10">
        <v>26</v>
      </c>
      <c r="B12" s="17">
        <v>13.04</v>
      </c>
      <c r="C12" s="17">
        <v>0.56999999999999995</v>
      </c>
      <c r="D12" s="17">
        <v>1.31</v>
      </c>
      <c r="E12" s="17">
        <v>3.61</v>
      </c>
      <c r="F12" s="17">
        <v>5.77</v>
      </c>
      <c r="G12" s="12">
        <v>0.15</v>
      </c>
      <c r="H12" s="1"/>
      <c r="I12" s="13">
        <v>26</v>
      </c>
      <c r="J12" s="18">
        <v>13.04</v>
      </c>
      <c r="K12" s="18">
        <v>0.56999999999999995</v>
      </c>
      <c r="L12" s="18">
        <v>1.31</v>
      </c>
      <c r="M12" s="18">
        <v>3.08</v>
      </c>
      <c r="N12" s="18">
        <v>5.77</v>
      </c>
      <c r="O12" s="14">
        <v>0.15</v>
      </c>
      <c r="P12" s="1"/>
      <c r="Q12" s="10">
        <v>26</v>
      </c>
      <c r="R12" s="15">
        <v>10.43</v>
      </c>
      <c r="S12" s="15">
        <v>0.52</v>
      </c>
      <c r="T12" s="15">
        <v>1.35</v>
      </c>
      <c r="U12" s="15">
        <v>3.61</v>
      </c>
      <c r="V12" s="15">
        <v>5.77</v>
      </c>
      <c r="W12" s="11">
        <v>0.15</v>
      </c>
      <c r="X12" s="1"/>
      <c r="Y12" s="13">
        <v>26</v>
      </c>
      <c r="Z12" s="16">
        <v>10.43</v>
      </c>
      <c r="AA12" s="16">
        <v>0.52</v>
      </c>
      <c r="AB12" s="16">
        <v>1.35</v>
      </c>
      <c r="AC12" s="16">
        <v>-0.79</v>
      </c>
      <c r="AD12" s="16">
        <v>-0.79</v>
      </c>
      <c r="AE12" s="16">
        <v>5.77</v>
      </c>
      <c r="AF12" s="14">
        <v>3.5</v>
      </c>
      <c r="AG12" s="1"/>
      <c r="AH12" s="1"/>
      <c r="AI12" s="1"/>
      <c r="AJ12" s="1"/>
      <c r="AK12" s="1"/>
      <c r="AL12" s="1"/>
      <c r="AM12" s="1"/>
      <c r="AN12" s="1"/>
      <c r="AO12" s="1"/>
    </row>
    <row r="13" spans="1:41" customFormat="1" ht="14.5" x14ac:dyDescent="0.25">
      <c r="A13" s="10">
        <v>27</v>
      </c>
      <c r="B13" s="17">
        <v>13.24</v>
      </c>
      <c r="C13" s="17">
        <v>0.57999999999999996</v>
      </c>
      <c r="D13" s="17">
        <v>1.33</v>
      </c>
      <c r="E13" s="17">
        <v>3.6</v>
      </c>
      <c r="F13" s="17">
        <v>5.92</v>
      </c>
      <c r="G13" s="12">
        <v>0.15</v>
      </c>
      <c r="H13" s="1"/>
      <c r="I13" s="13">
        <v>27</v>
      </c>
      <c r="J13" s="18">
        <v>13.24</v>
      </c>
      <c r="K13" s="18">
        <v>0.57999999999999996</v>
      </c>
      <c r="L13" s="18">
        <v>1.33</v>
      </c>
      <c r="M13" s="18">
        <v>3.07</v>
      </c>
      <c r="N13" s="18">
        <v>5.92</v>
      </c>
      <c r="O13" s="14">
        <v>0.15</v>
      </c>
      <c r="P13" s="1"/>
      <c r="Q13" s="10">
        <v>27</v>
      </c>
      <c r="R13" s="15">
        <v>10.58</v>
      </c>
      <c r="S13" s="15">
        <v>0.53</v>
      </c>
      <c r="T13" s="15">
        <v>1.37</v>
      </c>
      <c r="U13" s="15">
        <v>3.6</v>
      </c>
      <c r="V13" s="15">
        <v>5.92</v>
      </c>
      <c r="W13" s="11">
        <v>0.15</v>
      </c>
      <c r="X13" s="1"/>
      <c r="Y13" s="13">
        <v>27</v>
      </c>
      <c r="Z13" s="16">
        <v>10.58</v>
      </c>
      <c r="AA13" s="16">
        <v>0.53</v>
      </c>
      <c r="AB13" s="16">
        <v>1.37</v>
      </c>
      <c r="AC13" s="16">
        <v>-0.81</v>
      </c>
      <c r="AD13" s="16">
        <v>-0.81</v>
      </c>
      <c r="AE13" s="16">
        <v>5.92</v>
      </c>
      <c r="AF13" s="14">
        <v>3.5</v>
      </c>
      <c r="AG13" s="1"/>
      <c r="AH13" s="1"/>
      <c r="AI13" s="1"/>
      <c r="AJ13" s="1"/>
      <c r="AK13" s="1"/>
      <c r="AL13" s="1"/>
      <c r="AM13" s="1"/>
      <c r="AN13" s="1"/>
      <c r="AO13" s="1"/>
    </row>
    <row r="14" spans="1:41" customFormat="1" ht="14.5" x14ac:dyDescent="0.25">
      <c r="A14" s="10">
        <v>28</v>
      </c>
      <c r="B14" s="17">
        <v>13.44</v>
      </c>
      <c r="C14" s="17">
        <v>0.59</v>
      </c>
      <c r="D14" s="17">
        <v>1.35</v>
      </c>
      <c r="E14" s="17">
        <v>3.59</v>
      </c>
      <c r="F14" s="17">
        <v>6.08</v>
      </c>
      <c r="G14" s="12">
        <v>0.15</v>
      </c>
      <c r="H14" s="1"/>
      <c r="I14" s="13">
        <v>28</v>
      </c>
      <c r="J14" s="18">
        <v>13.44</v>
      </c>
      <c r="K14" s="18">
        <v>0.59</v>
      </c>
      <c r="L14" s="18">
        <v>1.35</v>
      </c>
      <c r="M14" s="18">
        <v>3.07</v>
      </c>
      <c r="N14" s="18">
        <v>6.08</v>
      </c>
      <c r="O14" s="14">
        <v>0.15</v>
      </c>
      <c r="P14" s="1"/>
      <c r="Q14" s="10">
        <v>28</v>
      </c>
      <c r="R14" s="15">
        <v>10.73</v>
      </c>
      <c r="S14" s="15">
        <v>0.54</v>
      </c>
      <c r="T14" s="15">
        <v>1.39</v>
      </c>
      <c r="U14" s="15">
        <v>3.59</v>
      </c>
      <c r="V14" s="15">
        <v>6.08</v>
      </c>
      <c r="W14" s="11">
        <v>0.15</v>
      </c>
      <c r="X14" s="1"/>
      <c r="Y14" s="13">
        <v>28</v>
      </c>
      <c r="Z14" s="16">
        <v>10.73</v>
      </c>
      <c r="AA14" s="16">
        <v>0.54</v>
      </c>
      <c r="AB14" s="16">
        <v>1.39</v>
      </c>
      <c r="AC14" s="16">
        <v>-0.82</v>
      </c>
      <c r="AD14" s="16">
        <v>-0.82</v>
      </c>
      <c r="AE14" s="16">
        <v>6.08</v>
      </c>
      <c r="AF14" s="14">
        <v>3.5</v>
      </c>
      <c r="AG14" s="1"/>
      <c r="AH14" s="1"/>
      <c r="AI14" s="1"/>
      <c r="AJ14" s="1"/>
      <c r="AK14" s="1"/>
      <c r="AL14" s="1"/>
      <c r="AM14" s="1"/>
      <c r="AN14" s="1"/>
      <c r="AO14" s="1"/>
    </row>
    <row r="15" spans="1:41" customFormat="1" ht="14.5" x14ac:dyDescent="0.25">
      <c r="A15" s="10">
        <v>29</v>
      </c>
      <c r="B15" s="17">
        <v>13.64</v>
      </c>
      <c r="C15" s="17">
        <v>0.6</v>
      </c>
      <c r="D15" s="17">
        <v>1.37</v>
      </c>
      <c r="E15" s="17">
        <v>3.59</v>
      </c>
      <c r="F15" s="17">
        <v>6.25</v>
      </c>
      <c r="G15" s="12">
        <v>0.15</v>
      </c>
      <c r="H15" s="1"/>
      <c r="I15" s="13">
        <v>29</v>
      </c>
      <c r="J15" s="18">
        <v>13.64</v>
      </c>
      <c r="K15" s="18">
        <v>0.6</v>
      </c>
      <c r="L15" s="18">
        <v>1.37</v>
      </c>
      <c r="M15" s="18">
        <v>3.06</v>
      </c>
      <c r="N15" s="18">
        <v>6.25</v>
      </c>
      <c r="O15" s="14">
        <v>0.15</v>
      </c>
      <c r="P15" s="1"/>
      <c r="Q15" s="10">
        <v>29</v>
      </c>
      <c r="R15" s="15">
        <v>10.89</v>
      </c>
      <c r="S15" s="15">
        <v>0.55000000000000004</v>
      </c>
      <c r="T15" s="15">
        <v>1.4</v>
      </c>
      <c r="U15" s="15">
        <v>3.59</v>
      </c>
      <c r="V15" s="15">
        <v>6.25</v>
      </c>
      <c r="W15" s="11">
        <v>0.15</v>
      </c>
      <c r="X15" s="1"/>
      <c r="Y15" s="13">
        <v>29</v>
      </c>
      <c r="Z15" s="16">
        <v>10.89</v>
      </c>
      <c r="AA15" s="16">
        <v>0.55000000000000004</v>
      </c>
      <c r="AB15" s="16">
        <v>1.4</v>
      </c>
      <c r="AC15" s="16">
        <v>-0.84</v>
      </c>
      <c r="AD15" s="16">
        <v>-0.84</v>
      </c>
      <c r="AE15" s="16">
        <v>6.25</v>
      </c>
      <c r="AF15" s="14">
        <v>3.5</v>
      </c>
      <c r="AG15" s="1"/>
      <c r="AH15" s="1"/>
      <c r="AI15" s="1"/>
      <c r="AJ15" s="1"/>
      <c r="AK15" s="1"/>
      <c r="AL15" s="1"/>
      <c r="AM15" s="1"/>
      <c r="AN15" s="1"/>
      <c r="AO15" s="1"/>
    </row>
    <row r="16" spans="1:41" customFormat="1" ht="14.5" x14ac:dyDescent="0.25">
      <c r="A16" s="10">
        <v>30</v>
      </c>
      <c r="B16" s="17">
        <v>13.84</v>
      </c>
      <c r="C16" s="17">
        <v>0.61</v>
      </c>
      <c r="D16" s="17">
        <v>1.39</v>
      </c>
      <c r="E16" s="17">
        <v>3.58</v>
      </c>
      <c r="F16" s="17">
        <v>6.42</v>
      </c>
      <c r="G16" s="12">
        <v>0.15</v>
      </c>
      <c r="H16" s="1"/>
      <c r="I16" s="13">
        <v>30</v>
      </c>
      <c r="J16" s="18">
        <v>13.84</v>
      </c>
      <c r="K16" s="18">
        <v>0.61</v>
      </c>
      <c r="L16" s="18">
        <v>1.39</v>
      </c>
      <c r="M16" s="18">
        <v>3.06</v>
      </c>
      <c r="N16" s="18">
        <v>6.42</v>
      </c>
      <c r="O16" s="14">
        <v>0.15</v>
      </c>
      <c r="P16" s="1"/>
      <c r="Q16" s="10">
        <v>30</v>
      </c>
      <c r="R16" s="15">
        <v>11.04</v>
      </c>
      <c r="S16" s="15">
        <v>0.56000000000000005</v>
      </c>
      <c r="T16" s="15">
        <v>1.42</v>
      </c>
      <c r="U16" s="15">
        <v>3.58</v>
      </c>
      <c r="V16" s="15">
        <v>6.42</v>
      </c>
      <c r="W16" s="11">
        <v>0.15</v>
      </c>
      <c r="X16" s="1"/>
      <c r="Y16" s="13">
        <v>30</v>
      </c>
      <c r="Z16" s="16">
        <v>11.04</v>
      </c>
      <c r="AA16" s="16">
        <v>0.56000000000000005</v>
      </c>
      <c r="AB16" s="16">
        <v>1.42</v>
      </c>
      <c r="AC16" s="16">
        <v>-0.86</v>
      </c>
      <c r="AD16" s="16">
        <v>-0.86</v>
      </c>
      <c r="AE16" s="16">
        <v>6.42</v>
      </c>
      <c r="AF16" s="14">
        <v>3.5</v>
      </c>
      <c r="AG16" s="1"/>
      <c r="AH16" s="1"/>
      <c r="AI16" s="1"/>
      <c r="AJ16" s="1"/>
      <c r="AK16" s="1"/>
      <c r="AL16" s="1"/>
      <c r="AM16" s="1"/>
      <c r="AN16" s="1"/>
      <c r="AO16" s="1"/>
    </row>
    <row r="17" spans="1:41" customFormat="1" ht="14.5" x14ac:dyDescent="0.25">
      <c r="A17" s="10">
        <v>31</v>
      </c>
      <c r="B17" s="17">
        <v>14.05</v>
      </c>
      <c r="C17" s="17">
        <v>0.62</v>
      </c>
      <c r="D17" s="17">
        <v>1.4</v>
      </c>
      <c r="E17" s="17">
        <v>3.58</v>
      </c>
      <c r="F17" s="17">
        <v>6.6</v>
      </c>
      <c r="G17" s="12">
        <v>0.15</v>
      </c>
      <c r="H17" s="1"/>
      <c r="I17" s="13">
        <v>31</v>
      </c>
      <c r="J17" s="18">
        <v>14.05</v>
      </c>
      <c r="K17" s="18">
        <v>0.62</v>
      </c>
      <c r="L17" s="18">
        <v>1.4</v>
      </c>
      <c r="M17" s="18">
        <v>3.05</v>
      </c>
      <c r="N17" s="18">
        <v>6.6</v>
      </c>
      <c r="O17" s="14">
        <v>0.15</v>
      </c>
      <c r="P17" s="1"/>
      <c r="Q17" s="10">
        <v>31</v>
      </c>
      <c r="R17" s="15">
        <v>11.2</v>
      </c>
      <c r="S17" s="15">
        <v>0.56999999999999995</v>
      </c>
      <c r="T17" s="15">
        <v>1.44</v>
      </c>
      <c r="U17" s="15">
        <v>3.58</v>
      </c>
      <c r="V17" s="15">
        <v>6.6</v>
      </c>
      <c r="W17" s="11">
        <v>0.15</v>
      </c>
      <c r="X17" s="1"/>
      <c r="Y17" s="13">
        <v>31</v>
      </c>
      <c r="Z17" s="16">
        <v>11.2</v>
      </c>
      <c r="AA17" s="16">
        <v>0.56999999999999995</v>
      </c>
      <c r="AB17" s="16">
        <v>1.44</v>
      </c>
      <c r="AC17" s="16">
        <v>-0.87</v>
      </c>
      <c r="AD17" s="16">
        <v>-0.87</v>
      </c>
      <c r="AE17" s="16">
        <v>6.6</v>
      </c>
      <c r="AF17" s="14">
        <v>3.5</v>
      </c>
      <c r="AG17" s="1"/>
      <c r="AH17" s="1"/>
      <c r="AI17" s="1"/>
      <c r="AJ17" s="1"/>
      <c r="AK17" s="1"/>
      <c r="AL17" s="1"/>
      <c r="AM17" s="1"/>
      <c r="AN17" s="1"/>
      <c r="AO17" s="1"/>
    </row>
    <row r="18" spans="1:41" customFormat="1" ht="14.5" x14ac:dyDescent="0.25">
      <c r="A18" s="10">
        <v>32</v>
      </c>
      <c r="B18" s="17">
        <v>14.26</v>
      </c>
      <c r="C18" s="17">
        <v>0.63</v>
      </c>
      <c r="D18" s="17">
        <v>1.42</v>
      </c>
      <c r="E18" s="17">
        <v>3.57</v>
      </c>
      <c r="F18" s="17">
        <v>6.78</v>
      </c>
      <c r="G18" s="12">
        <v>0.15</v>
      </c>
      <c r="H18" s="1"/>
      <c r="I18" s="13">
        <v>32</v>
      </c>
      <c r="J18" s="18">
        <v>14.26</v>
      </c>
      <c r="K18" s="18">
        <v>0.63</v>
      </c>
      <c r="L18" s="18">
        <v>1.42</v>
      </c>
      <c r="M18" s="18">
        <v>3.04</v>
      </c>
      <c r="N18" s="18">
        <v>6.78</v>
      </c>
      <c r="O18" s="14">
        <v>0.15</v>
      </c>
      <c r="P18" s="1"/>
      <c r="Q18" s="10">
        <v>32</v>
      </c>
      <c r="R18" s="15">
        <v>11.37</v>
      </c>
      <c r="S18" s="15">
        <v>0.57999999999999996</v>
      </c>
      <c r="T18" s="15">
        <v>1.46</v>
      </c>
      <c r="U18" s="15">
        <v>3.57</v>
      </c>
      <c r="V18" s="15">
        <v>6.78</v>
      </c>
      <c r="W18" s="11">
        <v>0.15</v>
      </c>
      <c r="X18" s="1"/>
      <c r="Y18" s="13">
        <v>32</v>
      </c>
      <c r="Z18" s="16">
        <v>11.37</v>
      </c>
      <c r="AA18" s="16">
        <v>0.57999999999999996</v>
      </c>
      <c r="AB18" s="16">
        <v>1.46</v>
      </c>
      <c r="AC18" s="16">
        <v>-0.89</v>
      </c>
      <c r="AD18" s="16">
        <v>-0.89</v>
      </c>
      <c r="AE18" s="16">
        <v>6.78</v>
      </c>
      <c r="AF18" s="14">
        <v>3.5</v>
      </c>
      <c r="AG18" s="1"/>
      <c r="AH18" s="1"/>
      <c r="AI18" s="1"/>
      <c r="AJ18" s="1"/>
      <c r="AK18" s="1"/>
      <c r="AL18" s="1"/>
      <c r="AM18" s="1"/>
      <c r="AN18" s="1"/>
      <c r="AO18" s="1"/>
    </row>
    <row r="19" spans="1:41" customFormat="1" ht="14.5" x14ac:dyDescent="0.25">
      <c r="A19" s="10">
        <v>33</v>
      </c>
      <c r="B19" s="17">
        <v>14.47</v>
      </c>
      <c r="C19" s="17">
        <v>0.64</v>
      </c>
      <c r="D19" s="17">
        <v>1.44</v>
      </c>
      <c r="E19" s="17">
        <v>3.56</v>
      </c>
      <c r="F19" s="17">
        <v>6.96</v>
      </c>
      <c r="G19" s="12">
        <v>0.15</v>
      </c>
      <c r="H19" s="1"/>
      <c r="I19" s="13">
        <v>33</v>
      </c>
      <c r="J19" s="18">
        <v>14.47</v>
      </c>
      <c r="K19" s="18">
        <v>0.64</v>
      </c>
      <c r="L19" s="18">
        <v>1.44</v>
      </c>
      <c r="M19" s="18">
        <v>3.04</v>
      </c>
      <c r="N19" s="18">
        <v>6.96</v>
      </c>
      <c r="O19" s="14">
        <v>0.15</v>
      </c>
      <c r="P19" s="1"/>
      <c r="Q19" s="10">
        <v>33</v>
      </c>
      <c r="R19" s="15">
        <v>11.53</v>
      </c>
      <c r="S19" s="15">
        <v>0.59</v>
      </c>
      <c r="T19" s="15">
        <v>1.48</v>
      </c>
      <c r="U19" s="15">
        <v>3.56</v>
      </c>
      <c r="V19" s="15">
        <v>6.96</v>
      </c>
      <c r="W19" s="11">
        <v>0.15</v>
      </c>
      <c r="X19" s="1"/>
      <c r="Y19" s="13">
        <v>33</v>
      </c>
      <c r="Z19" s="16">
        <v>11.53</v>
      </c>
      <c r="AA19" s="16">
        <v>0.59</v>
      </c>
      <c r="AB19" s="16">
        <v>1.48</v>
      </c>
      <c r="AC19" s="16">
        <v>-0.9</v>
      </c>
      <c r="AD19" s="16">
        <v>-0.9</v>
      </c>
      <c r="AE19" s="16">
        <v>6.96</v>
      </c>
      <c r="AF19" s="14">
        <v>3.5</v>
      </c>
      <c r="AG19" s="1"/>
      <c r="AH19" s="1"/>
      <c r="AI19" s="1"/>
      <c r="AJ19" s="1"/>
      <c r="AK19" s="1"/>
      <c r="AL19" s="1"/>
      <c r="AM19" s="1"/>
      <c r="AN19" s="1"/>
      <c r="AO19" s="1"/>
    </row>
    <row r="20" spans="1:41" customFormat="1" ht="14.5" x14ac:dyDescent="0.25">
      <c r="A20" s="10">
        <v>34</v>
      </c>
      <c r="B20" s="17">
        <v>14.69</v>
      </c>
      <c r="C20" s="17">
        <v>0.65</v>
      </c>
      <c r="D20" s="17">
        <v>1.46</v>
      </c>
      <c r="E20" s="17">
        <v>3.56</v>
      </c>
      <c r="F20" s="17">
        <v>7.15</v>
      </c>
      <c r="G20" s="12">
        <v>0.15</v>
      </c>
      <c r="H20" s="1"/>
      <c r="I20" s="13">
        <v>34</v>
      </c>
      <c r="J20" s="18">
        <v>14.69</v>
      </c>
      <c r="K20" s="18">
        <v>0.65</v>
      </c>
      <c r="L20" s="18">
        <v>1.46</v>
      </c>
      <c r="M20" s="18">
        <v>3.03</v>
      </c>
      <c r="N20" s="18">
        <v>7.15</v>
      </c>
      <c r="O20" s="14">
        <v>0.15</v>
      </c>
      <c r="P20" s="1"/>
      <c r="Q20" s="10">
        <v>34</v>
      </c>
      <c r="R20" s="15">
        <v>11.7</v>
      </c>
      <c r="S20" s="15">
        <v>0.6</v>
      </c>
      <c r="T20" s="15">
        <v>1.5</v>
      </c>
      <c r="U20" s="15">
        <v>3.56</v>
      </c>
      <c r="V20" s="15">
        <v>7.15</v>
      </c>
      <c r="W20" s="11">
        <v>0.15</v>
      </c>
      <c r="X20" s="1"/>
      <c r="Y20" s="13">
        <v>34</v>
      </c>
      <c r="Z20" s="16">
        <v>11.7</v>
      </c>
      <c r="AA20" s="16">
        <v>0.6</v>
      </c>
      <c r="AB20" s="16">
        <v>1.5</v>
      </c>
      <c r="AC20" s="16">
        <v>-0.92</v>
      </c>
      <c r="AD20" s="16">
        <v>-0.92</v>
      </c>
      <c r="AE20" s="16">
        <v>7.15</v>
      </c>
      <c r="AF20" s="14">
        <v>3.5</v>
      </c>
      <c r="AG20" s="1"/>
      <c r="AH20" s="1"/>
      <c r="AI20" s="1"/>
      <c r="AJ20" s="1"/>
      <c r="AK20" s="1"/>
      <c r="AL20" s="1"/>
      <c r="AM20" s="1"/>
      <c r="AN20" s="1"/>
      <c r="AO20" s="1"/>
    </row>
    <row r="21" spans="1:41" customFormat="1" ht="14.5" x14ac:dyDescent="0.25">
      <c r="A21" s="10">
        <v>35</v>
      </c>
      <c r="B21" s="17">
        <v>14.91</v>
      </c>
      <c r="C21" s="17">
        <v>0.66</v>
      </c>
      <c r="D21" s="17">
        <v>1.48</v>
      </c>
      <c r="E21" s="17">
        <v>3.55</v>
      </c>
      <c r="F21" s="17">
        <v>7.35</v>
      </c>
      <c r="G21" s="12">
        <v>0.15</v>
      </c>
      <c r="H21" s="1"/>
      <c r="I21" s="13">
        <v>35</v>
      </c>
      <c r="J21" s="18">
        <v>14.91</v>
      </c>
      <c r="K21" s="18">
        <v>0.66</v>
      </c>
      <c r="L21" s="18">
        <v>1.48</v>
      </c>
      <c r="M21" s="18">
        <v>3.03</v>
      </c>
      <c r="N21" s="18">
        <v>7.35</v>
      </c>
      <c r="O21" s="14">
        <v>0.15</v>
      </c>
      <c r="P21" s="1"/>
      <c r="Q21" s="10">
        <v>35</v>
      </c>
      <c r="R21" s="15">
        <v>11.87</v>
      </c>
      <c r="S21" s="15">
        <v>0.61</v>
      </c>
      <c r="T21" s="15">
        <v>1.52</v>
      </c>
      <c r="U21" s="15">
        <v>3.55</v>
      </c>
      <c r="V21" s="15">
        <v>7.35</v>
      </c>
      <c r="W21" s="11">
        <v>0.15</v>
      </c>
      <c r="X21" s="1"/>
      <c r="Y21" s="13">
        <v>35</v>
      </c>
      <c r="Z21" s="16">
        <v>11.87</v>
      </c>
      <c r="AA21" s="16">
        <v>0.61</v>
      </c>
      <c r="AB21" s="16">
        <v>1.52</v>
      </c>
      <c r="AC21" s="16">
        <v>-0.94</v>
      </c>
      <c r="AD21" s="16">
        <v>-0.94</v>
      </c>
      <c r="AE21" s="16">
        <v>7.35</v>
      </c>
      <c r="AF21" s="14">
        <v>3.5</v>
      </c>
      <c r="AG21" s="1"/>
      <c r="AH21" s="1"/>
      <c r="AI21" s="1"/>
      <c r="AJ21" s="1"/>
      <c r="AK21" s="1"/>
      <c r="AL21" s="1"/>
      <c r="AM21" s="1"/>
      <c r="AN21" s="1"/>
      <c r="AO21" s="1"/>
    </row>
    <row r="22" spans="1:41" customFormat="1" ht="14.5" x14ac:dyDescent="0.25">
      <c r="A22" s="10">
        <v>36</v>
      </c>
      <c r="B22" s="17">
        <v>15.14</v>
      </c>
      <c r="C22" s="17">
        <v>0.67</v>
      </c>
      <c r="D22" s="17">
        <v>1.49</v>
      </c>
      <c r="E22" s="17">
        <v>3.55</v>
      </c>
      <c r="F22" s="17">
        <v>7.55</v>
      </c>
      <c r="G22" s="12">
        <v>0.15</v>
      </c>
      <c r="H22" s="1"/>
      <c r="I22" s="13">
        <v>36</v>
      </c>
      <c r="J22" s="18">
        <v>15.14</v>
      </c>
      <c r="K22" s="18">
        <v>0.67</v>
      </c>
      <c r="L22" s="18">
        <v>1.49</v>
      </c>
      <c r="M22" s="18">
        <v>3.03</v>
      </c>
      <c r="N22" s="18">
        <v>7.55</v>
      </c>
      <c r="O22" s="14">
        <v>0.15</v>
      </c>
      <c r="P22" s="1"/>
      <c r="Q22" s="10">
        <v>36</v>
      </c>
      <c r="R22" s="15">
        <v>12.04</v>
      </c>
      <c r="S22" s="15">
        <v>0.62</v>
      </c>
      <c r="T22" s="15">
        <v>1.54</v>
      </c>
      <c r="U22" s="15">
        <v>3.55</v>
      </c>
      <c r="V22" s="15">
        <v>7.55</v>
      </c>
      <c r="W22" s="11">
        <v>0.15</v>
      </c>
      <c r="X22" s="1"/>
      <c r="Y22" s="13">
        <v>36</v>
      </c>
      <c r="Z22" s="16">
        <v>12.04</v>
      </c>
      <c r="AA22" s="16">
        <v>0.62</v>
      </c>
      <c r="AB22" s="16">
        <v>1.54</v>
      </c>
      <c r="AC22" s="16">
        <v>-0.96</v>
      </c>
      <c r="AD22" s="16">
        <v>-0.96</v>
      </c>
      <c r="AE22" s="16">
        <v>7.55</v>
      </c>
      <c r="AF22" s="14">
        <v>3.5</v>
      </c>
      <c r="AG22" s="1"/>
      <c r="AH22" s="1"/>
      <c r="AI22" s="1"/>
      <c r="AJ22" s="1"/>
      <c r="AK22" s="1"/>
      <c r="AL22" s="1"/>
      <c r="AM22" s="1"/>
      <c r="AN22" s="1"/>
      <c r="AO22" s="1"/>
    </row>
    <row r="23" spans="1:41" customFormat="1" ht="14.5" x14ac:dyDescent="0.25">
      <c r="A23" s="10">
        <v>37</v>
      </c>
      <c r="B23" s="17">
        <v>15.37</v>
      </c>
      <c r="C23" s="17">
        <v>0.68</v>
      </c>
      <c r="D23" s="17">
        <v>1.51</v>
      </c>
      <c r="E23" s="17">
        <v>3.54</v>
      </c>
      <c r="F23" s="17">
        <v>7.76</v>
      </c>
      <c r="G23" s="12">
        <v>0.15</v>
      </c>
      <c r="H23" s="1"/>
      <c r="I23" s="13">
        <v>37</v>
      </c>
      <c r="J23" s="18">
        <v>15.37</v>
      </c>
      <c r="K23" s="18">
        <v>0.68</v>
      </c>
      <c r="L23" s="18">
        <v>1.51</v>
      </c>
      <c r="M23" s="18">
        <v>3.02</v>
      </c>
      <c r="N23" s="18">
        <v>7.76</v>
      </c>
      <c r="O23" s="14">
        <v>0.15</v>
      </c>
      <c r="P23" s="1"/>
      <c r="Q23" s="10">
        <v>37</v>
      </c>
      <c r="R23" s="15">
        <v>12.22</v>
      </c>
      <c r="S23" s="15">
        <v>0.63</v>
      </c>
      <c r="T23" s="15">
        <v>1.56</v>
      </c>
      <c r="U23" s="15">
        <v>3.54</v>
      </c>
      <c r="V23" s="15">
        <v>7.76</v>
      </c>
      <c r="W23" s="11">
        <v>0.15</v>
      </c>
      <c r="X23" s="1"/>
      <c r="Y23" s="13">
        <v>37</v>
      </c>
      <c r="Z23" s="16">
        <v>12.22</v>
      </c>
      <c r="AA23" s="16">
        <v>0.63</v>
      </c>
      <c r="AB23" s="16">
        <v>1.56</v>
      </c>
      <c r="AC23" s="16">
        <v>-0.97</v>
      </c>
      <c r="AD23" s="16">
        <v>-0.97</v>
      </c>
      <c r="AE23" s="16">
        <v>7.76</v>
      </c>
      <c r="AF23" s="14">
        <v>3.5</v>
      </c>
      <c r="AG23" s="1"/>
      <c r="AH23" s="1"/>
      <c r="AI23" s="1"/>
      <c r="AJ23" s="1"/>
      <c r="AK23" s="1"/>
      <c r="AL23" s="1"/>
      <c r="AM23" s="1"/>
      <c r="AN23" s="1"/>
      <c r="AO23" s="1"/>
    </row>
    <row r="24" spans="1:41" customFormat="1" ht="14.5" x14ac:dyDescent="0.25">
      <c r="A24" s="10">
        <v>38</v>
      </c>
      <c r="B24" s="17">
        <v>15.6</v>
      </c>
      <c r="C24" s="17">
        <v>0.7</v>
      </c>
      <c r="D24" s="17">
        <v>1.53</v>
      </c>
      <c r="E24" s="17">
        <v>3.54</v>
      </c>
      <c r="F24" s="17">
        <v>7.97</v>
      </c>
      <c r="G24" s="12">
        <v>0.15</v>
      </c>
      <c r="H24" s="1"/>
      <c r="I24" s="13">
        <v>38</v>
      </c>
      <c r="J24" s="18">
        <v>15.6</v>
      </c>
      <c r="K24" s="18">
        <v>0.7</v>
      </c>
      <c r="L24" s="18">
        <v>1.53</v>
      </c>
      <c r="M24" s="18">
        <v>3.02</v>
      </c>
      <c r="N24" s="18">
        <v>7.97</v>
      </c>
      <c r="O24" s="14">
        <v>0.15</v>
      </c>
      <c r="P24" s="1"/>
      <c r="Q24" s="10">
        <v>38</v>
      </c>
      <c r="R24" s="15">
        <v>12.4</v>
      </c>
      <c r="S24" s="15">
        <v>0.64</v>
      </c>
      <c r="T24" s="15">
        <v>1.57</v>
      </c>
      <c r="U24" s="15">
        <v>3.54</v>
      </c>
      <c r="V24" s="15">
        <v>7.97</v>
      </c>
      <c r="W24" s="11">
        <v>0.15</v>
      </c>
      <c r="X24" s="1"/>
      <c r="Y24" s="13">
        <v>38</v>
      </c>
      <c r="Z24" s="16">
        <v>12.4</v>
      </c>
      <c r="AA24" s="16">
        <v>0.64</v>
      </c>
      <c r="AB24" s="16">
        <v>1.57</v>
      </c>
      <c r="AC24" s="16">
        <v>-0.99</v>
      </c>
      <c r="AD24" s="16">
        <v>-0.99</v>
      </c>
      <c r="AE24" s="16">
        <v>7.97</v>
      </c>
      <c r="AF24" s="14">
        <v>3.5</v>
      </c>
      <c r="AG24" s="1"/>
      <c r="AH24" s="1"/>
      <c r="AI24" s="1"/>
      <c r="AJ24" s="1"/>
      <c r="AK24" s="1"/>
      <c r="AL24" s="1"/>
      <c r="AM24" s="1"/>
      <c r="AN24" s="1"/>
      <c r="AO24" s="1"/>
    </row>
    <row r="25" spans="1:41" customFormat="1" ht="14.5" x14ac:dyDescent="0.25">
      <c r="A25" s="10">
        <v>39</v>
      </c>
      <c r="B25" s="17">
        <v>15.84</v>
      </c>
      <c r="C25" s="17">
        <v>0.71</v>
      </c>
      <c r="D25" s="17">
        <v>1.54</v>
      </c>
      <c r="E25" s="17">
        <v>3.53</v>
      </c>
      <c r="F25" s="17">
        <v>8.19</v>
      </c>
      <c r="G25" s="12">
        <v>0.15</v>
      </c>
      <c r="H25" s="1"/>
      <c r="I25" s="13">
        <v>39</v>
      </c>
      <c r="J25" s="18">
        <v>15.84</v>
      </c>
      <c r="K25" s="18">
        <v>0.71</v>
      </c>
      <c r="L25" s="18">
        <v>1.54</v>
      </c>
      <c r="M25" s="18">
        <v>3.01</v>
      </c>
      <c r="N25" s="18">
        <v>8.19</v>
      </c>
      <c r="O25" s="14">
        <v>0.15</v>
      </c>
      <c r="P25" s="1"/>
      <c r="Q25" s="10">
        <v>39</v>
      </c>
      <c r="R25" s="15">
        <v>12.58</v>
      </c>
      <c r="S25" s="15">
        <v>0.65</v>
      </c>
      <c r="T25" s="15">
        <v>1.59</v>
      </c>
      <c r="U25" s="15">
        <v>3.53</v>
      </c>
      <c r="V25" s="15">
        <v>8.19</v>
      </c>
      <c r="W25" s="11">
        <v>0.15</v>
      </c>
      <c r="X25" s="1"/>
      <c r="Y25" s="13">
        <v>39</v>
      </c>
      <c r="Z25" s="16">
        <v>12.58</v>
      </c>
      <c r="AA25" s="16">
        <v>0.65</v>
      </c>
      <c r="AB25" s="16">
        <v>1.59</v>
      </c>
      <c r="AC25" s="16">
        <v>-1.01</v>
      </c>
      <c r="AD25" s="16">
        <v>-1.01</v>
      </c>
      <c r="AE25" s="16">
        <v>8.19</v>
      </c>
      <c r="AF25" s="14">
        <v>3.5</v>
      </c>
      <c r="AG25" s="1"/>
      <c r="AH25" s="1"/>
      <c r="AI25" s="1"/>
      <c r="AJ25" s="1"/>
      <c r="AK25" s="1"/>
      <c r="AL25" s="1"/>
      <c r="AM25" s="1"/>
      <c r="AN25" s="1"/>
      <c r="AO25" s="1"/>
    </row>
    <row r="26" spans="1:41" customFormat="1" ht="14.5" x14ac:dyDescent="0.25">
      <c r="A26" s="10">
        <v>40</v>
      </c>
      <c r="B26" s="17">
        <v>16.079999999999998</v>
      </c>
      <c r="C26" s="17">
        <v>0.72</v>
      </c>
      <c r="D26" s="17">
        <v>1.56</v>
      </c>
      <c r="E26" s="17">
        <v>3.53</v>
      </c>
      <c r="F26" s="17">
        <v>8.42</v>
      </c>
      <c r="G26" s="12">
        <v>0.15</v>
      </c>
      <c r="H26" s="1"/>
      <c r="I26" s="13">
        <v>40</v>
      </c>
      <c r="J26" s="18">
        <v>16.079999999999998</v>
      </c>
      <c r="K26" s="18">
        <v>0.72</v>
      </c>
      <c r="L26" s="18">
        <v>1.56</v>
      </c>
      <c r="M26" s="18">
        <v>3.01</v>
      </c>
      <c r="N26" s="18">
        <v>8.42</v>
      </c>
      <c r="O26" s="14">
        <v>0.15</v>
      </c>
      <c r="P26" s="1"/>
      <c r="Q26" s="10">
        <v>40</v>
      </c>
      <c r="R26" s="15">
        <v>12.76</v>
      </c>
      <c r="S26" s="15">
        <v>0.66</v>
      </c>
      <c r="T26" s="15">
        <v>1.61</v>
      </c>
      <c r="U26" s="15">
        <v>3.53</v>
      </c>
      <c r="V26" s="15">
        <v>8.42</v>
      </c>
      <c r="W26" s="11">
        <v>0.15</v>
      </c>
      <c r="X26" s="1"/>
      <c r="Y26" s="13">
        <v>40</v>
      </c>
      <c r="Z26" s="16">
        <v>12.76</v>
      </c>
      <c r="AA26" s="16">
        <v>0.66</v>
      </c>
      <c r="AB26" s="16">
        <v>1.61</v>
      </c>
      <c r="AC26" s="16">
        <v>-1.02</v>
      </c>
      <c r="AD26" s="16">
        <v>-1.02</v>
      </c>
      <c r="AE26" s="16">
        <v>8.42</v>
      </c>
      <c r="AF26" s="14">
        <v>3.5</v>
      </c>
      <c r="AG26" s="1"/>
      <c r="AH26" s="1"/>
      <c r="AI26" s="1"/>
      <c r="AJ26" s="1"/>
      <c r="AK26" s="1"/>
      <c r="AL26" s="1"/>
      <c r="AM26" s="1"/>
      <c r="AN26" s="1"/>
      <c r="AO26" s="1"/>
    </row>
    <row r="27" spans="1:41" customFormat="1" ht="14.5" x14ac:dyDescent="0.25">
      <c r="A27" s="10">
        <v>41</v>
      </c>
      <c r="B27" s="17">
        <v>16.32</v>
      </c>
      <c r="C27" s="17">
        <v>0.73</v>
      </c>
      <c r="D27" s="17">
        <v>1.58</v>
      </c>
      <c r="E27" s="17">
        <v>3.52</v>
      </c>
      <c r="F27" s="17">
        <v>8.65</v>
      </c>
      <c r="G27" s="12">
        <v>0.15</v>
      </c>
      <c r="H27" s="1"/>
      <c r="I27" s="13">
        <v>41</v>
      </c>
      <c r="J27" s="18">
        <v>16.32</v>
      </c>
      <c r="K27" s="18">
        <v>0.73</v>
      </c>
      <c r="L27" s="18">
        <v>1.58</v>
      </c>
      <c r="M27" s="18">
        <v>3</v>
      </c>
      <c r="N27" s="18">
        <v>8.65</v>
      </c>
      <c r="O27" s="14">
        <v>0.15</v>
      </c>
      <c r="P27" s="1"/>
      <c r="Q27" s="10">
        <v>41</v>
      </c>
      <c r="R27" s="15">
        <v>12.95</v>
      </c>
      <c r="S27" s="15">
        <v>0.67</v>
      </c>
      <c r="T27" s="15">
        <v>1.63</v>
      </c>
      <c r="U27" s="15">
        <v>3.52</v>
      </c>
      <c r="V27" s="15">
        <v>8.65</v>
      </c>
      <c r="W27" s="11">
        <v>0.15</v>
      </c>
      <c r="X27" s="1"/>
      <c r="Y27" s="13">
        <v>41</v>
      </c>
      <c r="Z27" s="16">
        <v>12.95</v>
      </c>
      <c r="AA27" s="16">
        <v>0.67</v>
      </c>
      <c r="AB27" s="16">
        <v>1.63</v>
      </c>
      <c r="AC27" s="16">
        <v>-1.04</v>
      </c>
      <c r="AD27" s="16">
        <v>-1.04</v>
      </c>
      <c r="AE27" s="16">
        <v>8.65</v>
      </c>
      <c r="AF27" s="14">
        <v>3.5</v>
      </c>
      <c r="AG27" s="1"/>
      <c r="AH27" s="1"/>
      <c r="AI27" s="1"/>
      <c r="AJ27" s="1"/>
      <c r="AK27" s="1"/>
      <c r="AL27" s="1"/>
      <c r="AM27" s="1"/>
      <c r="AN27" s="1"/>
      <c r="AO27" s="1"/>
    </row>
    <row r="28" spans="1:41" customFormat="1" ht="14.5" x14ac:dyDescent="0.25">
      <c r="A28" s="10">
        <v>42</v>
      </c>
      <c r="B28" s="17">
        <v>16.57</v>
      </c>
      <c r="C28" s="17">
        <v>0.74</v>
      </c>
      <c r="D28" s="17">
        <v>1.59</v>
      </c>
      <c r="E28" s="17">
        <v>3.52</v>
      </c>
      <c r="F28" s="17">
        <v>8.9</v>
      </c>
      <c r="G28" s="12">
        <v>0.15</v>
      </c>
      <c r="H28" s="1"/>
      <c r="I28" s="13">
        <v>42</v>
      </c>
      <c r="J28" s="18">
        <v>16.57</v>
      </c>
      <c r="K28" s="18">
        <v>0.74</v>
      </c>
      <c r="L28" s="18">
        <v>1.59</v>
      </c>
      <c r="M28" s="18">
        <v>3</v>
      </c>
      <c r="N28" s="18">
        <v>8.9</v>
      </c>
      <c r="O28" s="14">
        <v>0.15</v>
      </c>
      <c r="P28" s="1"/>
      <c r="Q28" s="10">
        <v>42</v>
      </c>
      <c r="R28" s="15">
        <v>13.14</v>
      </c>
      <c r="S28" s="15">
        <v>0.68</v>
      </c>
      <c r="T28" s="15">
        <v>1.64</v>
      </c>
      <c r="U28" s="15">
        <v>3.52</v>
      </c>
      <c r="V28" s="15">
        <v>8.9</v>
      </c>
      <c r="W28" s="11">
        <v>0.15</v>
      </c>
      <c r="X28" s="1"/>
      <c r="Y28" s="13">
        <v>42</v>
      </c>
      <c r="Z28" s="16">
        <v>13.14</v>
      </c>
      <c r="AA28" s="16">
        <v>0.68</v>
      </c>
      <c r="AB28" s="16">
        <v>1.64</v>
      </c>
      <c r="AC28" s="16">
        <v>-1.06</v>
      </c>
      <c r="AD28" s="16">
        <v>-1.06</v>
      </c>
      <c r="AE28" s="16">
        <v>8.9</v>
      </c>
      <c r="AF28" s="14">
        <v>3.5</v>
      </c>
      <c r="AG28" s="1"/>
      <c r="AH28" s="1"/>
      <c r="AI28" s="1"/>
      <c r="AJ28" s="1"/>
      <c r="AK28" s="1"/>
      <c r="AL28" s="1"/>
      <c r="AM28" s="1"/>
      <c r="AN28" s="1"/>
      <c r="AO28" s="1"/>
    </row>
    <row r="29" spans="1:41" customFormat="1" ht="14.5" x14ac:dyDescent="0.25">
      <c r="A29" s="10">
        <v>43</v>
      </c>
      <c r="B29" s="17">
        <v>16.829999999999998</v>
      </c>
      <c r="C29" s="17">
        <v>0.76</v>
      </c>
      <c r="D29" s="17">
        <v>1.61</v>
      </c>
      <c r="E29" s="17">
        <v>3.52</v>
      </c>
      <c r="F29" s="17">
        <v>9.14</v>
      </c>
      <c r="G29" s="12">
        <v>0.15</v>
      </c>
      <c r="H29" s="1"/>
      <c r="I29" s="13">
        <v>43</v>
      </c>
      <c r="J29" s="18">
        <v>16.829999999999998</v>
      </c>
      <c r="K29" s="18">
        <v>0.76</v>
      </c>
      <c r="L29" s="18">
        <v>1.61</v>
      </c>
      <c r="M29" s="18">
        <v>3</v>
      </c>
      <c r="N29" s="18">
        <v>9.14</v>
      </c>
      <c r="O29" s="14">
        <v>0.15</v>
      </c>
      <c r="P29" s="1"/>
      <c r="Q29" s="10">
        <v>43</v>
      </c>
      <c r="R29" s="15">
        <v>13.34</v>
      </c>
      <c r="S29" s="15">
        <v>0.7</v>
      </c>
      <c r="T29" s="15">
        <v>1.66</v>
      </c>
      <c r="U29" s="15">
        <v>3.52</v>
      </c>
      <c r="V29" s="15">
        <v>9.14</v>
      </c>
      <c r="W29" s="11">
        <v>0.15</v>
      </c>
      <c r="X29" s="1"/>
      <c r="Y29" s="13">
        <v>43</v>
      </c>
      <c r="Z29" s="16">
        <v>13.34</v>
      </c>
      <c r="AA29" s="16">
        <v>0.7</v>
      </c>
      <c r="AB29" s="16">
        <v>1.66</v>
      </c>
      <c r="AC29" s="16">
        <v>-1.08</v>
      </c>
      <c r="AD29" s="16">
        <v>-1.08</v>
      </c>
      <c r="AE29" s="16">
        <v>9.14</v>
      </c>
      <c r="AF29" s="14">
        <v>3.5</v>
      </c>
      <c r="AG29" s="1"/>
      <c r="AH29" s="1"/>
      <c r="AI29" s="1"/>
      <c r="AJ29" s="1"/>
      <c r="AK29" s="1"/>
      <c r="AL29" s="1"/>
      <c r="AM29" s="1"/>
      <c r="AN29" s="1"/>
      <c r="AO29" s="1"/>
    </row>
    <row r="30" spans="1:41" customFormat="1" ht="14.5" x14ac:dyDescent="0.25">
      <c r="A30" s="10">
        <v>44</v>
      </c>
      <c r="B30" s="17">
        <v>17.079999999999998</v>
      </c>
      <c r="C30" s="17">
        <v>0.77</v>
      </c>
      <c r="D30" s="17">
        <v>1.62</v>
      </c>
      <c r="E30" s="17">
        <v>3.51</v>
      </c>
      <c r="F30" s="17">
        <v>9.4</v>
      </c>
      <c r="G30" s="12">
        <v>0.15</v>
      </c>
      <c r="H30" s="1"/>
      <c r="I30" s="13">
        <v>44</v>
      </c>
      <c r="J30" s="18">
        <v>17.079999999999998</v>
      </c>
      <c r="K30" s="18">
        <v>0.77</v>
      </c>
      <c r="L30" s="18">
        <v>1.62</v>
      </c>
      <c r="M30" s="18">
        <v>2.99</v>
      </c>
      <c r="N30" s="18">
        <v>9.4</v>
      </c>
      <c r="O30" s="14">
        <v>0.15</v>
      </c>
      <c r="P30" s="1"/>
      <c r="Q30" s="10">
        <v>44</v>
      </c>
      <c r="R30" s="15">
        <v>13.53</v>
      </c>
      <c r="S30" s="15">
        <v>0.71</v>
      </c>
      <c r="T30" s="15">
        <v>1.68</v>
      </c>
      <c r="U30" s="15">
        <v>3.51</v>
      </c>
      <c r="V30" s="15">
        <v>9.4</v>
      </c>
      <c r="W30" s="11">
        <v>0.15</v>
      </c>
      <c r="X30" s="1"/>
      <c r="Y30" s="13">
        <v>44</v>
      </c>
      <c r="Z30" s="16">
        <v>13.53</v>
      </c>
      <c r="AA30" s="16">
        <v>0.71</v>
      </c>
      <c r="AB30" s="16">
        <v>1.68</v>
      </c>
      <c r="AC30" s="16">
        <v>-1.1000000000000001</v>
      </c>
      <c r="AD30" s="16">
        <v>-1.1000000000000001</v>
      </c>
      <c r="AE30" s="16">
        <v>9.4</v>
      </c>
      <c r="AF30" s="14">
        <v>3.5</v>
      </c>
      <c r="AG30" s="1"/>
      <c r="AH30" s="1"/>
      <c r="AI30" s="1"/>
      <c r="AJ30" s="1"/>
      <c r="AK30" s="1"/>
      <c r="AL30" s="1"/>
      <c r="AM30" s="1"/>
      <c r="AN30" s="1"/>
      <c r="AO30" s="1"/>
    </row>
    <row r="31" spans="1:41" customFormat="1" ht="14.5" x14ac:dyDescent="0.25">
      <c r="A31" s="10">
        <v>45</v>
      </c>
      <c r="B31" s="17">
        <v>17.350000000000001</v>
      </c>
      <c r="C31" s="17">
        <v>0.78</v>
      </c>
      <c r="D31" s="17">
        <v>1.64</v>
      </c>
      <c r="E31" s="17">
        <v>3.51</v>
      </c>
      <c r="F31" s="17">
        <v>9.66</v>
      </c>
      <c r="G31" s="12">
        <v>0.15</v>
      </c>
      <c r="H31" s="1"/>
      <c r="I31" s="13">
        <v>45</v>
      </c>
      <c r="J31" s="18">
        <v>17.350000000000001</v>
      </c>
      <c r="K31" s="18">
        <v>0.78</v>
      </c>
      <c r="L31" s="18">
        <v>1.64</v>
      </c>
      <c r="M31" s="18">
        <v>2.99</v>
      </c>
      <c r="N31" s="18">
        <v>9.66</v>
      </c>
      <c r="O31" s="14">
        <v>0.15</v>
      </c>
      <c r="P31" s="1"/>
      <c r="Q31" s="10">
        <v>45</v>
      </c>
      <c r="R31" s="15">
        <v>13.74</v>
      </c>
      <c r="S31" s="15">
        <v>0.72</v>
      </c>
      <c r="T31" s="15">
        <v>1.69</v>
      </c>
      <c r="U31" s="15">
        <v>3.51</v>
      </c>
      <c r="V31" s="15">
        <v>9.66</v>
      </c>
      <c r="W31" s="11">
        <v>0.15</v>
      </c>
      <c r="X31" s="1"/>
      <c r="Y31" s="13">
        <v>45</v>
      </c>
      <c r="Z31" s="16">
        <v>13.74</v>
      </c>
      <c r="AA31" s="16">
        <v>0.72</v>
      </c>
      <c r="AB31" s="16">
        <v>1.69</v>
      </c>
      <c r="AC31" s="16">
        <v>-1.1100000000000001</v>
      </c>
      <c r="AD31" s="16">
        <v>-1.1100000000000001</v>
      </c>
      <c r="AE31" s="16">
        <v>9.66</v>
      </c>
      <c r="AF31" s="14">
        <v>3.5</v>
      </c>
      <c r="AG31" s="1"/>
      <c r="AH31" s="1"/>
      <c r="AI31" s="1"/>
      <c r="AJ31" s="1"/>
      <c r="AK31" s="1"/>
      <c r="AL31" s="1"/>
      <c r="AM31" s="1"/>
      <c r="AN31" s="1"/>
      <c r="AO31" s="1"/>
    </row>
    <row r="32" spans="1:41" customFormat="1" ht="14.5" x14ac:dyDescent="0.25">
      <c r="A32" s="10">
        <v>46</v>
      </c>
      <c r="B32" s="17">
        <v>17.62</v>
      </c>
      <c r="C32" s="17">
        <v>0.8</v>
      </c>
      <c r="D32" s="17">
        <v>1.65</v>
      </c>
      <c r="E32" s="17">
        <v>3.5</v>
      </c>
      <c r="F32" s="17">
        <v>9.93</v>
      </c>
      <c r="G32" s="12">
        <v>0.15</v>
      </c>
      <c r="H32" s="1"/>
      <c r="I32" s="13">
        <v>46</v>
      </c>
      <c r="J32" s="18">
        <v>17.62</v>
      </c>
      <c r="K32" s="18">
        <v>0.8</v>
      </c>
      <c r="L32" s="18">
        <v>1.65</v>
      </c>
      <c r="M32" s="18">
        <v>2.98</v>
      </c>
      <c r="N32" s="18">
        <v>9.93</v>
      </c>
      <c r="O32" s="14">
        <v>0.15</v>
      </c>
      <c r="P32" s="1"/>
      <c r="Q32" s="10">
        <v>46</v>
      </c>
      <c r="R32" s="15">
        <v>13.94</v>
      </c>
      <c r="S32" s="15">
        <v>0.73</v>
      </c>
      <c r="T32" s="15">
        <v>1.71</v>
      </c>
      <c r="U32" s="15">
        <v>3.5</v>
      </c>
      <c r="V32" s="15">
        <v>9.93</v>
      </c>
      <c r="W32" s="11">
        <v>0.15</v>
      </c>
      <c r="X32" s="1"/>
      <c r="Y32" s="13">
        <v>46</v>
      </c>
      <c r="Z32" s="16">
        <v>13.94</v>
      </c>
      <c r="AA32" s="16">
        <v>0.73</v>
      </c>
      <c r="AB32" s="16">
        <v>1.71</v>
      </c>
      <c r="AC32" s="16">
        <v>-1.1299999999999999</v>
      </c>
      <c r="AD32" s="16">
        <v>-1.1299999999999999</v>
      </c>
      <c r="AE32" s="16">
        <v>9.93</v>
      </c>
      <c r="AF32" s="14">
        <v>3.5</v>
      </c>
      <c r="AG32" s="1"/>
      <c r="AH32" s="1"/>
      <c r="AI32" s="1"/>
      <c r="AJ32" s="1"/>
      <c r="AK32" s="1"/>
      <c r="AL32" s="1"/>
      <c r="AM32" s="1"/>
      <c r="AN32" s="1"/>
      <c r="AO32" s="1"/>
    </row>
    <row r="33" spans="1:41" customFormat="1" ht="14.5" x14ac:dyDescent="0.25">
      <c r="A33" s="10">
        <v>47</v>
      </c>
      <c r="B33" s="17">
        <v>17.89</v>
      </c>
      <c r="C33" s="17">
        <v>0.81</v>
      </c>
      <c r="D33" s="17">
        <v>1.66</v>
      </c>
      <c r="E33" s="17">
        <v>3.5</v>
      </c>
      <c r="F33" s="17">
        <v>10.210000000000001</v>
      </c>
      <c r="G33" s="12">
        <v>0.15</v>
      </c>
      <c r="H33" s="1"/>
      <c r="I33" s="13">
        <v>47</v>
      </c>
      <c r="J33" s="18">
        <v>17.89</v>
      </c>
      <c r="K33" s="18">
        <v>0.81</v>
      </c>
      <c r="L33" s="18">
        <v>1.66</v>
      </c>
      <c r="M33" s="18">
        <v>2.98</v>
      </c>
      <c r="N33" s="18">
        <v>10.210000000000001</v>
      </c>
      <c r="O33" s="14">
        <v>0.15</v>
      </c>
      <c r="P33" s="1"/>
      <c r="Q33" s="10">
        <v>47</v>
      </c>
      <c r="R33" s="15">
        <v>14.15</v>
      </c>
      <c r="S33" s="15">
        <v>0.74</v>
      </c>
      <c r="T33" s="15">
        <v>1.72</v>
      </c>
      <c r="U33" s="15">
        <v>3.5</v>
      </c>
      <c r="V33" s="15">
        <v>10.210000000000001</v>
      </c>
      <c r="W33" s="11">
        <v>0.15</v>
      </c>
      <c r="X33" s="1"/>
      <c r="Y33" s="13">
        <v>47</v>
      </c>
      <c r="Z33" s="16">
        <v>14.15</v>
      </c>
      <c r="AA33" s="16">
        <v>0.74</v>
      </c>
      <c r="AB33" s="16">
        <v>1.72</v>
      </c>
      <c r="AC33" s="16">
        <v>-1.1499999999999999</v>
      </c>
      <c r="AD33" s="16">
        <v>-1.1499999999999999</v>
      </c>
      <c r="AE33" s="16">
        <v>10.210000000000001</v>
      </c>
      <c r="AF33" s="14">
        <v>3.5</v>
      </c>
      <c r="AG33" s="1"/>
      <c r="AH33" s="1"/>
      <c r="AI33" s="1"/>
      <c r="AJ33" s="1"/>
      <c r="AK33" s="1"/>
      <c r="AL33" s="1"/>
      <c r="AM33" s="1"/>
      <c r="AN33" s="1"/>
      <c r="AO33" s="1"/>
    </row>
    <row r="34" spans="1:41" customFormat="1" ht="14.5" x14ac:dyDescent="0.25">
      <c r="A34" s="10">
        <v>48</v>
      </c>
      <c r="B34" s="17">
        <v>18.170000000000002</v>
      </c>
      <c r="C34" s="17">
        <v>0.82</v>
      </c>
      <c r="D34" s="17">
        <v>1.68</v>
      </c>
      <c r="E34" s="17">
        <v>3.5</v>
      </c>
      <c r="F34" s="17">
        <v>10.49</v>
      </c>
      <c r="G34" s="12">
        <v>0.15</v>
      </c>
      <c r="H34" s="1"/>
      <c r="I34" s="13">
        <v>48</v>
      </c>
      <c r="J34" s="18">
        <v>18.170000000000002</v>
      </c>
      <c r="K34" s="18">
        <v>0.82</v>
      </c>
      <c r="L34" s="18">
        <v>1.68</v>
      </c>
      <c r="M34" s="18">
        <v>2.98</v>
      </c>
      <c r="N34" s="18">
        <v>10.49</v>
      </c>
      <c r="O34" s="14">
        <v>0.15</v>
      </c>
      <c r="P34" s="1"/>
      <c r="Q34" s="10">
        <v>48</v>
      </c>
      <c r="R34" s="15">
        <v>14.36</v>
      </c>
      <c r="S34" s="15">
        <v>0.76</v>
      </c>
      <c r="T34" s="15">
        <v>1.73</v>
      </c>
      <c r="U34" s="15">
        <v>3.5</v>
      </c>
      <c r="V34" s="15">
        <v>10.49</v>
      </c>
      <c r="W34" s="11">
        <v>0.15</v>
      </c>
      <c r="X34" s="1"/>
      <c r="Y34" s="13">
        <v>48</v>
      </c>
      <c r="Z34" s="16">
        <v>14.36</v>
      </c>
      <c r="AA34" s="16">
        <v>0.76</v>
      </c>
      <c r="AB34" s="16">
        <v>1.73</v>
      </c>
      <c r="AC34" s="16">
        <v>-1.17</v>
      </c>
      <c r="AD34" s="16">
        <v>-1.17</v>
      </c>
      <c r="AE34" s="16">
        <v>10.49</v>
      </c>
      <c r="AF34" s="14">
        <v>3.5</v>
      </c>
      <c r="AG34" s="1"/>
      <c r="AH34" s="1"/>
      <c r="AI34" s="1"/>
      <c r="AJ34" s="1"/>
      <c r="AK34" s="1"/>
      <c r="AL34" s="1"/>
      <c r="AM34" s="1"/>
      <c r="AN34" s="1"/>
      <c r="AO34" s="1"/>
    </row>
    <row r="35" spans="1:41" customFormat="1" ht="14.5" x14ac:dyDescent="0.25">
      <c r="A35" s="10">
        <v>49</v>
      </c>
      <c r="B35" s="17">
        <v>18.46</v>
      </c>
      <c r="C35" s="17">
        <v>0.84</v>
      </c>
      <c r="D35" s="17">
        <v>1.69</v>
      </c>
      <c r="E35" s="17">
        <v>3.49</v>
      </c>
      <c r="F35" s="17">
        <v>10.79</v>
      </c>
      <c r="G35" s="12">
        <v>0.15</v>
      </c>
      <c r="H35" s="1"/>
      <c r="I35" s="13">
        <v>49</v>
      </c>
      <c r="J35" s="18">
        <v>18.46</v>
      </c>
      <c r="K35" s="18">
        <v>0.84</v>
      </c>
      <c r="L35" s="18">
        <v>1.69</v>
      </c>
      <c r="M35" s="18">
        <v>2.98</v>
      </c>
      <c r="N35" s="18">
        <v>10.79</v>
      </c>
      <c r="O35" s="14">
        <v>0.15</v>
      </c>
      <c r="P35" s="1"/>
      <c r="Q35" s="10">
        <v>49</v>
      </c>
      <c r="R35" s="15">
        <v>14.58</v>
      </c>
      <c r="S35" s="15">
        <v>0.77</v>
      </c>
      <c r="T35" s="15">
        <v>1.74</v>
      </c>
      <c r="U35" s="15">
        <v>3.49</v>
      </c>
      <c r="V35" s="15">
        <v>10.79</v>
      </c>
      <c r="W35" s="11">
        <v>0.15</v>
      </c>
      <c r="X35" s="1"/>
      <c r="Y35" s="13">
        <v>49</v>
      </c>
      <c r="Z35" s="16">
        <v>14.58</v>
      </c>
      <c r="AA35" s="16">
        <v>0.77</v>
      </c>
      <c r="AB35" s="16">
        <v>1.74</v>
      </c>
      <c r="AC35" s="16">
        <v>-1.19</v>
      </c>
      <c r="AD35" s="16">
        <v>-1.19</v>
      </c>
      <c r="AE35" s="16">
        <v>10.79</v>
      </c>
      <c r="AF35" s="14">
        <v>3.5</v>
      </c>
      <c r="AG35" s="1"/>
      <c r="AH35" s="1"/>
      <c r="AI35" s="1"/>
      <c r="AJ35" s="1"/>
      <c r="AK35" s="1"/>
      <c r="AL35" s="1"/>
      <c r="AM35" s="1"/>
      <c r="AN35" s="1"/>
      <c r="AO35" s="1"/>
    </row>
    <row r="36" spans="1:41" customFormat="1" ht="14.5" x14ac:dyDescent="0.25">
      <c r="A36" s="10">
        <v>50</v>
      </c>
      <c r="B36" s="17">
        <v>18.75</v>
      </c>
      <c r="C36" s="17">
        <v>0.85</v>
      </c>
      <c r="D36" s="17">
        <v>1.7</v>
      </c>
      <c r="E36" s="17">
        <v>3.49</v>
      </c>
      <c r="F36" s="17">
        <v>11.09</v>
      </c>
      <c r="G36" s="12">
        <v>0.15</v>
      </c>
      <c r="H36" s="1"/>
      <c r="I36" s="13">
        <v>50</v>
      </c>
      <c r="J36" s="18">
        <v>18.75</v>
      </c>
      <c r="K36" s="18">
        <v>0.85</v>
      </c>
      <c r="L36" s="18">
        <v>1.7</v>
      </c>
      <c r="M36" s="18">
        <v>2.97</v>
      </c>
      <c r="N36" s="18">
        <v>11.09</v>
      </c>
      <c r="O36" s="14">
        <v>0.15</v>
      </c>
      <c r="P36" s="1"/>
      <c r="Q36" s="10">
        <v>50</v>
      </c>
      <c r="R36" s="15">
        <v>14.81</v>
      </c>
      <c r="S36" s="15">
        <v>0.78</v>
      </c>
      <c r="T36" s="15">
        <v>1.76</v>
      </c>
      <c r="U36" s="15">
        <v>3.49</v>
      </c>
      <c r="V36" s="15">
        <v>11.09</v>
      </c>
      <c r="W36" s="11">
        <v>0.15</v>
      </c>
      <c r="X36" s="1"/>
      <c r="Y36" s="13">
        <v>50</v>
      </c>
      <c r="Z36" s="16">
        <v>14.81</v>
      </c>
      <c r="AA36" s="16">
        <v>0.78</v>
      </c>
      <c r="AB36" s="16">
        <v>1.76</v>
      </c>
      <c r="AC36" s="16">
        <v>-1.21</v>
      </c>
      <c r="AD36" s="16">
        <v>-1.21</v>
      </c>
      <c r="AE36" s="16">
        <v>11.09</v>
      </c>
      <c r="AF36" s="14">
        <v>3.5</v>
      </c>
      <c r="AG36" s="1"/>
      <c r="AH36" s="1"/>
      <c r="AI36" s="1"/>
      <c r="AJ36" s="1"/>
      <c r="AK36" s="1"/>
      <c r="AL36" s="1"/>
      <c r="AM36" s="1"/>
      <c r="AN36" s="1"/>
      <c r="AO36" s="1"/>
    </row>
    <row r="37" spans="1:41" customFormat="1" ht="14.5" x14ac:dyDescent="0.25">
      <c r="A37" s="10">
        <v>51</v>
      </c>
      <c r="B37" s="17">
        <v>19.05</v>
      </c>
      <c r="C37" s="17">
        <v>0.87</v>
      </c>
      <c r="D37" s="17">
        <v>1.71</v>
      </c>
      <c r="E37" s="17">
        <v>3.49</v>
      </c>
      <c r="F37" s="17">
        <v>11.41</v>
      </c>
      <c r="G37" s="12">
        <v>0.15</v>
      </c>
      <c r="H37" s="1"/>
      <c r="I37" s="13">
        <v>51</v>
      </c>
      <c r="J37" s="18">
        <v>19.05</v>
      </c>
      <c r="K37" s="18">
        <v>0.87</v>
      </c>
      <c r="L37" s="18">
        <v>1.71</v>
      </c>
      <c r="M37" s="18">
        <v>2.97</v>
      </c>
      <c r="N37" s="18">
        <v>11.41</v>
      </c>
      <c r="O37" s="14">
        <v>0.15</v>
      </c>
      <c r="P37" s="1"/>
      <c r="Q37" s="10">
        <v>51</v>
      </c>
      <c r="R37" s="15">
        <v>15.03</v>
      </c>
      <c r="S37" s="15">
        <v>0.8</v>
      </c>
      <c r="T37" s="15">
        <v>1.77</v>
      </c>
      <c r="U37" s="15">
        <v>3.49</v>
      </c>
      <c r="V37" s="15">
        <v>11.41</v>
      </c>
      <c r="W37" s="11">
        <v>0.15</v>
      </c>
      <c r="X37" s="1"/>
      <c r="Y37" s="13">
        <v>51</v>
      </c>
      <c r="Z37" s="16">
        <v>15.03</v>
      </c>
      <c r="AA37" s="16">
        <v>0.8</v>
      </c>
      <c r="AB37" s="16">
        <v>1.77</v>
      </c>
      <c r="AC37" s="16">
        <v>-1.23</v>
      </c>
      <c r="AD37" s="16">
        <v>-1.23</v>
      </c>
      <c r="AE37" s="16">
        <v>11.41</v>
      </c>
      <c r="AF37" s="14">
        <v>3.5</v>
      </c>
      <c r="AG37" s="1"/>
      <c r="AH37" s="1"/>
      <c r="AI37" s="1"/>
      <c r="AJ37" s="1"/>
      <c r="AK37" s="1"/>
      <c r="AL37" s="1"/>
      <c r="AM37" s="1"/>
      <c r="AN37" s="1"/>
      <c r="AO37" s="1"/>
    </row>
    <row r="38" spans="1:41" customFormat="1" ht="14.5" x14ac:dyDescent="0.25">
      <c r="A38" s="10">
        <v>52</v>
      </c>
      <c r="B38" s="17">
        <v>19.350000000000001</v>
      </c>
      <c r="C38" s="17">
        <v>0.88</v>
      </c>
      <c r="D38" s="17">
        <v>1.72</v>
      </c>
      <c r="E38" s="17">
        <v>3.48</v>
      </c>
      <c r="F38" s="17">
        <v>11.73</v>
      </c>
      <c r="G38" s="12">
        <v>0.15</v>
      </c>
      <c r="H38" s="1"/>
      <c r="I38" s="13">
        <v>52</v>
      </c>
      <c r="J38" s="18">
        <v>19.350000000000001</v>
      </c>
      <c r="K38" s="18">
        <v>0.88</v>
      </c>
      <c r="L38" s="18">
        <v>1.72</v>
      </c>
      <c r="M38" s="18">
        <v>2.97</v>
      </c>
      <c r="N38" s="18">
        <v>11.73</v>
      </c>
      <c r="O38" s="14">
        <v>0.15</v>
      </c>
      <c r="P38" s="1"/>
      <c r="Q38" s="10">
        <v>52</v>
      </c>
      <c r="R38" s="15">
        <v>15.27</v>
      </c>
      <c r="S38" s="15">
        <v>0.81</v>
      </c>
      <c r="T38" s="15">
        <v>1.78</v>
      </c>
      <c r="U38" s="15">
        <v>3.48</v>
      </c>
      <c r="V38" s="15">
        <v>11.73</v>
      </c>
      <c r="W38" s="11">
        <v>0.15</v>
      </c>
      <c r="X38" s="1"/>
      <c r="Y38" s="13">
        <v>52</v>
      </c>
      <c r="Z38" s="16">
        <v>15.27</v>
      </c>
      <c r="AA38" s="16">
        <v>0.81</v>
      </c>
      <c r="AB38" s="16">
        <v>1.78</v>
      </c>
      <c r="AC38" s="16">
        <v>-1.25</v>
      </c>
      <c r="AD38" s="16">
        <v>-1.25</v>
      </c>
      <c r="AE38" s="16">
        <v>11.73</v>
      </c>
      <c r="AF38" s="14">
        <v>3.5</v>
      </c>
      <c r="AG38" s="1"/>
      <c r="AH38" s="1"/>
      <c r="AI38" s="1"/>
      <c r="AJ38" s="1"/>
      <c r="AK38" s="1"/>
      <c r="AL38" s="1"/>
      <c r="AM38" s="1"/>
      <c r="AN38" s="1"/>
      <c r="AO38" s="1"/>
    </row>
    <row r="39" spans="1:41" customFormat="1" ht="14.5" x14ac:dyDescent="0.25">
      <c r="A39" s="10">
        <v>53</v>
      </c>
      <c r="B39" s="17">
        <v>19.670000000000002</v>
      </c>
      <c r="C39" s="17">
        <v>0.9</v>
      </c>
      <c r="D39" s="17">
        <v>1.72</v>
      </c>
      <c r="E39" s="17">
        <v>3.48</v>
      </c>
      <c r="F39" s="17">
        <v>12.07</v>
      </c>
      <c r="G39" s="12">
        <v>0.15</v>
      </c>
      <c r="H39" s="1"/>
      <c r="I39" s="13">
        <v>53</v>
      </c>
      <c r="J39" s="18">
        <v>19.670000000000002</v>
      </c>
      <c r="K39" s="18">
        <v>0.9</v>
      </c>
      <c r="L39" s="18">
        <v>1.72</v>
      </c>
      <c r="M39" s="18">
        <v>2.97</v>
      </c>
      <c r="N39" s="18">
        <v>12.07</v>
      </c>
      <c r="O39" s="14">
        <v>0.15</v>
      </c>
      <c r="P39" s="1"/>
      <c r="Q39" s="10">
        <v>53</v>
      </c>
      <c r="R39" s="15">
        <v>15.5</v>
      </c>
      <c r="S39" s="15">
        <v>0.82</v>
      </c>
      <c r="T39" s="15">
        <v>1.79</v>
      </c>
      <c r="U39" s="15">
        <v>3.48</v>
      </c>
      <c r="V39" s="15">
        <v>12.07</v>
      </c>
      <c r="W39" s="11">
        <v>0.15</v>
      </c>
      <c r="X39" s="1"/>
      <c r="Y39" s="13">
        <v>53</v>
      </c>
      <c r="Z39" s="16">
        <v>15.5</v>
      </c>
      <c r="AA39" s="16">
        <v>0.82</v>
      </c>
      <c r="AB39" s="16">
        <v>1.79</v>
      </c>
      <c r="AC39" s="16">
        <v>-1.27</v>
      </c>
      <c r="AD39" s="16">
        <v>-1.27</v>
      </c>
      <c r="AE39" s="16">
        <v>12.07</v>
      </c>
      <c r="AF39" s="14">
        <v>3.5</v>
      </c>
      <c r="AG39" s="1"/>
      <c r="AH39" s="1"/>
      <c r="AI39" s="1"/>
      <c r="AJ39" s="1"/>
      <c r="AK39" s="1"/>
      <c r="AL39" s="1"/>
      <c r="AM39" s="1"/>
      <c r="AN39" s="1"/>
      <c r="AO39" s="1"/>
    </row>
    <row r="40" spans="1:41" customFormat="1" ht="14.5" x14ac:dyDescent="0.25">
      <c r="A40" s="10">
        <v>54</v>
      </c>
      <c r="B40" s="17">
        <v>19.989999999999998</v>
      </c>
      <c r="C40" s="17">
        <v>0.91</v>
      </c>
      <c r="D40" s="17">
        <v>1.73</v>
      </c>
      <c r="E40" s="17">
        <v>3.48</v>
      </c>
      <c r="F40" s="17">
        <v>12.42</v>
      </c>
      <c r="G40" s="12">
        <v>0.15</v>
      </c>
      <c r="H40" s="1"/>
      <c r="I40" s="13">
        <v>54</v>
      </c>
      <c r="J40" s="18">
        <v>19.989999999999998</v>
      </c>
      <c r="K40" s="18">
        <v>0.91</v>
      </c>
      <c r="L40" s="18">
        <v>1.73</v>
      </c>
      <c r="M40" s="18">
        <v>2.97</v>
      </c>
      <c r="N40" s="18">
        <v>12.42</v>
      </c>
      <c r="O40" s="14">
        <v>0.15</v>
      </c>
      <c r="P40" s="1"/>
      <c r="Q40" s="10">
        <v>54</v>
      </c>
      <c r="R40" s="15">
        <v>15.75</v>
      </c>
      <c r="S40" s="15">
        <v>0.84</v>
      </c>
      <c r="T40" s="15">
        <v>1.79</v>
      </c>
      <c r="U40" s="15">
        <v>3.48</v>
      </c>
      <c r="V40" s="15">
        <v>12.42</v>
      </c>
      <c r="W40" s="11">
        <v>0.15</v>
      </c>
      <c r="X40" s="1"/>
      <c r="Y40" s="13">
        <v>54</v>
      </c>
      <c r="Z40" s="16">
        <v>15.75</v>
      </c>
      <c r="AA40" s="16">
        <v>0.84</v>
      </c>
      <c r="AB40" s="16">
        <v>1.79</v>
      </c>
      <c r="AC40" s="16">
        <v>-1.29</v>
      </c>
      <c r="AD40" s="16">
        <v>-1.29</v>
      </c>
      <c r="AE40" s="16">
        <v>12.42</v>
      </c>
      <c r="AF40" s="14">
        <v>3.5</v>
      </c>
      <c r="AG40" s="1"/>
      <c r="AH40" s="1"/>
      <c r="AI40" s="1"/>
      <c r="AJ40" s="1"/>
      <c r="AK40" s="1"/>
      <c r="AL40" s="1"/>
      <c r="AM40" s="1"/>
      <c r="AN40" s="1"/>
      <c r="AO40" s="1"/>
    </row>
    <row r="41" spans="1:41" customFormat="1" ht="14.5" x14ac:dyDescent="0.25">
      <c r="A41" s="10">
        <v>55</v>
      </c>
      <c r="B41" s="17">
        <v>20.32</v>
      </c>
      <c r="C41" s="17">
        <v>0.93</v>
      </c>
      <c r="D41" s="17">
        <v>1.74</v>
      </c>
      <c r="E41" s="17">
        <v>3.48</v>
      </c>
      <c r="F41" s="17">
        <v>12.78</v>
      </c>
      <c r="G41" s="12">
        <v>0.15</v>
      </c>
      <c r="H41" s="1"/>
      <c r="I41" s="13">
        <v>55</v>
      </c>
      <c r="J41" s="18">
        <v>20.32</v>
      </c>
      <c r="K41" s="18">
        <v>0.93</v>
      </c>
      <c r="L41" s="18">
        <v>1.74</v>
      </c>
      <c r="M41" s="18">
        <v>2.97</v>
      </c>
      <c r="N41" s="18">
        <v>12.78</v>
      </c>
      <c r="O41" s="14">
        <v>0.15</v>
      </c>
      <c r="P41" s="1"/>
      <c r="Q41" s="10">
        <v>55</v>
      </c>
      <c r="R41" s="15">
        <v>16</v>
      </c>
      <c r="S41" s="15">
        <v>0.85</v>
      </c>
      <c r="T41" s="15">
        <v>1.8</v>
      </c>
      <c r="U41" s="15">
        <v>3.48</v>
      </c>
      <c r="V41" s="15">
        <v>12.78</v>
      </c>
      <c r="W41" s="11">
        <v>0.15</v>
      </c>
      <c r="X41" s="1"/>
      <c r="Y41" s="13">
        <v>55</v>
      </c>
      <c r="Z41" s="16">
        <v>16</v>
      </c>
      <c r="AA41" s="16">
        <v>0.85</v>
      </c>
      <c r="AB41" s="16">
        <v>1.8</v>
      </c>
      <c r="AC41" s="16">
        <v>-1.31</v>
      </c>
      <c r="AD41" s="16">
        <v>-1.31</v>
      </c>
      <c r="AE41" s="16">
        <v>12.78</v>
      </c>
      <c r="AF41" s="14">
        <v>3.5</v>
      </c>
      <c r="AG41" s="1"/>
      <c r="AH41" s="1"/>
      <c r="AI41" s="1"/>
      <c r="AJ41" s="1"/>
      <c r="AK41" s="1"/>
      <c r="AL41" s="1"/>
      <c r="AM41" s="1"/>
      <c r="AN41" s="1"/>
      <c r="AO41" s="1"/>
    </row>
    <row r="42" spans="1:41" customFormat="1" ht="14.5" x14ac:dyDescent="0.25">
      <c r="A42" s="10">
        <v>56</v>
      </c>
      <c r="B42" s="17">
        <v>20.65</v>
      </c>
      <c r="C42" s="17">
        <v>0.94</v>
      </c>
      <c r="D42" s="17">
        <v>1.74</v>
      </c>
      <c r="E42" s="17">
        <v>3.48</v>
      </c>
      <c r="F42" s="17">
        <v>13.16</v>
      </c>
      <c r="G42" s="12">
        <v>0.15</v>
      </c>
      <c r="H42" s="1"/>
      <c r="I42" s="13">
        <v>56</v>
      </c>
      <c r="J42" s="18">
        <v>20.65</v>
      </c>
      <c r="K42" s="18">
        <v>0.94</v>
      </c>
      <c r="L42" s="18">
        <v>1.74</v>
      </c>
      <c r="M42" s="18">
        <v>2.97</v>
      </c>
      <c r="N42" s="18">
        <v>13.16</v>
      </c>
      <c r="O42" s="14">
        <v>0.15</v>
      </c>
      <c r="P42" s="1"/>
      <c r="Q42" s="10">
        <v>56</v>
      </c>
      <c r="R42" s="15">
        <v>16.25</v>
      </c>
      <c r="S42" s="15">
        <v>0.87</v>
      </c>
      <c r="T42" s="15">
        <v>1.81</v>
      </c>
      <c r="U42" s="15">
        <v>3.48</v>
      </c>
      <c r="V42" s="15">
        <v>13.16</v>
      </c>
      <c r="W42" s="11">
        <v>0.15</v>
      </c>
      <c r="X42" s="1"/>
      <c r="Y42" s="13">
        <v>56</v>
      </c>
      <c r="Z42" s="16">
        <v>16.25</v>
      </c>
      <c r="AA42" s="16">
        <v>0.87</v>
      </c>
      <c r="AB42" s="16">
        <v>1.81</v>
      </c>
      <c r="AC42" s="16">
        <v>-1.34</v>
      </c>
      <c r="AD42" s="16">
        <v>-1.34</v>
      </c>
      <c r="AE42" s="16">
        <v>13.16</v>
      </c>
      <c r="AF42" s="14">
        <v>3.5</v>
      </c>
      <c r="AG42" s="1"/>
      <c r="AH42" s="1"/>
      <c r="AI42" s="1"/>
      <c r="AJ42" s="1"/>
      <c r="AK42" s="1"/>
      <c r="AL42" s="1"/>
      <c r="AM42" s="1"/>
      <c r="AN42" s="1"/>
      <c r="AO42" s="1"/>
    </row>
    <row r="43" spans="1:41" customFormat="1" ht="14.5" x14ac:dyDescent="0.25">
      <c r="A43" s="10">
        <v>57</v>
      </c>
      <c r="B43" s="17">
        <v>21</v>
      </c>
      <c r="C43" s="17">
        <v>0.96</v>
      </c>
      <c r="D43" s="17">
        <v>1.74</v>
      </c>
      <c r="E43" s="17">
        <v>3.48</v>
      </c>
      <c r="F43" s="17">
        <v>13.54</v>
      </c>
      <c r="G43" s="12">
        <v>0.15</v>
      </c>
      <c r="H43" s="1"/>
      <c r="I43" s="13">
        <v>57</v>
      </c>
      <c r="J43" s="18">
        <v>21</v>
      </c>
      <c r="K43" s="18">
        <v>0.96</v>
      </c>
      <c r="L43" s="18">
        <v>1.74</v>
      </c>
      <c r="M43" s="18">
        <v>2.97</v>
      </c>
      <c r="N43" s="18">
        <v>13.54</v>
      </c>
      <c r="O43" s="14">
        <v>0.15</v>
      </c>
      <c r="P43" s="1"/>
      <c r="Q43" s="10">
        <v>57</v>
      </c>
      <c r="R43" s="15">
        <v>16.52</v>
      </c>
      <c r="S43" s="15">
        <v>0.88</v>
      </c>
      <c r="T43" s="15">
        <v>1.81</v>
      </c>
      <c r="U43" s="15">
        <v>3.48</v>
      </c>
      <c r="V43" s="15">
        <v>13.54</v>
      </c>
      <c r="W43" s="11">
        <v>0.15</v>
      </c>
      <c r="X43" s="1"/>
      <c r="Y43" s="13">
        <v>57</v>
      </c>
      <c r="Z43" s="16">
        <v>16.52</v>
      </c>
      <c r="AA43" s="16">
        <v>0.88</v>
      </c>
      <c r="AB43" s="16">
        <v>1.81</v>
      </c>
      <c r="AC43" s="16">
        <v>-1.36</v>
      </c>
      <c r="AD43" s="16">
        <v>-1.36</v>
      </c>
      <c r="AE43" s="16">
        <v>13.54</v>
      </c>
      <c r="AF43" s="14">
        <v>3.5</v>
      </c>
      <c r="AG43" s="1"/>
      <c r="AH43" s="1"/>
      <c r="AI43" s="1"/>
      <c r="AJ43" s="1"/>
      <c r="AK43" s="1"/>
      <c r="AL43" s="1"/>
      <c r="AM43" s="1"/>
      <c r="AN43" s="1"/>
      <c r="AO43" s="1"/>
    </row>
    <row r="44" spans="1:41" customFormat="1" ht="14.5" x14ac:dyDescent="0.25">
      <c r="A44" s="10">
        <v>58</v>
      </c>
      <c r="B44" s="17">
        <v>21.36</v>
      </c>
      <c r="C44" s="17">
        <v>0.98</v>
      </c>
      <c r="D44" s="17">
        <v>1.74</v>
      </c>
      <c r="E44" s="17">
        <v>3.48</v>
      </c>
      <c r="F44" s="17">
        <v>13.95</v>
      </c>
      <c r="G44" s="12">
        <v>0.15</v>
      </c>
      <c r="H44" s="1"/>
      <c r="I44" s="13">
        <v>58</v>
      </c>
      <c r="J44" s="18">
        <v>21.36</v>
      </c>
      <c r="K44" s="18">
        <v>0.98</v>
      </c>
      <c r="L44" s="18">
        <v>1.74</v>
      </c>
      <c r="M44" s="18">
        <v>2.97</v>
      </c>
      <c r="N44" s="18">
        <v>13.95</v>
      </c>
      <c r="O44" s="14">
        <v>0.15</v>
      </c>
      <c r="P44" s="1"/>
      <c r="Q44" s="10">
        <v>58</v>
      </c>
      <c r="R44" s="15">
        <v>16.79</v>
      </c>
      <c r="S44" s="15">
        <v>0.9</v>
      </c>
      <c r="T44" s="15">
        <v>1.81</v>
      </c>
      <c r="U44" s="15">
        <v>3.48</v>
      </c>
      <c r="V44" s="15">
        <v>13.95</v>
      </c>
      <c r="W44" s="11">
        <v>0.15</v>
      </c>
      <c r="X44" s="1"/>
      <c r="Y44" s="13">
        <v>58</v>
      </c>
      <c r="Z44" s="16">
        <v>16.79</v>
      </c>
      <c r="AA44" s="16">
        <v>0.9</v>
      </c>
      <c r="AB44" s="16">
        <v>1.81</v>
      </c>
      <c r="AC44" s="16">
        <v>-1.38</v>
      </c>
      <c r="AD44" s="16">
        <v>-1.38</v>
      </c>
      <c r="AE44" s="16">
        <v>13.95</v>
      </c>
      <c r="AF44" s="14">
        <v>3.5</v>
      </c>
      <c r="AG44" s="1"/>
      <c r="AH44" s="1"/>
      <c r="AI44" s="1"/>
      <c r="AJ44" s="1"/>
      <c r="AK44" s="1"/>
      <c r="AL44" s="1"/>
      <c r="AM44" s="1"/>
      <c r="AN44" s="1"/>
      <c r="AO44" s="1"/>
    </row>
    <row r="45" spans="1:41" customFormat="1" ht="14.5" x14ac:dyDescent="0.25">
      <c r="A45" s="10">
        <v>59</v>
      </c>
      <c r="B45" s="17">
        <v>21.73</v>
      </c>
      <c r="C45" s="17">
        <v>0.99</v>
      </c>
      <c r="D45" s="17">
        <v>1.74</v>
      </c>
      <c r="E45" s="17">
        <v>3.48</v>
      </c>
      <c r="F45" s="17">
        <v>14.37</v>
      </c>
      <c r="G45" s="12">
        <v>0.15</v>
      </c>
      <c r="H45" s="1"/>
      <c r="I45" s="13">
        <v>59</v>
      </c>
      <c r="J45" s="18">
        <v>21.73</v>
      </c>
      <c r="K45" s="18">
        <v>0.99</v>
      </c>
      <c r="L45" s="18">
        <v>1.74</v>
      </c>
      <c r="M45" s="18">
        <v>3.05</v>
      </c>
      <c r="N45" s="18">
        <v>14.37</v>
      </c>
      <c r="O45" s="14">
        <v>0.15</v>
      </c>
      <c r="P45" s="1"/>
      <c r="Q45" s="10">
        <v>59</v>
      </c>
      <c r="R45" s="15">
        <v>17.07</v>
      </c>
      <c r="S45" s="15">
        <v>0.91</v>
      </c>
      <c r="T45" s="15">
        <v>1.81</v>
      </c>
      <c r="U45" s="15">
        <v>3.48</v>
      </c>
      <c r="V45" s="15">
        <v>14.37</v>
      </c>
      <c r="W45" s="11">
        <v>0.15</v>
      </c>
      <c r="X45" s="1"/>
      <c r="Y45" s="13">
        <v>59</v>
      </c>
      <c r="Z45" s="16">
        <v>17.07</v>
      </c>
      <c r="AA45" s="16">
        <v>0.91</v>
      </c>
      <c r="AB45" s="16">
        <v>1.81</v>
      </c>
      <c r="AC45" s="16">
        <v>-1.44</v>
      </c>
      <c r="AD45" s="16">
        <v>-1.44</v>
      </c>
      <c r="AE45" s="16">
        <v>14.37</v>
      </c>
      <c r="AF45" s="14">
        <v>3.5</v>
      </c>
      <c r="AG45" s="1"/>
      <c r="AH45" s="1"/>
      <c r="AI45" s="1"/>
      <c r="AJ45" s="1"/>
      <c r="AK45" s="1"/>
      <c r="AL45" s="1"/>
      <c r="AM45" s="1"/>
      <c r="AN45" s="1"/>
      <c r="AO45" s="1"/>
    </row>
    <row r="46" spans="1:41" customFormat="1" ht="14.5" x14ac:dyDescent="0.25">
      <c r="A46" s="10">
        <v>60</v>
      </c>
      <c r="B46" s="17">
        <v>21.73</v>
      </c>
      <c r="C46" s="17">
        <v>0.99</v>
      </c>
      <c r="D46" s="17">
        <v>1.74</v>
      </c>
      <c r="E46" s="17">
        <v>3.48</v>
      </c>
      <c r="F46" s="17">
        <v>14.37</v>
      </c>
      <c r="G46" s="12">
        <v>0.15</v>
      </c>
      <c r="H46" s="1"/>
      <c r="I46" s="13">
        <v>60</v>
      </c>
      <c r="J46" s="18">
        <v>21.73</v>
      </c>
      <c r="K46" s="18">
        <v>0.99</v>
      </c>
      <c r="L46" s="18">
        <v>1.74</v>
      </c>
      <c r="M46" s="18">
        <v>3.05</v>
      </c>
      <c r="N46" s="18">
        <v>14.37</v>
      </c>
      <c r="O46" s="14">
        <v>0.15</v>
      </c>
      <c r="P46" s="1"/>
      <c r="Q46" s="10">
        <v>60</v>
      </c>
      <c r="R46" s="15">
        <v>17.37</v>
      </c>
      <c r="S46" s="15">
        <v>0.93</v>
      </c>
      <c r="T46" s="15">
        <v>1.81</v>
      </c>
      <c r="U46" s="15">
        <v>3.49</v>
      </c>
      <c r="V46" s="15">
        <v>14.8</v>
      </c>
      <c r="W46" s="11">
        <v>0.15</v>
      </c>
      <c r="X46" s="1"/>
      <c r="Y46" s="20">
        <v>60</v>
      </c>
      <c r="Z46" s="21">
        <v>17.37</v>
      </c>
      <c r="AA46" s="21">
        <v>0.93</v>
      </c>
      <c r="AB46" s="21">
        <v>1.81</v>
      </c>
      <c r="AC46" s="21">
        <v>-1.01</v>
      </c>
      <c r="AD46" s="21">
        <v>-3.71</v>
      </c>
      <c r="AE46" s="21">
        <v>14.8</v>
      </c>
      <c r="AF46" s="14">
        <v>3.5</v>
      </c>
      <c r="AG46" s="1"/>
      <c r="AH46" s="1"/>
      <c r="AI46" s="1"/>
      <c r="AJ46" s="1"/>
      <c r="AK46" s="1"/>
      <c r="AL46" s="1"/>
      <c r="AM46" s="1"/>
      <c r="AN46" s="1"/>
      <c r="AO46" s="1"/>
    </row>
    <row r="47" spans="1:41" customFormat="1" ht="14.5" x14ac:dyDescent="0.25">
      <c r="A47" s="10">
        <v>61</v>
      </c>
      <c r="B47" s="17">
        <v>21.73</v>
      </c>
      <c r="C47" s="17">
        <v>0.99</v>
      </c>
      <c r="D47" s="17">
        <v>1.74</v>
      </c>
      <c r="E47" s="17">
        <v>3.48</v>
      </c>
      <c r="F47" s="17">
        <v>14.37</v>
      </c>
      <c r="G47" s="12">
        <v>0.15</v>
      </c>
      <c r="H47" s="1"/>
      <c r="I47" s="13">
        <v>61</v>
      </c>
      <c r="J47" s="18">
        <v>21.73</v>
      </c>
      <c r="K47" s="18">
        <v>0.99</v>
      </c>
      <c r="L47" s="18">
        <v>1.74</v>
      </c>
      <c r="M47" s="18">
        <v>3.05</v>
      </c>
      <c r="N47" s="18">
        <v>14.37</v>
      </c>
      <c r="O47" s="14">
        <v>0.15</v>
      </c>
      <c r="P47" s="1"/>
      <c r="Q47" s="10">
        <v>61</v>
      </c>
      <c r="R47" s="15">
        <v>17.670000000000002</v>
      </c>
      <c r="S47" s="15">
        <v>0.94</v>
      </c>
      <c r="T47" s="15">
        <v>1.8</v>
      </c>
      <c r="U47" s="15">
        <v>3.49</v>
      </c>
      <c r="V47" s="15">
        <v>15.26</v>
      </c>
      <c r="W47" s="11">
        <v>0.15</v>
      </c>
      <c r="X47" s="1"/>
      <c r="Y47" s="20">
        <v>61</v>
      </c>
      <c r="Z47" s="21">
        <v>17.670000000000002</v>
      </c>
      <c r="AA47" s="21">
        <v>0.94</v>
      </c>
      <c r="AB47" s="21">
        <v>1.8</v>
      </c>
      <c r="AC47" s="21">
        <v>-0.05</v>
      </c>
      <c r="AD47" s="21">
        <v>-2.82</v>
      </c>
      <c r="AE47" s="21">
        <v>15.26</v>
      </c>
      <c r="AF47" s="14">
        <v>3.5</v>
      </c>
      <c r="AG47" s="1"/>
      <c r="AH47" s="1"/>
      <c r="AI47" s="1"/>
      <c r="AJ47" s="1"/>
      <c r="AK47" s="1"/>
      <c r="AL47" s="1"/>
      <c r="AM47" s="1"/>
      <c r="AN47" s="1"/>
      <c r="AO47" s="1"/>
    </row>
    <row r="48" spans="1:41" customFormat="1" ht="14.5" x14ac:dyDescent="0.25">
      <c r="A48" s="10">
        <v>62</v>
      </c>
      <c r="B48" s="17">
        <v>21.73</v>
      </c>
      <c r="C48" s="17">
        <v>0.99</v>
      </c>
      <c r="D48" s="17">
        <v>1.74</v>
      </c>
      <c r="E48" s="17">
        <v>3.48</v>
      </c>
      <c r="F48" s="17">
        <v>14.37</v>
      </c>
      <c r="G48" s="12">
        <v>0.15</v>
      </c>
      <c r="H48" s="1"/>
      <c r="I48" s="13">
        <v>62</v>
      </c>
      <c r="J48" s="18">
        <v>21.73</v>
      </c>
      <c r="K48" s="18">
        <v>0.99</v>
      </c>
      <c r="L48" s="18">
        <v>1.74</v>
      </c>
      <c r="M48" s="18">
        <v>3.05</v>
      </c>
      <c r="N48" s="18">
        <v>14.37</v>
      </c>
      <c r="O48" s="14">
        <v>0.15</v>
      </c>
      <c r="P48" s="1"/>
      <c r="Q48" s="10">
        <v>62</v>
      </c>
      <c r="R48" s="15">
        <v>17.989999999999998</v>
      </c>
      <c r="S48" s="15">
        <v>0.96</v>
      </c>
      <c r="T48" s="15">
        <v>1.8</v>
      </c>
      <c r="U48" s="15">
        <v>3.5</v>
      </c>
      <c r="V48" s="15">
        <v>15.73</v>
      </c>
      <c r="W48" s="11">
        <v>0.15</v>
      </c>
      <c r="X48" s="1"/>
      <c r="Y48" s="20">
        <v>62</v>
      </c>
      <c r="Z48" s="21">
        <v>17.989999999999998</v>
      </c>
      <c r="AA48" s="21">
        <v>0.96</v>
      </c>
      <c r="AB48" s="21">
        <v>1.8</v>
      </c>
      <c r="AC48" s="21">
        <v>0.95</v>
      </c>
      <c r="AD48" s="21">
        <v>-1.9</v>
      </c>
      <c r="AE48" s="21">
        <v>15.73</v>
      </c>
      <c r="AF48" s="14">
        <v>3.5</v>
      </c>
      <c r="AG48" s="1"/>
      <c r="AH48" s="1"/>
      <c r="AI48" s="1"/>
      <c r="AJ48" s="1"/>
      <c r="AK48" s="1"/>
      <c r="AL48" s="1"/>
      <c r="AM48" s="1"/>
      <c r="AN48" s="1"/>
      <c r="AO48" s="1"/>
    </row>
    <row r="49" spans="1:41" customFormat="1" ht="14.5" x14ac:dyDescent="0.25">
      <c r="A49" s="10">
        <v>63</v>
      </c>
      <c r="B49" s="17">
        <v>21.73</v>
      </c>
      <c r="C49" s="17">
        <v>0.99</v>
      </c>
      <c r="D49" s="17">
        <v>1.74</v>
      </c>
      <c r="E49" s="17">
        <v>3.48</v>
      </c>
      <c r="F49" s="17">
        <v>14.37</v>
      </c>
      <c r="G49" s="12">
        <v>0.15</v>
      </c>
      <c r="H49" s="1"/>
      <c r="I49" s="13">
        <v>63</v>
      </c>
      <c r="J49" s="18">
        <v>21.73</v>
      </c>
      <c r="K49" s="18">
        <v>0.99</v>
      </c>
      <c r="L49" s="18">
        <v>1.74</v>
      </c>
      <c r="M49" s="18">
        <v>3.05</v>
      </c>
      <c r="N49" s="18">
        <v>14.37</v>
      </c>
      <c r="O49" s="14">
        <v>0.15</v>
      </c>
      <c r="P49" s="1"/>
      <c r="Q49" s="10">
        <v>63</v>
      </c>
      <c r="R49" s="15">
        <v>18.309999999999999</v>
      </c>
      <c r="S49" s="15">
        <v>0.98</v>
      </c>
      <c r="T49" s="15">
        <v>1.79</v>
      </c>
      <c r="U49" s="15">
        <v>3.51</v>
      </c>
      <c r="V49" s="15">
        <v>16.23</v>
      </c>
      <c r="W49" s="11">
        <v>0.15</v>
      </c>
      <c r="X49" s="1"/>
      <c r="Y49" s="20">
        <v>63</v>
      </c>
      <c r="Z49" s="21">
        <v>18.309999999999999</v>
      </c>
      <c r="AA49" s="21">
        <v>0.98</v>
      </c>
      <c r="AB49" s="21">
        <v>1.79</v>
      </c>
      <c r="AC49" s="21">
        <v>1.99</v>
      </c>
      <c r="AD49" s="21">
        <v>-0.95</v>
      </c>
      <c r="AE49" s="21">
        <v>16.23</v>
      </c>
      <c r="AF49" s="14">
        <v>3.5</v>
      </c>
      <c r="AG49" s="1"/>
      <c r="AH49" s="1"/>
      <c r="AI49" s="1"/>
      <c r="AJ49" s="1"/>
      <c r="AK49" s="1"/>
      <c r="AL49" s="1"/>
      <c r="AM49" s="1"/>
      <c r="AN49" s="1"/>
      <c r="AO49" s="1"/>
    </row>
    <row r="50" spans="1:41" customFormat="1" ht="14.5" x14ac:dyDescent="0.25">
      <c r="A50" s="10">
        <v>64</v>
      </c>
      <c r="B50" s="17">
        <v>21.73</v>
      </c>
      <c r="C50" s="17">
        <v>0.99</v>
      </c>
      <c r="D50" s="17">
        <v>1.74</v>
      </c>
      <c r="E50" s="17">
        <v>3.48</v>
      </c>
      <c r="F50" s="17">
        <v>14.37</v>
      </c>
      <c r="G50" s="12">
        <v>0.15</v>
      </c>
      <c r="H50" s="1"/>
      <c r="I50" s="13">
        <v>64</v>
      </c>
      <c r="J50" s="18">
        <v>21.73</v>
      </c>
      <c r="K50" s="18">
        <v>0.99</v>
      </c>
      <c r="L50" s="18">
        <v>1.74</v>
      </c>
      <c r="M50" s="18">
        <v>3.05</v>
      </c>
      <c r="N50" s="18">
        <v>14.37</v>
      </c>
      <c r="O50" s="14">
        <v>0.15</v>
      </c>
      <c r="P50" s="1"/>
      <c r="Q50" s="10">
        <v>64</v>
      </c>
      <c r="R50" s="15">
        <v>18.66</v>
      </c>
      <c r="S50" s="15">
        <v>0.99</v>
      </c>
      <c r="T50" s="15">
        <v>1.77</v>
      </c>
      <c r="U50" s="15">
        <v>3.61</v>
      </c>
      <c r="V50" s="15">
        <v>16.739999999999998</v>
      </c>
      <c r="W50" s="11">
        <v>0.15</v>
      </c>
      <c r="X50" s="1"/>
      <c r="Y50" s="20">
        <v>64</v>
      </c>
      <c r="Z50" s="21">
        <v>18.66</v>
      </c>
      <c r="AA50" s="21">
        <v>0.99</v>
      </c>
      <c r="AB50" s="21">
        <v>1.77</v>
      </c>
      <c r="AC50" s="21">
        <v>3.05</v>
      </c>
      <c r="AD50" s="21">
        <v>0.03</v>
      </c>
      <c r="AE50" s="21">
        <v>16.739999999999998</v>
      </c>
      <c r="AF50" s="14">
        <v>3.5</v>
      </c>
      <c r="AG50" s="1"/>
      <c r="AH50" s="1"/>
      <c r="AI50" s="1"/>
      <c r="AJ50" s="1"/>
      <c r="AK50" s="1"/>
      <c r="AL50" s="1"/>
      <c r="AM50" s="1"/>
      <c r="AN50" s="1"/>
      <c r="AO50" s="1"/>
    </row>
    <row r="51" spans="1:41" customFormat="1" ht="14.5" x14ac:dyDescent="0.25">
      <c r="A51" s="10">
        <v>65</v>
      </c>
      <c r="B51" s="17">
        <v>21.73</v>
      </c>
      <c r="C51" s="17">
        <v>0.99</v>
      </c>
      <c r="D51" s="17">
        <v>1.74</v>
      </c>
      <c r="E51" s="17">
        <v>3.48</v>
      </c>
      <c r="F51" s="17">
        <v>14.37</v>
      </c>
      <c r="G51" s="12">
        <v>0.15</v>
      </c>
      <c r="H51" s="1"/>
      <c r="I51" s="13">
        <v>65</v>
      </c>
      <c r="J51" s="18">
        <v>21.73</v>
      </c>
      <c r="K51" s="18">
        <v>0.99</v>
      </c>
      <c r="L51" s="18">
        <v>1.74</v>
      </c>
      <c r="M51" s="18">
        <v>3.05</v>
      </c>
      <c r="N51" s="18">
        <v>14.37</v>
      </c>
      <c r="O51" s="14">
        <v>0.15</v>
      </c>
      <c r="P51" s="1"/>
      <c r="Q51" s="10">
        <v>65</v>
      </c>
      <c r="R51" s="15">
        <v>18.66</v>
      </c>
      <c r="S51" s="15">
        <v>0.99</v>
      </c>
      <c r="T51" s="15">
        <v>1.77</v>
      </c>
      <c r="U51" s="15">
        <v>3.61</v>
      </c>
      <c r="V51" s="15">
        <v>16.739999999999998</v>
      </c>
      <c r="W51" s="11">
        <v>0.15</v>
      </c>
      <c r="X51" s="1"/>
      <c r="Y51" s="20">
        <v>65</v>
      </c>
      <c r="Z51" s="21">
        <v>18.66</v>
      </c>
      <c r="AA51" s="21">
        <v>0.99</v>
      </c>
      <c r="AB51" s="21">
        <v>1.77</v>
      </c>
      <c r="AC51" s="21">
        <v>3.05</v>
      </c>
      <c r="AD51" s="21">
        <v>0.03</v>
      </c>
      <c r="AE51" s="21">
        <v>16.739999999999998</v>
      </c>
      <c r="AF51" s="14">
        <v>3.5</v>
      </c>
      <c r="AG51" s="1"/>
      <c r="AH51" s="1"/>
      <c r="AI51" s="1"/>
      <c r="AJ51" s="1"/>
      <c r="AK51" s="1"/>
      <c r="AL51" s="1"/>
      <c r="AM51" s="1"/>
      <c r="AN51" s="1"/>
      <c r="AO51" s="1"/>
    </row>
    <row r="52" spans="1:41" customFormat="1" ht="14.5" x14ac:dyDescent="0.25">
      <c r="A52" s="10">
        <v>66</v>
      </c>
      <c r="B52" s="17">
        <v>21.73</v>
      </c>
      <c r="C52" s="17">
        <v>0.99</v>
      </c>
      <c r="D52" s="17">
        <v>1.74</v>
      </c>
      <c r="E52" s="17">
        <v>3.48</v>
      </c>
      <c r="F52" s="17">
        <v>14.37</v>
      </c>
      <c r="G52" s="12">
        <v>0.15</v>
      </c>
      <c r="H52" s="1"/>
      <c r="I52" s="13">
        <v>66</v>
      </c>
      <c r="J52" s="18">
        <v>21.73</v>
      </c>
      <c r="K52" s="18">
        <v>0.99</v>
      </c>
      <c r="L52" s="18">
        <v>1.74</v>
      </c>
      <c r="M52" s="18">
        <v>3.05</v>
      </c>
      <c r="N52" s="18">
        <v>14.37</v>
      </c>
      <c r="O52" s="14">
        <v>0.15</v>
      </c>
      <c r="P52" s="1"/>
      <c r="Q52" s="10">
        <v>66</v>
      </c>
      <c r="R52" s="15">
        <v>18.66</v>
      </c>
      <c r="S52" s="15">
        <v>0.99</v>
      </c>
      <c r="T52" s="15">
        <v>1.77</v>
      </c>
      <c r="U52" s="15">
        <v>3.61</v>
      </c>
      <c r="V52" s="15">
        <v>16.739999999999998</v>
      </c>
      <c r="W52" s="11">
        <v>0.15</v>
      </c>
      <c r="X52" s="1"/>
      <c r="Y52" s="20">
        <v>66</v>
      </c>
      <c r="Z52" s="21">
        <v>18.66</v>
      </c>
      <c r="AA52" s="21">
        <v>0.99</v>
      </c>
      <c r="AB52" s="21">
        <v>1.77</v>
      </c>
      <c r="AC52" s="21">
        <v>3.05</v>
      </c>
      <c r="AD52" s="21">
        <v>0.03</v>
      </c>
      <c r="AE52" s="21">
        <v>16.739999999999998</v>
      </c>
      <c r="AF52" s="14">
        <v>3.5</v>
      </c>
      <c r="AG52" s="1"/>
      <c r="AH52" s="1"/>
      <c r="AI52" s="1"/>
      <c r="AJ52" s="1"/>
      <c r="AK52" s="1"/>
      <c r="AL52" s="1"/>
      <c r="AM52" s="1"/>
      <c r="AN52" s="1"/>
      <c r="AO52" s="1"/>
    </row>
    <row r="53" spans="1:41" customFormat="1" ht="14.5" x14ac:dyDescent="0.25">
      <c r="A53" s="10">
        <v>67</v>
      </c>
      <c r="B53" s="17">
        <v>21.73</v>
      </c>
      <c r="C53" s="17">
        <v>0.99</v>
      </c>
      <c r="D53" s="17">
        <v>1.74</v>
      </c>
      <c r="E53" s="17">
        <v>3.48</v>
      </c>
      <c r="F53" s="17">
        <v>14.37</v>
      </c>
      <c r="G53" s="12">
        <v>0.15</v>
      </c>
      <c r="H53" s="1"/>
      <c r="I53" s="13">
        <v>67</v>
      </c>
      <c r="J53" s="18">
        <v>21.73</v>
      </c>
      <c r="K53" s="18">
        <v>0.99</v>
      </c>
      <c r="L53" s="18">
        <v>1.74</v>
      </c>
      <c r="M53" s="18">
        <v>3.05</v>
      </c>
      <c r="N53" s="18">
        <v>14.37</v>
      </c>
      <c r="O53" s="14">
        <v>0.15</v>
      </c>
      <c r="P53" s="1"/>
      <c r="Q53" s="10">
        <v>67</v>
      </c>
      <c r="R53" s="15">
        <v>18.66</v>
      </c>
      <c r="S53" s="15">
        <v>0.99</v>
      </c>
      <c r="T53" s="15">
        <v>1.77</v>
      </c>
      <c r="U53" s="15">
        <v>3.61</v>
      </c>
      <c r="V53" s="15">
        <v>16.739999999999998</v>
      </c>
      <c r="W53" s="11">
        <v>0.15</v>
      </c>
      <c r="X53" s="1"/>
      <c r="Y53" s="20">
        <v>67</v>
      </c>
      <c r="Z53" s="21">
        <v>18.66</v>
      </c>
      <c r="AA53" s="21">
        <v>0.99</v>
      </c>
      <c r="AB53" s="21">
        <v>1.77</v>
      </c>
      <c r="AC53" s="21">
        <v>3.05</v>
      </c>
      <c r="AD53" s="21">
        <v>0.03</v>
      </c>
      <c r="AE53" s="21">
        <v>16.739999999999998</v>
      </c>
      <c r="AF53" s="14">
        <v>3.5</v>
      </c>
      <c r="AG53" s="1"/>
      <c r="AH53" s="1"/>
      <c r="AI53" s="1"/>
      <c r="AJ53" s="1"/>
      <c r="AK53" s="1"/>
      <c r="AL53" s="1"/>
      <c r="AM53" s="1"/>
      <c r="AN53" s="1"/>
      <c r="AO53" s="1"/>
    </row>
    <row r="54" spans="1:41" customFormat="1" x14ac:dyDescent="0.25">
      <c r="A54" s="19" t="s">
        <v>108</v>
      </c>
      <c r="B54" s="1"/>
      <c r="C54" s="1"/>
      <c r="D54" s="1"/>
      <c r="E54" s="1"/>
      <c r="F54" s="1"/>
      <c r="G54" s="1"/>
      <c r="H54" s="1"/>
      <c r="I54" s="19" t="s">
        <v>108</v>
      </c>
      <c r="J54" s="1"/>
      <c r="K54" s="1"/>
      <c r="L54" s="1"/>
      <c r="M54" s="1"/>
      <c r="N54" s="1"/>
      <c r="O54" s="1"/>
      <c r="P54" s="1"/>
      <c r="Q54" s="19" t="s">
        <v>108</v>
      </c>
      <c r="R54" s="1"/>
      <c r="S54" s="1"/>
      <c r="T54" s="1"/>
      <c r="U54" s="1"/>
      <c r="V54" s="1"/>
      <c r="W54" s="1"/>
      <c r="X54" s="1"/>
      <c r="Y54" s="19" t="s">
        <v>108</v>
      </c>
      <c r="Z54" s="22"/>
      <c r="AA54" s="22"/>
      <c r="AB54" s="22"/>
      <c r="AC54" s="22"/>
      <c r="AD54" s="1"/>
      <c r="AE54" s="1"/>
      <c r="AF54" s="1"/>
      <c r="AG54" s="1"/>
      <c r="AH54" s="1"/>
      <c r="AI54" s="1"/>
      <c r="AJ54" s="1"/>
      <c r="AK54" s="1"/>
      <c r="AL54" s="1"/>
      <c r="AM54" s="1"/>
      <c r="AN54" s="1"/>
      <c r="AO54" s="1"/>
    </row>
    <row r="55" spans="1:41" customFormat="1" x14ac:dyDescent="0.25">
      <c r="A55" s="381" t="s">
        <v>109</v>
      </c>
      <c r="B55" s="381"/>
      <c r="C55" s="381"/>
      <c r="D55" s="381"/>
      <c r="E55" s="381"/>
      <c r="F55" s="381"/>
      <c r="G55" s="381"/>
      <c r="H55" s="381"/>
      <c r="I55" s="381" t="s">
        <v>109</v>
      </c>
      <c r="J55" s="381"/>
      <c r="K55" s="381"/>
      <c r="L55" s="381"/>
      <c r="M55" s="381"/>
      <c r="N55" s="381"/>
      <c r="O55" s="381"/>
      <c r="P55" s="381"/>
      <c r="Q55" s="381" t="s">
        <v>110</v>
      </c>
      <c r="R55" s="381"/>
      <c r="S55" s="381"/>
      <c r="T55" s="381"/>
      <c r="U55" s="381"/>
      <c r="V55" s="381"/>
      <c r="W55" s="381"/>
      <c r="X55" s="381"/>
      <c r="Y55" s="381" t="s">
        <v>111</v>
      </c>
      <c r="Z55" s="381"/>
      <c r="AA55" s="381"/>
      <c r="AB55" s="381"/>
      <c r="AC55" s="381"/>
      <c r="AD55" s="381"/>
      <c r="AE55" s="381"/>
      <c r="AF55" s="1"/>
      <c r="AG55" s="1"/>
      <c r="AH55" s="1"/>
      <c r="AI55" s="1"/>
      <c r="AJ55" s="1"/>
      <c r="AK55" s="1"/>
      <c r="AL55" s="1"/>
      <c r="AM55" s="1"/>
      <c r="AN55" s="1"/>
      <c r="AO55" s="1"/>
    </row>
    <row r="56" spans="1:41" customFormat="1" ht="13" x14ac:dyDescent="0.3">
      <c r="A56" s="23" t="s">
        <v>112</v>
      </c>
      <c r="B56" s="1"/>
      <c r="C56" s="1"/>
      <c r="D56" s="1"/>
      <c r="E56" s="1"/>
      <c r="F56" s="1"/>
      <c r="G56" s="1"/>
      <c r="H56" s="1"/>
      <c r="I56" s="23" t="s">
        <v>113</v>
      </c>
      <c r="J56" s="1"/>
      <c r="K56" s="1"/>
      <c r="L56" s="1"/>
      <c r="M56" s="1"/>
      <c r="N56" s="1"/>
      <c r="O56" s="1"/>
      <c r="P56" s="1"/>
      <c r="Q56" s="23" t="s">
        <v>114</v>
      </c>
      <c r="R56" s="1"/>
      <c r="S56" s="1"/>
      <c r="T56" s="1"/>
      <c r="U56" s="1"/>
      <c r="V56" s="1"/>
      <c r="W56" s="1"/>
      <c r="X56" s="1"/>
      <c r="Y56" s="23" t="s">
        <v>115</v>
      </c>
      <c r="Z56" s="1"/>
      <c r="AA56" s="1"/>
      <c r="AB56" s="1"/>
      <c r="AC56" s="1"/>
      <c r="AD56" s="1"/>
      <c r="AE56" s="1"/>
      <c r="AF56" s="1"/>
      <c r="AG56" s="1"/>
      <c r="AH56" s="1"/>
      <c r="AI56" s="1"/>
      <c r="AJ56" s="1"/>
      <c r="AK56" s="1"/>
      <c r="AL56" s="1"/>
      <c r="AM56" s="1"/>
      <c r="AN56" s="1"/>
      <c r="AO56" s="1"/>
    </row>
    <row r="57" spans="1:41" customForma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customFormat="1" ht="52" x14ac:dyDescent="0.25">
      <c r="A58" s="24" t="s">
        <v>71</v>
      </c>
      <c r="B58" s="24" t="s">
        <v>72</v>
      </c>
      <c r="C58" s="24" t="s">
        <v>73</v>
      </c>
      <c r="D58" s="24" t="s">
        <v>75</v>
      </c>
      <c r="E58" s="24" t="s">
        <v>116</v>
      </c>
      <c r="F58" s="24" t="s">
        <v>74</v>
      </c>
      <c r="G58" s="6" t="s">
        <v>93</v>
      </c>
      <c r="I58" s="25" t="s">
        <v>71</v>
      </c>
      <c r="J58" s="25" t="s">
        <v>72</v>
      </c>
      <c r="K58" s="25" t="s">
        <v>73</v>
      </c>
      <c r="L58" s="25" t="s">
        <v>75</v>
      </c>
      <c r="M58" s="25" t="s">
        <v>116</v>
      </c>
      <c r="N58" s="25" t="s">
        <v>74</v>
      </c>
      <c r="O58" s="26" t="s">
        <v>93</v>
      </c>
      <c r="P58" s="1"/>
      <c r="Q58" s="27" t="s">
        <v>71</v>
      </c>
      <c r="R58" s="27" t="s">
        <v>72</v>
      </c>
      <c r="S58" s="6" t="s">
        <v>13</v>
      </c>
      <c r="T58" s="27" t="s">
        <v>75</v>
      </c>
      <c r="U58" s="27" t="s">
        <v>117</v>
      </c>
      <c r="V58" s="27" t="s">
        <v>74</v>
      </c>
      <c r="W58" s="6" t="s">
        <v>93</v>
      </c>
      <c r="Y58" s="28" t="s">
        <v>71</v>
      </c>
      <c r="Z58" s="28" t="s">
        <v>72</v>
      </c>
      <c r="AA58" s="26" t="s">
        <v>13</v>
      </c>
      <c r="AB58" s="28" t="s">
        <v>75</v>
      </c>
      <c r="AC58" s="28" t="s">
        <v>117</v>
      </c>
      <c r="AD58" s="26" t="s">
        <v>100</v>
      </c>
      <c r="AE58" s="28" t="s">
        <v>74</v>
      </c>
      <c r="AF58" s="26" t="s">
        <v>93</v>
      </c>
      <c r="AG58" s="1"/>
      <c r="AH58" s="1"/>
      <c r="AI58" s="1"/>
      <c r="AJ58" s="1"/>
      <c r="AK58" s="1"/>
      <c r="AL58" s="1"/>
      <c r="AM58" s="1"/>
      <c r="AN58" s="1"/>
      <c r="AO58" s="1"/>
    </row>
    <row r="59" spans="1:41" customFormat="1" x14ac:dyDescent="0.25">
      <c r="A59" s="29">
        <v>18</v>
      </c>
      <c r="B59" s="30"/>
      <c r="C59" s="30"/>
      <c r="D59" s="30"/>
      <c r="E59" s="30"/>
      <c r="F59" s="30"/>
      <c r="G59" s="11"/>
      <c r="H59" s="1"/>
      <c r="I59" s="31">
        <v>18</v>
      </c>
      <c r="J59" s="32"/>
      <c r="K59" s="32"/>
      <c r="L59" s="32"/>
      <c r="M59" s="32"/>
      <c r="N59" s="32"/>
      <c r="O59" s="33"/>
      <c r="P59" s="1"/>
      <c r="Q59" s="29">
        <v>18</v>
      </c>
      <c r="R59" s="34"/>
      <c r="S59" s="29"/>
      <c r="T59" s="34"/>
      <c r="U59" s="34"/>
      <c r="V59" s="34"/>
      <c r="W59" s="11"/>
      <c r="X59" s="1"/>
      <c r="Y59" s="31">
        <v>18</v>
      </c>
      <c r="Z59" s="35"/>
      <c r="AA59" s="31"/>
      <c r="AB59" s="35"/>
      <c r="AC59" s="35"/>
      <c r="AD59" s="35"/>
      <c r="AE59" s="35"/>
      <c r="AF59" s="33"/>
      <c r="AG59" s="1"/>
      <c r="AH59" s="1"/>
      <c r="AI59" s="1"/>
      <c r="AJ59" s="1"/>
      <c r="AK59" s="1"/>
      <c r="AL59" s="1"/>
      <c r="AM59" s="1"/>
      <c r="AN59" s="1"/>
      <c r="AO59" s="1"/>
    </row>
    <row r="60" spans="1:41" customFormat="1" x14ac:dyDescent="0.25">
      <c r="A60" s="29">
        <v>19</v>
      </c>
      <c r="B60" s="30"/>
      <c r="C60" s="30"/>
      <c r="D60" s="30"/>
      <c r="E60" s="30"/>
      <c r="F60" s="30"/>
      <c r="G60" s="11"/>
      <c r="H60" s="1"/>
      <c r="I60" s="31">
        <v>19</v>
      </c>
      <c r="J60" s="32"/>
      <c r="K60" s="32"/>
      <c r="L60" s="32"/>
      <c r="M60" s="32"/>
      <c r="N60" s="32"/>
      <c r="O60" s="33"/>
      <c r="P60" s="1"/>
      <c r="Q60" s="29">
        <v>19</v>
      </c>
      <c r="R60" s="34"/>
      <c r="S60" s="29"/>
      <c r="T60" s="34"/>
      <c r="U60" s="34"/>
      <c r="V60" s="34"/>
      <c r="W60" s="11"/>
      <c r="X60" s="1"/>
      <c r="Y60" s="31">
        <v>19</v>
      </c>
      <c r="Z60" s="35"/>
      <c r="AA60" s="31"/>
      <c r="AB60" s="35"/>
      <c r="AC60" s="35"/>
      <c r="AD60" s="35"/>
      <c r="AE60" s="35"/>
      <c r="AF60" s="33"/>
      <c r="AG60" s="1"/>
      <c r="AH60" s="1"/>
      <c r="AI60" s="1"/>
      <c r="AJ60" s="1"/>
      <c r="AK60" s="1"/>
      <c r="AL60" s="1"/>
      <c r="AM60" s="1"/>
      <c r="AN60" s="1"/>
      <c r="AO60" s="1"/>
    </row>
    <row r="61" spans="1:41" customFormat="1" x14ac:dyDescent="0.25">
      <c r="A61" s="36">
        <v>20</v>
      </c>
      <c r="B61" s="30">
        <v>6.73</v>
      </c>
      <c r="C61" s="30">
        <v>0.35</v>
      </c>
      <c r="D61" s="30">
        <v>1.23</v>
      </c>
      <c r="E61" s="30">
        <v>3.5</v>
      </c>
      <c r="F61" s="30">
        <v>4.72</v>
      </c>
      <c r="G61" s="11">
        <v>0.15</v>
      </c>
      <c r="H61" s="1"/>
      <c r="I61" s="37">
        <v>20</v>
      </c>
      <c r="J61" s="32">
        <v>7.15</v>
      </c>
      <c r="K61" s="32">
        <v>0.33</v>
      </c>
      <c r="L61" s="32">
        <v>0.42</v>
      </c>
      <c r="M61" s="32">
        <v>3.02</v>
      </c>
      <c r="N61" s="32">
        <v>5.1100000000000003</v>
      </c>
      <c r="O61" s="33">
        <v>0.15</v>
      </c>
      <c r="P61" s="1"/>
      <c r="Q61" s="36">
        <v>20</v>
      </c>
      <c r="R61" s="34">
        <v>5.22</v>
      </c>
      <c r="S61" s="29">
        <v>0</v>
      </c>
      <c r="T61" s="34">
        <v>1.23</v>
      </c>
      <c r="U61" s="34">
        <v>3.5</v>
      </c>
      <c r="V61" s="34">
        <v>4.72</v>
      </c>
      <c r="W61" s="11">
        <v>0.15</v>
      </c>
      <c r="X61" s="1"/>
      <c r="Y61" s="37">
        <v>20</v>
      </c>
      <c r="Z61" s="35">
        <v>5.61</v>
      </c>
      <c r="AA61" s="31">
        <v>0</v>
      </c>
      <c r="AB61" s="35">
        <v>0.42</v>
      </c>
      <c r="AC61" s="35">
        <v>-0.84</v>
      </c>
      <c r="AD61" s="35">
        <v>5.1100000000000003</v>
      </c>
      <c r="AE61" s="35">
        <v>5.1100000000000003</v>
      </c>
      <c r="AF61" s="33">
        <v>3.5</v>
      </c>
      <c r="AG61" s="1"/>
      <c r="AH61" s="1"/>
      <c r="AI61" s="1"/>
      <c r="AJ61" s="1"/>
      <c r="AK61" s="1"/>
      <c r="AL61" s="1"/>
      <c r="AM61" s="1"/>
      <c r="AN61" s="1"/>
      <c r="AO61" s="1"/>
    </row>
    <row r="62" spans="1:41" customFormat="1" x14ac:dyDescent="0.25">
      <c r="A62" s="36">
        <v>21</v>
      </c>
      <c r="B62" s="30">
        <v>6.91</v>
      </c>
      <c r="C62" s="30">
        <v>0.36</v>
      </c>
      <c r="D62" s="30">
        <v>1.26</v>
      </c>
      <c r="E62" s="30">
        <v>3.49</v>
      </c>
      <c r="F62" s="30">
        <v>4.8499999999999996</v>
      </c>
      <c r="G62" s="11">
        <v>0.15</v>
      </c>
      <c r="H62" s="1"/>
      <c r="I62" s="37">
        <v>21</v>
      </c>
      <c r="J62" s="32">
        <v>7.33</v>
      </c>
      <c r="K62" s="32">
        <v>0.34</v>
      </c>
      <c r="L62" s="32">
        <v>0.43</v>
      </c>
      <c r="M62" s="32">
        <v>3.01</v>
      </c>
      <c r="N62" s="32">
        <v>5.25</v>
      </c>
      <c r="O62" s="33">
        <v>0.15</v>
      </c>
      <c r="P62" s="1"/>
      <c r="Q62" s="36">
        <v>21</v>
      </c>
      <c r="R62" s="34">
        <v>5.35</v>
      </c>
      <c r="S62" s="29">
        <v>0</v>
      </c>
      <c r="T62" s="34">
        <v>1.26</v>
      </c>
      <c r="U62" s="34">
        <v>3.49</v>
      </c>
      <c r="V62" s="34">
        <v>4.8499999999999996</v>
      </c>
      <c r="W62" s="11">
        <v>0.15</v>
      </c>
      <c r="X62" s="1"/>
      <c r="Y62" s="37">
        <v>21</v>
      </c>
      <c r="Z62" s="35">
        <v>5.75</v>
      </c>
      <c r="AA62" s="31">
        <v>0</v>
      </c>
      <c r="AB62" s="35">
        <v>0.43</v>
      </c>
      <c r="AC62" s="35">
        <v>-0.86</v>
      </c>
      <c r="AD62" s="35">
        <v>5.25</v>
      </c>
      <c r="AE62" s="35">
        <v>5.25</v>
      </c>
      <c r="AF62" s="33">
        <v>3.5</v>
      </c>
      <c r="AG62" s="1"/>
      <c r="AH62" s="1"/>
      <c r="AI62" s="1"/>
      <c r="AJ62" s="1"/>
      <c r="AK62" s="1"/>
      <c r="AL62" s="1"/>
      <c r="AM62" s="1"/>
      <c r="AN62" s="1"/>
      <c r="AO62" s="1"/>
    </row>
    <row r="63" spans="1:41" customFormat="1" x14ac:dyDescent="0.25">
      <c r="A63" s="36">
        <v>22</v>
      </c>
      <c r="B63" s="30">
        <v>7.08</v>
      </c>
      <c r="C63" s="30">
        <v>0.37</v>
      </c>
      <c r="D63" s="30">
        <v>1.29</v>
      </c>
      <c r="E63" s="30">
        <v>3.49</v>
      </c>
      <c r="F63" s="30">
        <v>4.9800000000000004</v>
      </c>
      <c r="G63" s="11">
        <v>0.15</v>
      </c>
      <c r="H63" s="1"/>
      <c r="I63" s="37">
        <v>22</v>
      </c>
      <c r="J63" s="32">
        <v>7.52</v>
      </c>
      <c r="K63" s="32">
        <v>0.35</v>
      </c>
      <c r="L63" s="32">
        <v>0.44</v>
      </c>
      <c r="M63" s="32">
        <v>3.01</v>
      </c>
      <c r="N63" s="32">
        <v>5.39</v>
      </c>
      <c r="O63" s="33">
        <v>0.15</v>
      </c>
      <c r="P63" s="1"/>
      <c r="Q63" s="36">
        <v>22</v>
      </c>
      <c r="R63" s="34">
        <v>5.48</v>
      </c>
      <c r="S63" s="29">
        <v>0</v>
      </c>
      <c r="T63" s="34">
        <v>1.29</v>
      </c>
      <c r="U63" s="34">
        <v>3.49</v>
      </c>
      <c r="V63" s="34">
        <v>4.9800000000000004</v>
      </c>
      <c r="W63" s="11">
        <v>0.15</v>
      </c>
      <c r="X63" s="1"/>
      <c r="Y63" s="37">
        <v>22</v>
      </c>
      <c r="Z63" s="35">
        <v>5.9</v>
      </c>
      <c r="AA63" s="31">
        <v>0</v>
      </c>
      <c r="AB63" s="35">
        <v>0.44</v>
      </c>
      <c r="AC63" s="35">
        <v>-0.87</v>
      </c>
      <c r="AD63" s="35">
        <v>5.39</v>
      </c>
      <c r="AE63" s="35">
        <v>5.39</v>
      </c>
      <c r="AF63" s="33">
        <v>3.5</v>
      </c>
      <c r="AG63" s="1"/>
      <c r="AH63" s="1"/>
      <c r="AI63" s="1"/>
      <c r="AJ63" s="1"/>
      <c r="AK63" s="1"/>
      <c r="AL63" s="1"/>
      <c r="AM63" s="1"/>
      <c r="AN63" s="1"/>
      <c r="AO63" s="1"/>
    </row>
    <row r="64" spans="1:41" customFormat="1" x14ac:dyDescent="0.25">
      <c r="A64" s="36">
        <v>23</v>
      </c>
      <c r="B64" s="30">
        <v>7.26</v>
      </c>
      <c r="C64" s="30">
        <v>0.38</v>
      </c>
      <c r="D64" s="30">
        <v>1.33</v>
      </c>
      <c r="E64" s="30">
        <v>3.48</v>
      </c>
      <c r="F64" s="30">
        <v>5.12</v>
      </c>
      <c r="G64" s="11">
        <v>0.15</v>
      </c>
      <c r="H64" s="1"/>
      <c r="I64" s="37">
        <v>23</v>
      </c>
      <c r="J64" s="32">
        <v>7.71</v>
      </c>
      <c r="K64" s="32">
        <v>0.36</v>
      </c>
      <c r="L64" s="32">
        <v>0.46</v>
      </c>
      <c r="M64" s="32">
        <v>3.01</v>
      </c>
      <c r="N64" s="32">
        <v>5.54</v>
      </c>
      <c r="O64" s="33">
        <v>0.15</v>
      </c>
      <c r="P64" s="1"/>
      <c r="Q64" s="36">
        <v>23</v>
      </c>
      <c r="R64" s="34">
        <v>5.63</v>
      </c>
      <c r="S64" s="29">
        <v>0</v>
      </c>
      <c r="T64" s="34">
        <v>1.33</v>
      </c>
      <c r="U64" s="34">
        <v>3.48</v>
      </c>
      <c r="V64" s="34">
        <v>5.12</v>
      </c>
      <c r="W64" s="11">
        <v>0.15</v>
      </c>
      <c r="X64" s="1"/>
      <c r="Y64" s="37">
        <v>23</v>
      </c>
      <c r="Z64" s="35">
        <v>6.05</v>
      </c>
      <c r="AA64" s="31">
        <v>0</v>
      </c>
      <c r="AB64" s="35">
        <v>0.46</v>
      </c>
      <c r="AC64" s="35">
        <v>-0.89</v>
      </c>
      <c r="AD64" s="35">
        <v>5.54</v>
      </c>
      <c r="AE64" s="35">
        <v>5.54</v>
      </c>
      <c r="AF64" s="33">
        <v>3.5</v>
      </c>
      <c r="AG64" s="1"/>
      <c r="AH64" s="1"/>
      <c r="AI64" s="1"/>
      <c r="AJ64" s="1"/>
      <c r="AK64" s="1"/>
      <c r="AL64" s="1"/>
      <c r="AM64" s="1"/>
      <c r="AN64" s="1"/>
      <c r="AO64" s="1"/>
    </row>
    <row r="65" spans="1:41" customFormat="1" x14ac:dyDescent="0.25">
      <c r="A65" s="36">
        <v>24</v>
      </c>
      <c r="B65" s="30">
        <v>7.46</v>
      </c>
      <c r="C65" s="30">
        <v>0.39</v>
      </c>
      <c r="D65" s="30">
        <v>1.37</v>
      </c>
      <c r="E65" s="30">
        <v>3.48</v>
      </c>
      <c r="F65" s="30">
        <v>5.26</v>
      </c>
      <c r="G65" s="11">
        <v>0.15</v>
      </c>
      <c r="H65" s="1"/>
      <c r="I65" s="37">
        <v>24</v>
      </c>
      <c r="J65" s="32">
        <v>7.92</v>
      </c>
      <c r="K65" s="32">
        <v>0.38</v>
      </c>
      <c r="L65" s="32">
        <v>0.47</v>
      </c>
      <c r="M65" s="32">
        <v>3</v>
      </c>
      <c r="N65" s="32">
        <v>5.69</v>
      </c>
      <c r="O65" s="33">
        <v>0.15</v>
      </c>
      <c r="P65" s="1"/>
      <c r="Q65" s="36">
        <v>24</v>
      </c>
      <c r="R65" s="34">
        <v>5.77</v>
      </c>
      <c r="S65" s="29">
        <v>0</v>
      </c>
      <c r="T65" s="34">
        <v>1.37</v>
      </c>
      <c r="U65" s="34">
        <v>3.48</v>
      </c>
      <c r="V65" s="34">
        <v>5.26</v>
      </c>
      <c r="W65" s="11">
        <v>0.15</v>
      </c>
      <c r="X65" s="1"/>
      <c r="Y65" s="37">
        <v>24</v>
      </c>
      <c r="Z65" s="35">
        <v>6.2</v>
      </c>
      <c r="AA65" s="31">
        <v>0</v>
      </c>
      <c r="AB65" s="35">
        <v>0.47</v>
      </c>
      <c r="AC65" s="35">
        <v>-0.9</v>
      </c>
      <c r="AD65" s="35">
        <v>5.69</v>
      </c>
      <c r="AE65" s="35">
        <v>5.69</v>
      </c>
      <c r="AF65" s="33">
        <v>3.5</v>
      </c>
      <c r="AG65" s="1"/>
      <c r="AH65" s="1"/>
      <c r="AI65" s="1"/>
      <c r="AJ65" s="1"/>
      <c r="AK65" s="1"/>
      <c r="AL65" s="1"/>
      <c r="AM65" s="1"/>
      <c r="AN65" s="1"/>
      <c r="AO65" s="1"/>
    </row>
    <row r="66" spans="1:41" customFormat="1" x14ac:dyDescent="0.25">
      <c r="A66" s="36">
        <v>25</v>
      </c>
      <c r="B66" s="30">
        <v>7.65</v>
      </c>
      <c r="C66" s="30">
        <v>0.4</v>
      </c>
      <c r="D66" s="30">
        <v>1.4</v>
      </c>
      <c r="E66" s="30">
        <v>3.47</v>
      </c>
      <c r="F66" s="30">
        <v>5.4</v>
      </c>
      <c r="G66" s="11">
        <v>0.15</v>
      </c>
      <c r="H66" s="1"/>
      <c r="I66" s="37">
        <v>25</v>
      </c>
      <c r="J66" s="32">
        <v>8.1300000000000008</v>
      </c>
      <c r="K66" s="32">
        <v>0.38</v>
      </c>
      <c r="L66" s="32">
        <v>0.48</v>
      </c>
      <c r="M66" s="32">
        <v>3</v>
      </c>
      <c r="N66" s="32">
        <v>5.85</v>
      </c>
      <c r="O66" s="33">
        <v>0.15</v>
      </c>
      <c r="P66" s="1"/>
      <c r="Q66" s="36">
        <v>25</v>
      </c>
      <c r="R66" s="34">
        <v>5.91</v>
      </c>
      <c r="S66" s="29">
        <v>0</v>
      </c>
      <c r="T66" s="34">
        <v>1.4</v>
      </c>
      <c r="U66" s="34">
        <v>3.47</v>
      </c>
      <c r="V66" s="34">
        <v>5.4</v>
      </c>
      <c r="W66" s="11">
        <v>0.15</v>
      </c>
      <c r="X66" s="1"/>
      <c r="Y66" s="37">
        <v>25</v>
      </c>
      <c r="Z66" s="35">
        <v>6.36</v>
      </c>
      <c r="AA66" s="31">
        <v>0</v>
      </c>
      <c r="AB66" s="35">
        <v>0.48</v>
      </c>
      <c r="AC66" s="35">
        <v>-0.92</v>
      </c>
      <c r="AD66" s="35">
        <v>5.85</v>
      </c>
      <c r="AE66" s="35">
        <v>5.85</v>
      </c>
      <c r="AF66" s="33">
        <v>3.5</v>
      </c>
      <c r="AG66" s="1"/>
      <c r="AH66" s="1"/>
      <c r="AI66" s="1"/>
      <c r="AJ66" s="1"/>
      <c r="AK66" s="1"/>
      <c r="AL66" s="1"/>
      <c r="AM66" s="1"/>
      <c r="AN66" s="1"/>
      <c r="AO66" s="1"/>
    </row>
    <row r="67" spans="1:41" customFormat="1" x14ac:dyDescent="0.25">
      <c r="A67" s="36">
        <v>26</v>
      </c>
      <c r="B67" s="30">
        <v>7.84</v>
      </c>
      <c r="C67" s="30">
        <v>0.41</v>
      </c>
      <c r="D67" s="30">
        <v>1.44</v>
      </c>
      <c r="E67" s="30">
        <v>3.46</v>
      </c>
      <c r="F67" s="30">
        <v>5.55</v>
      </c>
      <c r="G67" s="11">
        <v>0.15</v>
      </c>
      <c r="H67" s="1"/>
      <c r="I67" s="37">
        <v>26</v>
      </c>
      <c r="J67" s="32">
        <v>8.34</v>
      </c>
      <c r="K67" s="32">
        <v>0.39</v>
      </c>
      <c r="L67" s="32">
        <v>0.49</v>
      </c>
      <c r="M67" s="32">
        <v>2.99</v>
      </c>
      <c r="N67" s="32">
        <v>6.01</v>
      </c>
      <c r="O67" s="33">
        <v>0.15</v>
      </c>
      <c r="P67" s="1"/>
      <c r="Q67" s="36">
        <v>26</v>
      </c>
      <c r="R67" s="34">
        <v>6.06</v>
      </c>
      <c r="S67" s="29">
        <v>0</v>
      </c>
      <c r="T67" s="34">
        <v>1.44</v>
      </c>
      <c r="U67" s="34">
        <v>3.46</v>
      </c>
      <c r="V67" s="34">
        <v>5.55</v>
      </c>
      <c r="W67" s="11">
        <v>0.15</v>
      </c>
      <c r="X67" s="1"/>
      <c r="Y67" s="37">
        <v>26</v>
      </c>
      <c r="Z67" s="35">
        <v>6.52</v>
      </c>
      <c r="AA67" s="31">
        <v>0</v>
      </c>
      <c r="AB67" s="35">
        <v>0.49</v>
      </c>
      <c r="AC67" s="35">
        <v>-0.93</v>
      </c>
      <c r="AD67" s="35">
        <v>6.01</v>
      </c>
      <c r="AE67" s="35">
        <v>6.01</v>
      </c>
      <c r="AF67" s="33">
        <v>3.5</v>
      </c>
      <c r="AG67" s="1"/>
      <c r="AH67" s="1"/>
      <c r="AI67" s="1"/>
      <c r="AJ67" s="1"/>
      <c r="AK67" s="1"/>
      <c r="AL67" s="1"/>
      <c r="AM67" s="1"/>
      <c r="AN67" s="1"/>
      <c r="AO67" s="1"/>
    </row>
    <row r="68" spans="1:41" customFormat="1" x14ac:dyDescent="0.25">
      <c r="A68" s="36">
        <v>27</v>
      </c>
      <c r="B68" s="30">
        <v>8.0500000000000007</v>
      </c>
      <c r="C68" s="30">
        <v>0.42</v>
      </c>
      <c r="D68" s="30">
        <v>1.48</v>
      </c>
      <c r="E68" s="30">
        <v>3.46</v>
      </c>
      <c r="F68" s="30">
        <v>5.7</v>
      </c>
      <c r="G68" s="11">
        <v>0.15</v>
      </c>
      <c r="H68" s="1"/>
      <c r="I68" s="37">
        <v>27</v>
      </c>
      <c r="J68" s="32">
        <v>8.5500000000000007</v>
      </c>
      <c r="K68" s="32">
        <v>0.42</v>
      </c>
      <c r="L68" s="32">
        <v>0.5</v>
      </c>
      <c r="M68" s="32">
        <v>2.99</v>
      </c>
      <c r="N68" s="32">
        <v>6.18</v>
      </c>
      <c r="O68" s="33">
        <v>0.15</v>
      </c>
      <c r="P68" s="1"/>
      <c r="Q68" s="36">
        <v>27</v>
      </c>
      <c r="R68" s="34">
        <v>6.22</v>
      </c>
      <c r="S68" s="29">
        <v>0</v>
      </c>
      <c r="T68" s="34">
        <v>1.48</v>
      </c>
      <c r="U68" s="34">
        <v>3.46</v>
      </c>
      <c r="V68" s="34">
        <v>5.7</v>
      </c>
      <c r="W68" s="11">
        <v>0.15</v>
      </c>
      <c r="X68" s="1"/>
      <c r="Y68" s="37">
        <v>27</v>
      </c>
      <c r="Z68" s="35">
        <v>6.7</v>
      </c>
      <c r="AA68" s="31">
        <v>0</v>
      </c>
      <c r="AB68" s="35">
        <v>0.5</v>
      </c>
      <c r="AC68" s="35">
        <v>-0.95</v>
      </c>
      <c r="AD68" s="35">
        <v>6.18</v>
      </c>
      <c r="AE68" s="35">
        <v>6.18</v>
      </c>
      <c r="AF68" s="33">
        <v>3.5</v>
      </c>
      <c r="AG68" s="1"/>
      <c r="AH68" s="1"/>
      <c r="AI68" s="1"/>
      <c r="AJ68" s="1"/>
      <c r="AK68" s="1"/>
      <c r="AL68" s="1"/>
      <c r="AM68" s="1"/>
      <c r="AN68" s="1"/>
      <c r="AO68" s="1"/>
    </row>
    <row r="69" spans="1:41" customFormat="1" x14ac:dyDescent="0.25">
      <c r="A69" s="36">
        <v>28</v>
      </c>
      <c r="B69" s="30">
        <v>8.26</v>
      </c>
      <c r="C69" s="30">
        <v>0.43</v>
      </c>
      <c r="D69" s="30">
        <v>1.52</v>
      </c>
      <c r="E69" s="30">
        <v>3.45</v>
      </c>
      <c r="F69" s="30">
        <v>5.85</v>
      </c>
      <c r="G69" s="11">
        <v>0.15</v>
      </c>
      <c r="H69" s="1"/>
      <c r="I69" s="37">
        <v>28</v>
      </c>
      <c r="J69" s="32">
        <v>8.7799999999999994</v>
      </c>
      <c r="K69" s="32">
        <v>0.43</v>
      </c>
      <c r="L69" s="32">
        <v>0.52</v>
      </c>
      <c r="M69" s="32">
        <v>2.99</v>
      </c>
      <c r="N69" s="32">
        <v>6.35</v>
      </c>
      <c r="O69" s="33">
        <v>0.15</v>
      </c>
      <c r="P69" s="1"/>
      <c r="Q69" s="36">
        <v>28</v>
      </c>
      <c r="R69" s="34">
        <v>6.37</v>
      </c>
      <c r="S69" s="29">
        <v>0</v>
      </c>
      <c r="T69" s="34">
        <v>1.52</v>
      </c>
      <c r="U69" s="34">
        <v>3.45</v>
      </c>
      <c r="V69" s="34">
        <v>5.85</v>
      </c>
      <c r="W69" s="11">
        <v>0.15</v>
      </c>
      <c r="X69" s="1"/>
      <c r="Y69" s="37">
        <v>28</v>
      </c>
      <c r="Z69" s="35">
        <v>6.87</v>
      </c>
      <c r="AA69" s="31">
        <v>0</v>
      </c>
      <c r="AB69" s="35">
        <v>0.52</v>
      </c>
      <c r="AC69" s="35">
        <v>-0.96</v>
      </c>
      <c r="AD69" s="35">
        <v>6.35</v>
      </c>
      <c r="AE69" s="35">
        <v>6.35</v>
      </c>
      <c r="AF69" s="33">
        <v>3.5</v>
      </c>
      <c r="AG69" s="1"/>
      <c r="AH69" s="1"/>
      <c r="AI69" s="1"/>
      <c r="AJ69" s="1"/>
      <c r="AK69" s="1"/>
      <c r="AL69" s="1"/>
      <c r="AM69" s="1"/>
      <c r="AN69" s="1"/>
      <c r="AO69" s="1"/>
    </row>
    <row r="70" spans="1:41" customFormat="1" x14ac:dyDescent="0.25">
      <c r="A70" s="36">
        <v>29</v>
      </c>
      <c r="B70" s="30">
        <v>8.4700000000000006</v>
      </c>
      <c r="C70" s="30">
        <v>0.44</v>
      </c>
      <c r="D70" s="30">
        <v>1.56</v>
      </c>
      <c r="E70" s="30">
        <v>3.45</v>
      </c>
      <c r="F70" s="30">
        <v>6.01</v>
      </c>
      <c r="G70" s="11">
        <v>0.15</v>
      </c>
      <c r="H70" s="1"/>
      <c r="I70" s="37">
        <v>29</v>
      </c>
      <c r="J70" s="32">
        <v>9.01</v>
      </c>
      <c r="K70" s="32">
        <v>0.44</v>
      </c>
      <c r="L70" s="32">
        <v>0.53</v>
      </c>
      <c r="M70" s="32">
        <v>2.98</v>
      </c>
      <c r="N70" s="32">
        <v>6.53</v>
      </c>
      <c r="O70" s="33">
        <v>0.15</v>
      </c>
      <c r="P70" s="1"/>
      <c r="Q70" s="36">
        <v>29</v>
      </c>
      <c r="R70" s="34">
        <v>6.53</v>
      </c>
      <c r="S70" s="29">
        <v>0</v>
      </c>
      <c r="T70" s="34">
        <v>1.56</v>
      </c>
      <c r="U70" s="34">
        <v>3.45</v>
      </c>
      <c r="V70" s="34">
        <v>6.01</v>
      </c>
      <c r="W70" s="11">
        <v>0.15</v>
      </c>
      <c r="X70" s="1"/>
      <c r="Y70" s="37">
        <v>29</v>
      </c>
      <c r="Z70" s="35">
        <v>7.05</v>
      </c>
      <c r="AA70" s="31">
        <v>0</v>
      </c>
      <c r="AB70" s="35">
        <v>0.53</v>
      </c>
      <c r="AC70" s="35">
        <v>-0.98</v>
      </c>
      <c r="AD70" s="35">
        <v>6.53</v>
      </c>
      <c r="AE70" s="35">
        <v>6.53</v>
      </c>
      <c r="AF70" s="33">
        <v>3.5</v>
      </c>
      <c r="AG70" s="1"/>
      <c r="AH70" s="1"/>
      <c r="AI70" s="1"/>
      <c r="AJ70" s="1"/>
      <c r="AK70" s="1"/>
      <c r="AL70" s="1"/>
      <c r="AM70" s="1"/>
      <c r="AN70" s="1"/>
      <c r="AO70" s="1"/>
    </row>
    <row r="71" spans="1:41" customFormat="1" x14ac:dyDescent="0.25">
      <c r="A71" s="36">
        <v>30</v>
      </c>
      <c r="B71" s="30">
        <v>8.68</v>
      </c>
      <c r="C71" s="30">
        <v>0.44</v>
      </c>
      <c r="D71" s="30">
        <v>1.61</v>
      </c>
      <c r="E71" s="30">
        <v>3.44</v>
      </c>
      <c r="F71" s="30">
        <v>6.18</v>
      </c>
      <c r="G71" s="11">
        <v>0.15</v>
      </c>
      <c r="H71" s="1"/>
      <c r="I71" s="37">
        <v>30</v>
      </c>
      <c r="J71" s="32">
        <v>9.24</v>
      </c>
      <c r="K71" s="32">
        <v>0.44</v>
      </c>
      <c r="L71" s="32">
        <v>0.54</v>
      </c>
      <c r="M71" s="32">
        <v>2.98</v>
      </c>
      <c r="N71" s="32">
        <v>6.71</v>
      </c>
      <c r="O71" s="33">
        <v>0.15</v>
      </c>
      <c r="P71" s="1"/>
      <c r="Q71" s="36">
        <v>30</v>
      </c>
      <c r="R71" s="34">
        <v>6.7</v>
      </c>
      <c r="S71" s="29">
        <v>0</v>
      </c>
      <c r="T71" s="34">
        <v>1.62</v>
      </c>
      <c r="U71" s="34">
        <v>3.44</v>
      </c>
      <c r="V71" s="34">
        <v>6.18</v>
      </c>
      <c r="W71" s="11">
        <v>0.15</v>
      </c>
      <c r="X71" s="1"/>
      <c r="Y71" s="37">
        <v>30</v>
      </c>
      <c r="Z71" s="35">
        <v>7.23</v>
      </c>
      <c r="AA71" s="31">
        <v>0</v>
      </c>
      <c r="AB71" s="35">
        <v>0.54</v>
      </c>
      <c r="AC71" s="35">
        <v>-0.99</v>
      </c>
      <c r="AD71" s="35">
        <v>6.71</v>
      </c>
      <c r="AE71" s="35">
        <v>6.71</v>
      </c>
      <c r="AF71" s="33">
        <v>3.5</v>
      </c>
      <c r="AG71" s="1"/>
      <c r="AH71" s="1"/>
      <c r="AI71" s="1"/>
      <c r="AJ71" s="1"/>
      <c r="AK71" s="1"/>
      <c r="AL71" s="1"/>
      <c r="AM71" s="1"/>
      <c r="AN71" s="1"/>
      <c r="AO71" s="1"/>
    </row>
    <row r="72" spans="1:41" customFormat="1" x14ac:dyDescent="0.25">
      <c r="A72" s="36">
        <v>31</v>
      </c>
      <c r="B72" s="30">
        <v>8.91</v>
      </c>
      <c r="C72" s="30">
        <v>0.47</v>
      </c>
      <c r="D72" s="30">
        <v>1.65</v>
      </c>
      <c r="E72" s="30">
        <v>3.44</v>
      </c>
      <c r="F72" s="30">
        <v>6.35</v>
      </c>
      <c r="G72" s="11">
        <v>0.15</v>
      </c>
      <c r="H72" s="1"/>
      <c r="I72" s="37">
        <v>31</v>
      </c>
      <c r="J72" s="32">
        <v>9.48</v>
      </c>
      <c r="K72" s="32">
        <v>0.45</v>
      </c>
      <c r="L72" s="32">
        <v>0.56000000000000005</v>
      </c>
      <c r="M72" s="32">
        <v>2.97</v>
      </c>
      <c r="N72" s="32">
        <v>6.89</v>
      </c>
      <c r="O72" s="33">
        <v>0.15</v>
      </c>
      <c r="P72" s="1"/>
      <c r="Q72" s="36">
        <v>31</v>
      </c>
      <c r="R72" s="34">
        <v>6.87</v>
      </c>
      <c r="S72" s="29">
        <v>0</v>
      </c>
      <c r="T72" s="34">
        <v>1.66</v>
      </c>
      <c r="U72" s="34">
        <v>3.44</v>
      </c>
      <c r="V72" s="34">
        <v>6.35</v>
      </c>
      <c r="W72" s="11">
        <v>0.15</v>
      </c>
      <c r="X72" s="1"/>
      <c r="Y72" s="37">
        <v>31</v>
      </c>
      <c r="Z72" s="35">
        <v>7.41</v>
      </c>
      <c r="AA72" s="31">
        <v>0</v>
      </c>
      <c r="AB72" s="35">
        <v>0.56000000000000005</v>
      </c>
      <c r="AC72" s="35">
        <v>-1.01</v>
      </c>
      <c r="AD72" s="35">
        <v>6.89</v>
      </c>
      <c r="AE72" s="35">
        <v>6.89</v>
      </c>
      <c r="AF72" s="33">
        <v>3.5</v>
      </c>
      <c r="AG72" s="1"/>
      <c r="AH72" s="1"/>
      <c r="AI72" s="1"/>
      <c r="AJ72" s="1"/>
      <c r="AK72" s="1"/>
      <c r="AL72" s="1"/>
      <c r="AM72" s="1"/>
      <c r="AN72" s="1"/>
      <c r="AO72" s="1"/>
    </row>
    <row r="73" spans="1:41" customFormat="1" x14ac:dyDescent="0.25">
      <c r="A73" s="36">
        <v>32</v>
      </c>
      <c r="B73" s="30">
        <v>9.14</v>
      </c>
      <c r="C73" s="30">
        <v>0.47</v>
      </c>
      <c r="D73" s="30">
        <v>1.69</v>
      </c>
      <c r="E73" s="30">
        <v>3.43</v>
      </c>
      <c r="F73" s="30">
        <v>6.52</v>
      </c>
      <c r="G73" s="11">
        <v>0.15</v>
      </c>
      <c r="H73" s="1"/>
      <c r="I73" s="37">
        <v>32</v>
      </c>
      <c r="J73" s="32">
        <v>9.73</v>
      </c>
      <c r="K73" s="32">
        <v>0.47</v>
      </c>
      <c r="L73" s="32">
        <v>0.56999999999999995</v>
      </c>
      <c r="M73" s="32">
        <v>2.97</v>
      </c>
      <c r="N73" s="32">
        <v>7.08</v>
      </c>
      <c r="O73" s="33">
        <v>0.15</v>
      </c>
      <c r="P73" s="1"/>
      <c r="Q73" s="36">
        <v>32</v>
      </c>
      <c r="R73" s="34">
        <v>7.04</v>
      </c>
      <c r="S73" s="29">
        <v>0</v>
      </c>
      <c r="T73" s="34">
        <v>1.7</v>
      </c>
      <c r="U73" s="34">
        <v>3.43</v>
      </c>
      <c r="V73" s="34">
        <v>6.52</v>
      </c>
      <c r="W73" s="11">
        <v>0.15</v>
      </c>
      <c r="X73" s="1"/>
      <c r="Y73" s="37">
        <v>32</v>
      </c>
      <c r="Z73" s="35">
        <v>7.6</v>
      </c>
      <c r="AA73" s="31">
        <v>0</v>
      </c>
      <c r="AB73" s="35">
        <v>0.56999999999999995</v>
      </c>
      <c r="AC73" s="35">
        <v>-1.02</v>
      </c>
      <c r="AD73" s="35">
        <v>7.08</v>
      </c>
      <c r="AE73" s="35">
        <v>7.08</v>
      </c>
      <c r="AF73" s="33">
        <v>3.5</v>
      </c>
      <c r="AG73" s="1"/>
      <c r="AH73" s="1"/>
      <c r="AI73" s="1"/>
      <c r="AJ73" s="1"/>
      <c r="AK73" s="1"/>
      <c r="AL73" s="1"/>
      <c r="AM73" s="1"/>
      <c r="AN73" s="1"/>
      <c r="AO73" s="1"/>
    </row>
    <row r="74" spans="1:41" customFormat="1" x14ac:dyDescent="0.25">
      <c r="A74" s="36">
        <v>33</v>
      </c>
      <c r="B74" s="30">
        <v>9.3800000000000008</v>
      </c>
      <c r="C74" s="30">
        <v>0.48</v>
      </c>
      <c r="D74" s="30">
        <v>1.73</v>
      </c>
      <c r="E74" s="30">
        <v>3.43</v>
      </c>
      <c r="F74" s="30">
        <v>6.7</v>
      </c>
      <c r="G74" s="11">
        <v>0.15</v>
      </c>
      <c r="H74" s="1"/>
      <c r="I74" s="37">
        <v>33</v>
      </c>
      <c r="J74" s="32">
        <v>9.99</v>
      </c>
      <c r="K74" s="32">
        <v>0.48</v>
      </c>
      <c r="L74" s="32">
        <v>0.57999999999999996</v>
      </c>
      <c r="M74" s="32">
        <v>2.97</v>
      </c>
      <c r="N74" s="32">
        <v>7.28</v>
      </c>
      <c r="O74" s="33">
        <v>0.15</v>
      </c>
      <c r="P74" s="1"/>
      <c r="Q74" s="36">
        <v>33</v>
      </c>
      <c r="R74" s="34">
        <v>7.22</v>
      </c>
      <c r="S74" s="29">
        <v>0</v>
      </c>
      <c r="T74" s="34">
        <v>1.73</v>
      </c>
      <c r="U74" s="34">
        <v>3.43</v>
      </c>
      <c r="V74" s="34">
        <v>6.7</v>
      </c>
      <c r="W74" s="11">
        <v>0.15</v>
      </c>
      <c r="X74" s="1"/>
      <c r="Y74" s="37">
        <v>33</v>
      </c>
      <c r="Z74" s="35">
        <v>7.8</v>
      </c>
      <c r="AA74" s="31">
        <v>0</v>
      </c>
      <c r="AB74" s="35">
        <v>0.57999999999999996</v>
      </c>
      <c r="AC74" s="35">
        <v>-1.04</v>
      </c>
      <c r="AD74" s="35">
        <v>7.28</v>
      </c>
      <c r="AE74" s="35">
        <v>7.28</v>
      </c>
      <c r="AF74" s="33">
        <v>3.5</v>
      </c>
      <c r="AG74" s="1"/>
      <c r="AH74" s="1"/>
      <c r="AI74" s="1"/>
      <c r="AJ74" s="1"/>
      <c r="AK74" s="1"/>
      <c r="AL74" s="1"/>
      <c r="AM74" s="1"/>
      <c r="AN74" s="1"/>
      <c r="AO74" s="1"/>
    </row>
    <row r="75" spans="1:41" customFormat="1" x14ac:dyDescent="0.25">
      <c r="A75" s="36">
        <v>34</v>
      </c>
      <c r="B75" s="30">
        <v>9.6199999999999992</v>
      </c>
      <c r="C75" s="30">
        <v>0.5</v>
      </c>
      <c r="D75" s="30">
        <v>1.78</v>
      </c>
      <c r="E75" s="30">
        <v>3.42</v>
      </c>
      <c r="F75" s="30">
        <v>6.88</v>
      </c>
      <c r="G75" s="11">
        <v>0.15</v>
      </c>
      <c r="H75" s="1"/>
      <c r="I75" s="37">
        <v>34</v>
      </c>
      <c r="J75" s="32">
        <v>10.25</v>
      </c>
      <c r="K75" s="32">
        <v>0.49</v>
      </c>
      <c r="L75" s="32">
        <v>0.6</v>
      </c>
      <c r="M75" s="32">
        <v>2.96</v>
      </c>
      <c r="N75" s="32">
        <v>7.48</v>
      </c>
      <c r="O75" s="33">
        <v>0.15</v>
      </c>
      <c r="P75" s="1"/>
      <c r="Q75" s="36">
        <v>34</v>
      </c>
      <c r="R75" s="34">
        <v>7.4</v>
      </c>
      <c r="S75" s="29">
        <v>0</v>
      </c>
      <c r="T75" s="34">
        <v>1.78</v>
      </c>
      <c r="U75" s="34">
        <v>3.42</v>
      </c>
      <c r="V75" s="34">
        <v>6.88</v>
      </c>
      <c r="W75" s="11">
        <v>0.15</v>
      </c>
      <c r="X75" s="1"/>
      <c r="Y75" s="37">
        <v>34</v>
      </c>
      <c r="Z75" s="35">
        <v>7.99</v>
      </c>
      <c r="AA75" s="31">
        <v>0</v>
      </c>
      <c r="AB75" s="35">
        <v>0.6</v>
      </c>
      <c r="AC75" s="35">
        <v>-1.05</v>
      </c>
      <c r="AD75" s="35">
        <v>7.48</v>
      </c>
      <c r="AE75" s="35">
        <v>7.48</v>
      </c>
      <c r="AF75" s="33">
        <v>3.5</v>
      </c>
      <c r="AG75" s="1"/>
      <c r="AH75" s="1"/>
      <c r="AI75" s="1"/>
      <c r="AJ75" s="1"/>
      <c r="AK75" s="1"/>
      <c r="AL75" s="1"/>
      <c r="AM75" s="1"/>
      <c r="AN75" s="1"/>
      <c r="AO75" s="1"/>
    </row>
    <row r="76" spans="1:41" customFormat="1" x14ac:dyDescent="0.25">
      <c r="A76" s="36">
        <v>35</v>
      </c>
      <c r="B76" s="30">
        <v>9.8699999999999992</v>
      </c>
      <c r="C76" s="30">
        <v>0.51</v>
      </c>
      <c r="D76" s="30">
        <v>1.82</v>
      </c>
      <c r="E76" s="30">
        <v>3.42</v>
      </c>
      <c r="F76" s="30">
        <v>7.07</v>
      </c>
      <c r="G76" s="11">
        <v>0.15</v>
      </c>
      <c r="H76" s="1"/>
      <c r="I76" s="37">
        <v>35</v>
      </c>
      <c r="J76" s="32">
        <v>10.52</v>
      </c>
      <c r="K76" s="32">
        <v>0.51</v>
      </c>
      <c r="L76" s="32">
        <v>0.61</v>
      </c>
      <c r="M76" s="32">
        <v>2.96</v>
      </c>
      <c r="N76" s="32">
        <v>7.69</v>
      </c>
      <c r="O76" s="33">
        <v>0.15</v>
      </c>
      <c r="P76" s="1"/>
      <c r="Q76" s="36">
        <v>35</v>
      </c>
      <c r="R76" s="34">
        <v>7.59</v>
      </c>
      <c r="S76" s="29">
        <v>0</v>
      </c>
      <c r="T76" s="34">
        <v>1.82</v>
      </c>
      <c r="U76" s="34">
        <v>3.42</v>
      </c>
      <c r="V76" s="34">
        <v>7.07</v>
      </c>
      <c r="W76" s="11">
        <v>0.15</v>
      </c>
      <c r="X76" s="1"/>
      <c r="Y76" s="37">
        <v>35</v>
      </c>
      <c r="Z76" s="35">
        <v>8.1999999999999993</v>
      </c>
      <c r="AA76" s="31">
        <v>0</v>
      </c>
      <c r="AB76" s="35">
        <v>0.61</v>
      </c>
      <c r="AC76" s="35">
        <v>-1.07</v>
      </c>
      <c r="AD76" s="35">
        <v>7.69</v>
      </c>
      <c r="AE76" s="35">
        <v>7.69</v>
      </c>
      <c r="AF76" s="33">
        <v>3.5</v>
      </c>
      <c r="AG76" s="1"/>
      <c r="AH76" s="1"/>
      <c r="AI76" s="1"/>
      <c r="AJ76" s="1"/>
      <c r="AK76" s="1"/>
      <c r="AL76" s="1"/>
      <c r="AM76" s="1"/>
      <c r="AN76" s="1"/>
      <c r="AO76" s="1"/>
    </row>
    <row r="77" spans="1:41" customFormat="1" x14ac:dyDescent="0.25">
      <c r="A77" s="36">
        <v>36</v>
      </c>
      <c r="B77" s="30">
        <v>10.130000000000001</v>
      </c>
      <c r="C77" s="30">
        <v>0.53</v>
      </c>
      <c r="D77" s="30">
        <v>1.87</v>
      </c>
      <c r="E77" s="30">
        <v>3.41</v>
      </c>
      <c r="F77" s="30">
        <v>7.27</v>
      </c>
      <c r="G77" s="11">
        <v>0.15</v>
      </c>
      <c r="H77" s="1"/>
      <c r="I77" s="37">
        <v>36</v>
      </c>
      <c r="J77" s="32">
        <v>10.79</v>
      </c>
      <c r="K77" s="32">
        <v>0.52</v>
      </c>
      <c r="L77" s="32">
        <v>0.62</v>
      </c>
      <c r="M77" s="32">
        <v>2.95</v>
      </c>
      <c r="N77" s="32">
        <v>7.9</v>
      </c>
      <c r="O77" s="33">
        <v>0.15</v>
      </c>
      <c r="P77" s="1"/>
      <c r="Q77" s="36">
        <v>36</v>
      </c>
      <c r="R77" s="34">
        <v>7.79</v>
      </c>
      <c r="S77" s="29">
        <v>0</v>
      </c>
      <c r="T77" s="34">
        <v>1.87</v>
      </c>
      <c r="U77" s="34">
        <v>3.41</v>
      </c>
      <c r="V77" s="34">
        <v>7.27</v>
      </c>
      <c r="W77" s="11">
        <v>0.15</v>
      </c>
      <c r="X77" s="1"/>
      <c r="Y77" s="37">
        <v>36</v>
      </c>
      <c r="Z77" s="35">
        <v>8.41</v>
      </c>
      <c r="AA77" s="31">
        <v>0</v>
      </c>
      <c r="AB77" s="35">
        <v>0.62</v>
      </c>
      <c r="AC77" s="35">
        <v>-1.0900000000000001</v>
      </c>
      <c r="AD77" s="35">
        <v>7.9</v>
      </c>
      <c r="AE77" s="35">
        <v>7.9</v>
      </c>
      <c r="AF77" s="33">
        <v>3.5</v>
      </c>
      <c r="AG77" s="1"/>
      <c r="AH77" s="1"/>
      <c r="AI77" s="1"/>
      <c r="AJ77" s="1"/>
      <c r="AK77" s="1"/>
      <c r="AL77" s="1"/>
      <c r="AM77" s="1"/>
      <c r="AN77" s="1"/>
      <c r="AO77" s="1"/>
    </row>
    <row r="78" spans="1:41" customFormat="1" x14ac:dyDescent="0.25">
      <c r="A78" s="36">
        <v>37</v>
      </c>
      <c r="B78" s="30">
        <v>10.4</v>
      </c>
      <c r="C78" s="30">
        <v>0.54</v>
      </c>
      <c r="D78" s="30">
        <v>1.91</v>
      </c>
      <c r="E78" s="30">
        <v>3.41</v>
      </c>
      <c r="F78" s="30">
        <v>7.47</v>
      </c>
      <c r="G78" s="11">
        <v>0.15</v>
      </c>
      <c r="H78" s="1"/>
      <c r="I78" s="37">
        <v>37</v>
      </c>
      <c r="J78" s="32">
        <v>11.08</v>
      </c>
      <c r="K78" s="32">
        <v>0.54</v>
      </c>
      <c r="L78" s="32">
        <v>0.64</v>
      </c>
      <c r="M78" s="32">
        <v>2.95</v>
      </c>
      <c r="N78" s="32">
        <v>8.1199999999999992</v>
      </c>
      <c r="O78" s="33">
        <v>0.15</v>
      </c>
      <c r="P78" s="1"/>
      <c r="Q78" s="36">
        <v>37</v>
      </c>
      <c r="R78" s="34">
        <v>7.99</v>
      </c>
      <c r="S78" s="29">
        <v>0</v>
      </c>
      <c r="T78" s="34">
        <v>1.91</v>
      </c>
      <c r="U78" s="34">
        <v>3.41</v>
      </c>
      <c r="V78" s="34">
        <v>7.47</v>
      </c>
      <c r="W78" s="11">
        <v>0.15</v>
      </c>
      <c r="X78" s="1"/>
      <c r="Y78" s="37">
        <v>37</v>
      </c>
      <c r="Z78" s="35">
        <v>8.6300000000000008</v>
      </c>
      <c r="AA78" s="31">
        <v>0</v>
      </c>
      <c r="AB78" s="35">
        <v>0.64</v>
      </c>
      <c r="AC78" s="35">
        <v>-1.1000000000000001</v>
      </c>
      <c r="AD78" s="35">
        <v>8.1199999999999992</v>
      </c>
      <c r="AE78" s="35">
        <v>8.1199999999999992</v>
      </c>
      <c r="AF78" s="33">
        <v>3.5</v>
      </c>
      <c r="AG78" s="1"/>
      <c r="AH78" s="1"/>
      <c r="AI78" s="1"/>
      <c r="AJ78" s="1"/>
      <c r="AK78" s="1"/>
      <c r="AL78" s="1"/>
      <c r="AM78" s="1"/>
      <c r="AN78" s="1"/>
      <c r="AO78" s="1"/>
    </row>
    <row r="79" spans="1:41" customFormat="1" x14ac:dyDescent="0.25">
      <c r="A79" s="36">
        <v>38</v>
      </c>
      <c r="B79" s="30">
        <v>10.67</v>
      </c>
      <c r="C79" s="30">
        <v>0.56000000000000005</v>
      </c>
      <c r="D79" s="30">
        <v>1.95</v>
      </c>
      <c r="E79" s="30">
        <v>3.4</v>
      </c>
      <c r="F79" s="30">
        <v>7.67</v>
      </c>
      <c r="G79" s="11">
        <v>0.15</v>
      </c>
      <c r="H79" s="1"/>
      <c r="I79" s="37">
        <v>38</v>
      </c>
      <c r="J79" s="32">
        <v>11.38</v>
      </c>
      <c r="K79" s="32">
        <v>0.55000000000000004</v>
      </c>
      <c r="L79" s="32">
        <v>0.65</v>
      </c>
      <c r="M79" s="32">
        <v>2.95</v>
      </c>
      <c r="N79" s="32">
        <v>8.35</v>
      </c>
      <c r="O79" s="33">
        <v>0.15</v>
      </c>
      <c r="P79" s="1"/>
      <c r="Q79" s="36">
        <v>38</v>
      </c>
      <c r="R79" s="34">
        <v>8.19</v>
      </c>
      <c r="S79" s="29">
        <v>0</v>
      </c>
      <c r="T79" s="34">
        <v>1.95</v>
      </c>
      <c r="U79" s="34">
        <v>3.4</v>
      </c>
      <c r="V79" s="34">
        <v>7.67</v>
      </c>
      <c r="W79" s="11">
        <v>0.15</v>
      </c>
      <c r="X79" s="1"/>
      <c r="Y79" s="37">
        <v>38</v>
      </c>
      <c r="Z79" s="35">
        <v>8.86</v>
      </c>
      <c r="AA79" s="31">
        <v>0</v>
      </c>
      <c r="AB79" s="35">
        <v>0.65</v>
      </c>
      <c r="AC79" s="35">
        <v>-1.1200000000000001</v>
      </c>
      <c r="AD79" s="35">
        <v>8.35</v>
      </c>
      <c r="AE79" s="35">
        <v>8.35</v>
      </c>
      <c r="AF79" s="33">
        <v>3.5</v>
      </c>
      <c r="AG79" s="1"/>
      <c r="AH79" s="1"/>
      <c r="AI79" s="1"/>
      <c r="AJ79" s="1"/>
      <c r="AK79" s="1"/>
      <c r="AL79" s="1"/>
      <c r="AM79" s="1"/>
      <c r="AN79" s="1"/>
      <c r="AO79" s="1"/>
    </row>
    <row r="80" spans="1:41" customFormat="1" x14ac:dyDescent="0.25">
      <c r="A80" s="36">
        <v>39</v>
      </c>
      <c r="B80" s="30">
        <v>10.95</v>
      </c>
      <c r="C80" s="30">
        <v>0.56999999999999995</v>
      </c>
      <c r="D80" s="30">
        <v>2</v>
      </c>
      <c r="E80" s="30">
        <v>3.4</v>
      </c>
      <c r="F80" s="30">
        <v>7.89</v>
      </c>
      <c r="G80" s="11">
        <v>0.15</v>
      </c>
      <c r="H80" s="1"/>
      <c r="I80" s="37">
        <v>39</v>
      </c>
      <c r="J80" s="32">
        <v>11.67</v>
      </c>
      <c r="K80" s="32">
        <v>0.56999999999999995</v>
      </c>
      <c r="L80" s="32">
        <v>0.67</v>
      </c>
      <c r="M80" s="32">
        <v>2.94</v>
      </c>
      <c r="N80" s="32">
        <v>8.58</v>
      </c>
      <c r="O80" s="33">
        <v>0.15</v>
      </c>
      <c r="P80" s="1"/>
      <c r="Q80" s="36">
        <v>39</v>
      </c>
      <c r="R80" s="34">
        <v>8.41</v>
      </c>
      <c r="S80" s="29">
        <v>0</v>
      </c>
      <c r="T80" s="34">
        <v>2</v>
      </c>
      <c r="U80" s="34">
        <v>3.4</v>
      </c>
      <c r="V80" s="34">
        <v>7.89</v>
      </c>
      <c r="W80" s="11">
        <v>0.15</v>
      </c>
      <c r="X80" s="1"/>
      <c r="Y80" s="37">
        <v>39</v>
      </c>
      <c r="Z80" s="35">
        <v>9.08</v>
      </c>
      <c r="AA80" s="31">
        <v>0</v>
      </c>
      <c r="AB80" s="35">
        <v>0.67</v>
      </c>
      <c r="AC80" s="35">
        <v>-1.1299999999999999</v>
      </c>
      <c r="AD80" s="35">
        <v>8.58</v>
      </c>
      <c r="AE80" s="35">
        <v>8.58</v>
      </c>
      <c r="AF80" s="33">
        <v>3.5</v>
      </c>
      <c r="AG80" s="1"/>
      <c r="AH80" s="1"/>
      <c r="AI80" s="1"/>
      <c r="AJ80" s="1"/>
      <c r="AK80" s="1"/>
      <c r="AL80" s="1"/>
      <c r="AM80" s="1"/>
      <c r="AN80" s="1"/>
      <c r="AO80" s="1"/>
    </row>
    <row r="81" spans="1:41" customFormat="1" x14ac:dyDescent="0.25">
      <c r="A81" s="36">
        <v>40</v>
      </c>
      <c r="B81" s="30">
        <v>11.25</v>
      </c>
      <c r="C81" s="30">
        <v>0.59</v>
      </c>
      <c r="D81" s="30">
        <v>2.0299999999999998</v>
      </c>
      <c r="E81" s="30">
        <v>3.4</v>
      </c>
      <c r="F81" s="30">
        <v>8.11</v>
      </c>
      <c r="G81" s="11">
        <v>0.15</v>
      </c>
      <c r="H81" s="1"/>
      <c r="I81" s="37">
        <v>40</v>
      </c>
      <c r="J81" s="32">
        <v>11.98</v>
      </c>
      <c r="K81" s="32">
        <v>0.57999999999999996</v>
      </c>
      <c r="L81" s="32">
        <v>0.68</v>
      </c>
      <c r="M81" s="32">
        <v>2.94</v>
      </c>
      <c r="N81" s="32">
        <v>8.82</v>
      </c>
      <c r="O81" s="33">
        <v>0.15</v>
      </c>
      <c r="P81" s="1"/>
      <c r="Q81" s="36">
        <v>40</v>
      </c>
      <c r="R81" s="34">
        <v>8.6199999999999992</v>
      </c>
      <c r="S81" s="29">
        <v>0</v>
      </c>
      <c r="T81" s="34">
        <v>2.04</v>
      </c>
      <c r="U81" s="34">
        <v>3.4</v>
      </c>
      <c r="V81" s="34">
        <v>8.11</v>
      </c>
      <c r="W81" s="11">
        <v>0.15</v>
      </c>
      <c r="X81" s="1"/>
      <c r="Y81" s="37">
        <v>40</v>
      </c>
      <c r="Z81" s="35">
        <v>9.32</v>
      </c>
      <c r="AA81" s="31">
        <v>0</v>
      </c>
      <c r="AB81" s="35">
        <v>0.68</v>
      </c>
      <c r="AC81" s="35">
        <v>-1.1499999999999999</v>
      </c>
      <c r="AD81" s="35">
        <v>8.82</v>
      </c>
      <c r="AE81" s="35">
        <v>8.82</v>
      </c>
      <c r="AF81" s="33">
        <v>3.5</v>
      </c>
      <c r="AG81" s="1"/>
      <c r="AH81" s="1"/>
      <c r="AI81" s="1"/>
      <c r="AJ81" s="1"/>
      <c r="AK81" s="1"/>
      <c r="AL81" s="1"/>
      <c r="AM81" s="1"/>
      <c r="AN81" s="1"/>
      <c r="AO81" s="1"/>
    </row>
    <row r="82" spans="1:41" customFormat="1" x14ac:dyDescent="0.25">
      <c r="A82" s="36">
        <v>41</v>
      </c>
      <c r="B82" s="30">
        <v>11.54</v>
      </c>
      <c r="C82" s="30">
        <v>0.6</v>
      </c>
      <c r="D82" s="30">
        <v>2.0699999999999998</v>
      </c>
      <c r="E82" s="30">
        <v>3.39</v>
      </c>
      <c r="F82" s="30">
        <v>8.33</v>
      </c>
      <c r="G82" s="11">
        <v>0.15</v>
      </c>
      <c r="H82" s="1"/>
      <c r="I82" s="37">
        <v>41</v>
      </c>
      <c r="J82" s="32">
        <v>12.3</v>
      </c>
      <c r="K82" s="32">
        <v>0.6</v>
      </c>
      <c r="L82" s="32">
        <v>0.7</v>
      </c>
      <c r="M82" s="32">
        <v>2.94</v>
      </c>
      <c r="N82" s="32">
        <v>9.06</v>
      </c>
      <c r="O82" s="33">
        <v>0.15</v>
      </c>
      <c r="P82" s="1"/>
      <c r="Q82" s="36">
        <v>41</v>
      </c>
      <c r="R82" s="34">
        <v>8.84</v>
      </c>
      <c r="S82" s="29">
        <v>0</v>
      </c>
      <c r="T82" s="34">
        <v>2.08</v>
      </c>
      <c r="U82" s="34">
        <v>3.39</v>
      </c>
      <c r="V82" s="34">
        <v>8.33</v>
      </c>
      <c r="W82" s="11">
        <v>0.15</v>
      </c>
      <c r="X82" s="1"/>
      <c r="Y82" s="37">
        <v>41</v>
      </c>
      <c r="Z82" s="35">
        <v>9.5500000000000007</v>
      </c>
      <c r="AA82" s="31">
        <v>0</v>
      </c>
      <c r="AB82" s="35">
        <v>0.7</v>
      </c>
      <c r="AC82" s="35">
        <v>-1.17</v>
      </c>
      <c r="AD82" s="35">
        <v>9.06</v>
      </c>
      <c r="AE82" s="35">
        <v>9.06</v>
      </c>
      <c r="AF82" s="33">
        <v>3.5</v>
      </c>
      <c r="AG82" s="1"/>
      <c r="AH82" s="1"/>
      <c r="AI82" s="1"/>
      <c r="AJ82" s="1"/>
      <c r="AK82" s="1"/>
      <c r="AL82" s="1"/>
      <c r="AM82" s="1"/>
      <c r="AN82" s="1"/>
      <c r="AO82" s="1"/>
    </row>
    <row r="83" spans="1:41" customFormat="1" x14ac:dyDescent="0.25">
      <c r="A83" s="36">
        <v>42</v>
      </c>
      <c r="B83" s="30">
        <v>11.85</v>
      </c>
      <c r="C83" s="30">
        <v>0.62</v>
      </c>
      <c r="D83" s="30">
        <v>2.12</v>
      </c>
      <c r="E83" s="30">
        <v>3.39</v>
      </c>
      <c r="F83" s="30">
        <v>8.57</v>
      </c>
      <c r="G83" s="11">
        <v>0.15</v>
      </c>
      <c r="H83" s="1"/>
      <c r="I83" s="37">
        <v>42</v>
      </c>
      <c r="J83" s="32">
        <v>12.62</v>
      </c>
      <c r="K83" s="32">
        <v>0.62</v>
      </c>
      <c r="L83" s="32">
        <v>0.71</v>
      </c>
      <c r="M83" s="32">
        <v>2.93</v>
      </c>
      <c r="N83" s="32">
        <v>9.32</v>
      </c>
      <c r="O83" s="33">
        <v>0.15</v>
      </c>
      <c r="P83" s="1"/>
      <c r="Q83" s="36">
        <v>42</v>
      </c>
      <c r="R83" s="34">
        <v>9.08</v>
      </c>
      <c r="S83" s="29">
        <v>0</v>
      </c>
      <c r="T83" s="34">
        <v>2.13</v>
      </c>
      <c r="U83" s="34">
        <v>3.39</v>
      </c>
      <c r="V83" s="34">
        <v>8.57</v>
      </c>
      <c r="W83" s="11">
        <v>0.15</v>
      </c>
      <c r="X83" s="1"/>
      <c r="Y83" s="37">
        <v>42</v>
      </c>
      <c r="Z83" s="35">
        <v>9.81</v>
      </c>
      <c r="AA83" s="31">
        <v>0</v>
      </c>
      <c r="AB83" s="35">
        <v>0.71</v>
      </c>
      <c r="AC83" s="35">
        <v>-1.18</v>
      </c>
      <c r="AD83" s="35">
        <v>9.32</v>
      </c>
      <c r="AE83" s="35">
        <v>9.32</v>
      </c>
      <c r="AF83" s="33">
        <v>3.5</v>
      </c>
      <c r="AG83" s="1"/>
      <c r="AH83" s="1"/>
      <c r="AI83" s="1"/>
      <c r="AJ83" s="1"/>
      <c r="AK83" s="1"/>
      <c r="AL83" s="1"/>
      <c r="AM83" s="1"/>
      <c r="AN83" s="1"/>
      <c r="AO83" s="1"/>
    </row>
    <row r="84" spans="1:41" customFormat="1" x14ac:dyDescent="0.25">
      <c r="A84" s="36">
        <v>43</v>
      </c>
      <c r="B84" s="30">
        <v>12.16</v>
      </c>
      <c r="C84" s="30">
        <v>0.64</v>
      </c>
      <c r="D84" s="30">
        <v>2.16</v>
      </c>
      <c r="E84" s="30">
        <v>3.39</v>
      </c>
      <c r="F84" s="30">
        <v>8.81</v>
      </c>
      <c r="G84" s="11">
        <v>0.15</v>
      </c>
      <c r="H84" s="1"/>
      <c r="I84" s="37">
        <v>43</v>
      </c>
      <c r="J84" s="32">
        <v>12.95</v>
      </c>
      <c r="K84" s="32">
        <v>0.64</v>
      </c>
      <c r="L84" s="32">
        <v>0.72</v>
      </c>
      <c r="M84" s="32">
        <v>2.93</v>
      </c>
      <c r="N84" s="32">
        <v>9.58</v>
      </c>
      <c r="O84" s="33">
        <v>0.15</v>
      </c>
      <c r="P84" s="1"/>
      <c r="Q84" s="36">
        <v>43</v>
      </c>
      <c r="R84" s="34">
        <v>9.31</v>
      </c>
      <c r="S84" s="29">
        <v>0</v>
      </c>
      <c r="T84" s="34">
        <v>2.16</v>
      </c>
      <c r="U84" s="34">
        <v>3.39</v>
      </c>
      <c r="V84" s="34">
        <v>8.81</v>
      </c>
      <c r="W84" s="11">
        <v>0.15</v>
      </c>
      <c r="X84" s="1"/>
      <c r="Y84" s="37">
        <v>43</v>
      </c>
      <c r="Z84" s="35">
        <v>10.06</v>
      </c>
      <c r="AA84" s="31">
        <v>0</v>
      </c>
      <c r="AB84" s="35">
        <v>0.72</v>
      </c>
      <c r="AC84" s="35">
        <v>-1.2</v>
      </c>
      <c r="AD84" s="35">
        <v>9.58</v>
      </c>
      <c r="AE84" s="35">
        <v>9.58</v>
      </c>
      <c r="AF84" s="33">
        <v>3.5</v>
      </c>
      <c r="AG84" s="1"/>
      <c r="AH84" s="1"/>
      <c r="AI84" s="1"/>
      <c r="AJ84" s="1"/>
      <c r="AK84" s="1"/>
      <c r="AL84" s="1"/>
      <c r="AM84" s="1"/>
      <c r="AN84" s="1"/>
      <c r="AO84" s="1"/>
    </row>
    <row r="85" spans="1:41" customFormat="1" x14ac:dyDescent="0.25">
      <c r="A85" s="36">
        <v>44</v>
      </c>
      <c r="B85" s="30">
        <v>12.5</v>
      </c>
      <c r="C85" s="30">
        <v>0.66</v>
      </c>
      <c r="D85" s="30">
        <v>2.2000000000000002</v>
      </c>
      <c r="E85" s="30">
        <v>3.39</v>
      </c>
      <c r="F85" s="30">
        <v>9.06</v>
      </c>
      <c r="G85" s="11">
        <v>0.15</v>
      </c>
      <c r="H85" s="1"/>
      <c r="I85" s="37">
        <v>44</v>
      </c>
      <c r="J85" s="32">
        <v>13.3</v>
      </c>
      <c r="K85" s="32">
        <v>0.65</v>
      </c>
      <c r="L85" s="32">
        <v>0.74</v>
      </c>
      <c r="M85" s="32">
        <v>2.93</v>
      </c>
      <c r="N85" s="32">
        <v>9.84</v>
      </c>
      <c r="O85" s="33">
        <v>0.15</v>
      </c>
      <c r="P85" s="1"/>
      <c r="Q85" s="36">
        <v>44</v>
      </c>
      <c r="R85" s="34">
        <v>9.56</v>
      </c>
      <c r="S85" s="29">
        <v>0</v>
      </c>
      <c r="T85" s="34">
        <v>2.2000000000000002</v>
      </c>
      <c r="U85" s="34">
        <v>3.39</v>
      </c>
      <c r="V85" s="34">
        <v>9.06</v>
      </c>
      <c r="W85" s="11">
        <v>0.15</v>
      </c>
      <c r="X85" s="1"/>
      <c r="Y85" s="37">
        <v>44</v>
      </c>
      <c r="Z85" s="35">
        <v>10.31</v>
      </c>
      <c r="AA85" s="31">
        <v>0</v>
      </c>
      <c r="AB85" s="35">
        <v>0.74</v>
      </c>
      <c r="AC85" s="35">
        <v>-1.22</v>
      </c>
      <c r="AD85" s="35">
        <v>9.84</v>
      </c>
      <c r="AE85" s="35">
        <v>9.84</v>
      </c>
      <c r="AF85" s="33">
        <v>3.5</v>
      </c>
      <c r="AG85" s="1"/>
      <c r="AH85" s="1"/>
      <c r="AI85" s="1"/>
      <c r="AJ85" s="1"/>
      <c r="AK85" s="1"/>
      <c r="AL85" s="1"/>
      <c r="AM85" s="1"/>
      <c r="AN85" s="1"/>
      <c r="AO85" s="1"/>
    </row>
    <row r="86" spans="1:41" customFormat="1" x14ac:dyDescent="0.25">
      <c r="A86" s="36">
        <v>45</v>
      </c>
      <c r="B86" s="30">
        <v>12.83</v>
      </c>
      <c r="C86" s="30">
        <v>0.68</v>
      </c>
      <c r="D86" s="30">
        <v>2.2400000000000002</v>
      </c>
      <c r="E86" s="30">
        <v>3.38</v>
      </c>
      <c r="F86" s="30">
        <v>9.31</v>
      </c>
      <c r="G86" s="11">
        <v>0.15</v>
      </c>
      <c r="H86" s="1"/>
      <c r="I86" s="37">
        <v>45</v>
      </c>
      <c r="J86" s="32">
        <v>13.65</v>
      </c>
      <c r="K86" s="32">
        <v>0.67</v>
      </c>
      <c r="L86" s="32">
        <v>0.75</v>
      </c>
      <c r="M86" s="32">
        <v>2.92</v>
      </c>
      <c r="N86" s="32">
        <v>10.119999999999999</v>
      </c>
      <c r="O86" s="33">
        <v>0.15</v>
      </c>
      <c r="P86" s="1"/>
      <c r="Q86" s="36">
        <v>45</v>
      </c>
      <c r="R86" s="34">
        <v>9.8000000000000007</v>
      </c>
      <c r="S86" s="29">
        <v>0</v>
      </c>
      <c r="T86" s="34">
        <v>2.25</v>
      </c>
      <c r="U86" s="34">
        <v>3.38</v>
      </c>
      <c r="V86" s="34">
        <v>9.31</v>
      </c>
      <c r="W86" s="11">
        <v>0.15</v>
      </c>
      <c r="X86" s="1"/>
      <c r="Y86" s="37">
        <v>45</v>
      </c>
      <c r="Z86" s="35">
        <v>10.59</v>
      </c>
      <c r="AA86" s="31">
        <v>0</v>
      </c>
      <c r="AB86" s="35">
        <v>0.75</v>
      </c>
      <c r="AC86" s="35">
        <v>-1.23</v>
      </c>
      <c r="AD86" s="35">
        <v>10.119999999999999</v>
      </c>
      <c r="AE86" s="35">
        <v>10.119999999999999</v>
      </c>
      <c r="AF86" s="33">
        <v>3.5</v>
      </c>
      <c r="AG86" s="1"/>
      <c r="AH86" s="1"/>
      <c r="AI86" s="1"/>
      <c r="AJ86" s="1"/>
      <c r="AK86" s="1"/>
      <c r="AL86" s="1"/>
      <c r="AM86" s="1"/>
      <c r="AN86" s="1"/>
      <c r="AO86" s="1"/>
    </row>
    <row r="87" spans="1:41" customFormat="1" x14ac:dyDescent="0.25">
      <c r="A87" s="36">
        <v>46</v>
      </c>
      <c r="B87" s="30">
        <v>13.17</v>
      </c>
      <c r="C87" s="30">
        <v>0.69</v>
      </c>
      <c r="D87" s="30">
        <v>2.2799999999999998</v>
      </c>
      <c r="E87" s="30">
        <v>3.38</v>
      </c>
      <c r="F87" s="30">
        <v>9.58</v>
      </c>
      <c r="G87" s="11">
        <v>0.15</v>
      </c>
      <c r="H87" s="1"/>
      <c r="I87" s="37">
        <v>46</v>
      </c>
      <c r="J87" s="32">
        <v>14.01</v>
      </c>
      <c r="K87" s="32">
        <v>0.69</v>
      </c>
      <c r="L87" s="32">
        <v>0.76</v>
      </c>
      <c r="M87" s="32">
        <v>2.92</v>
      </c>
      <c r="N87" s="32">
        <v>10.4</v>
      </c>
      <c r="O87" s="33">
        <v>0.15</v>
      </c>
      <c r="P87" s="1"/>
      <c r="Q87" s="36">
        <v>46</v>
      </c>
      <c r="R87" s="34">
        <v>10.07</v>
      </c>
      <c r="S87" s="29">
        <v>0</v>
      </c>
      <c r="T87" s="34">
        <v>2.29</v>
      </c>
      <c r="U87" s="34">
        <v>3.38</v>
      </c>
      <c r="V87" s="34">
        <v>9.58</v>
      </c>
      <c r="W87" s="11">
        <v>0.15</v>
      </c>
      <c r="X87" s="1"/>
      <c r="Y87" s="37">
        <v>46</v>
      </c>
      <c r="Z87" s="35">
        <v>10.86</v>
      </c>
      <c r="AA87" s="31">
        <v>0</v>
      </c>
      <c r="AB87" s="35">
        <v>0.77</v>
      </c>
      <c r="AC87" s="35">
        <v>-1.25</v>
      </c>
      <c r="AD87" s="35">
        <v>10.4</v>
      </c>
      <c r="AE87" s="35">
        <v>10.4</v>
      </c>
      <c r="AF87" s="33">
        <v>3.5</v>
      </c>
      <c r="AG87" s="1"/>
      <c r="AH87" s="1"/>
      <c r="AI87" s="1"/>
      <c r="AJ87" s="1"/>
      <c r="AK87" s="1"/>
      <c r="AL87" s="1"/>
      <c r="AM87" s="1"/>
      <c r="AN87" s="1"/>
      <c r="AO87" s="1"/>
    </row>
    <row r="88" spans="1:41" customFormat="1" x14ac:dyDescent="0.25">
      <c r="A88" s="36">
        <v>47</v>
      </c>
      <c r="B88" s="30">
        <v>13.53</v>
      </c>
      <c r="C88" s="30">
        <v>0.71</v>
      </c>
      <c r="D88" s="30">
        <v>2.33</v>
      </c>
      <c r="E88" s="30">
        <v>3.38</v>
      </c>
      <c r="F88" s="30">
        <v>9.85</v>
      </c>
      <c r="G88" s="11">
        <v>0.15</v>
      </c>
      <c r="H88" s="1"/>
      <c r="I88" s="37">
        <v>47</v>
      </c>
      <c r="J88" s="32">
        <v>14.38</v>
      </c>
      <c r="K88" s="32">
        <v>0.71</v>
      </c>
      <c r="L88" s="32">
        <v>0.77</v>
      </c>
      <c r="M88" s="32">
        <v>2.92</v>
      </c>
      <c r="N88" s="32">
        <v>10.69</v>
      </c>
      <c r="O88" s="33">
        <v>0.15</v>
      </c>
      <c r="P88" s="1"/>
      <c r="Q88" s="36">
        <v>47</v>
      </c>
      <c r="R88" s="34">
        <v>10.33</v>
      </c>
      <c r="S88" s="29">
        <v>0</v>
      </c>
      <c r="T88" s="34">
        <v>2.33</v>
      </c>
      <c r="U88" s="34">
        <v>3.38</v>
      </c>
      <c r="V88" s="34">
        <v>9.85</v>
      </c>
      <c r="W88" s="11">
        <v>0.15</v>
      </c>
      <c r="X88" s="1"/>
      <c r="Y88" s="37">
        <v>47</v>
      </c>
      <c r="Z88" s="35">
        <v>11.14</v>
      </c>
      <c r="AA88" s="31">
        <v>0</v>
      </c>
      <c r="AB88" s="35">
        <v>0.78</v>
      </c>
      <c r="AC88" s="35">
        <v>-1.27</v>
      </c>
      <c r="AD88" s="35">
        <v>10.69</v>
      </c>
      <c r="AE88" s="35">
        <v>10.69</v>
      </c>
      <c r="AF88" s="33">
        <v>3.5</v>
      </c>
      <c r="AG88" s="1"/>
      <c r="AH88" s="1"/>
      <c r="AI88" s="1"/>
      <c r="AJ88" s="1"/>
      <c r="AK88" s="1"/>
      <c r="AL88" s="1"/>
      <c r="AM88" s="1"/>
      <c r="AN88" s="1"/>
      <c r="AO88" s="1"/>
    </row>
    <row r="89" spans="1:41" customFormat="1" x14ac:dyDescent="0.25">
      <c r="A89" s="36">
        <v>48</v>
      </c>
      <c r="B89" s="30">
        <v>13.89</v>
      </c>
      <c r="C89" s="30">
        <v>0.73</v>
      </c>
      <c r="D89" s="30">
        <v>2.38</v>
      </c>
      <c r="E89" s="30">
        <v>3.38</v>
      </c>
      <c r="F89" s="30">
        <v>10.119999999999999</v>
      </c>
      <c r="G89" s="11">
        <v>0.15</v>
      </c>
      <c r="H89" s="1"/>
      <c r="I89" s="37">
        <v>48</v>
      </c>
      <c r="J89" s="32">
        <v>14.76</v>
      </c>
      <c r="K89" s="32">
        <v>0.73</v>
      </c>
      <c r="L89" s="32">
        <v>0.79</v>
      </c>
      <c r="M89" s="32">
        <v>2.91</v>
      </c>
      <c r="N89" s="32">
        <v>10.99</v>
      </c>
      <c r="O89" s="33">
        <v>0.15</v>
      </c>
      <c r="P89" s="1"/>
      <c r="Q89" s="36">
        <v>48</v>
      </c>
      <c r="R89" s="34">
        <v>10.6</v>
      </c>
      <c r="S89" s="29">
        <v>0</v>
      </c>
      <c r="T89" s="34">
        <v>2.38</v>
      </c>
      <c r="U89" s="34">
        <v>3.38</v>
      </c>
      <c r="V89" s="34">
        <v>10.119999999999999</v>
      </c>
      <c r="W89" s="11">
        <v>0.15</v>
      </c>
      <c r="X89" s="1"/>
      <c r="Y89" s="37">
        <v>48</v>
      </c>
      <c r="Z89" s="35">
        <v>11.43</v>
      </c>
      <c r="AA89" s="31">
        <v>0</v>
      </c>
      <c r="AB89" s="35">
        <v>0.8</v>
      </c>
      <c r="AC89" s="35">
        <v>-1.28</v>
      </c>
      <c r="AD89" s="35">
        <v>10.99</v>
      </c>
      <c r="AE89" s="35">
        <v>10.99</v>
      </c>
      <c r="AF89" s="33">
        <v>3.5</v>
      </c>
      <c r="AG89" s="1"/>
      <c r="AH89" s="1"/>
      <c r="AI89" s="1"/>
      <c r="AJ89" s="1"/>
      <c r="AK89" s="1"/>
      <c r="AL89" s="1"/>
      <c r="AM89" s="1"/>
      <c r="AN89" s="1"/>
      <c r="AO89" s="1"/>
    </row>
    <row r="90" spans="1:41" customFormat="1" x14ac:dyDescent="0.25">
      <c r="A90" s="36">
        <v>49</v>
      </c>
      <c r="B90" s="30">
        <v>14.27</v>
      </c>
      <c r="C90" s="30">
        <v>0.76</v>
      </c>
      <c r="D90" s="30">
        <v>2.42</v>
      </c>
      <c r="E90" s="30">
        <v>3.37</v>
      </c>
      <c r="F90" s="30">
        <v>10.41</v>
      </c>
      <c r="G90" s="11">
        <v>0.15</v>
      </c>
      <c r="H90" s="1"/>
      <c r="I90" s="37">
        <v>49</v>
      </c>
      <c r="J90" s="32">
        <v>15.16</v>
      </c>
      <c r="K90" s="32">
        <v>0.75</v>
      </c>
      <c r="L90" s="32">
        <v>0.8</v>
      </c>
      <c r="M90" s="32">
        <v>2.91</v>
      </c>
      <c r="N90" s="32">
        <v>11.3</v>
      </c>
      <c r="O90" s="33">
        <v>0.15</v>
      </c>
      <c r="P90" s="1"/>
      <c r="Q90" s="36">
        <v>49</v>
      </c>
      <c r="R90" s="34">
        <v>10.88</v>
      </c>
      <c r="S90" s="29">
        <v>0</v>
      </c>
      <c r="T90" s="34">
        <v>2.4300000000000002</v>
      </c>
      <c r="U90" s="34">
        <v>3.37</v>
      </c>
      <c r="V90" s="34">
        <v>10.41</v>
      </c>
      <c r="W90" s="11">
        <v>0.15</v>
      </c>
      <c r="X90" s="1"/>
      <c r="Y90" s="37">
        <v>49</v>
      </c>
      <c r="Z90" s="35">
        <v>11.73</v>
      </c>
      <c r="AA90" s="31">
        <v>0</v>
      </c>
      <c r="AB90" s="35">
        <v>0.8</v>
      </c>
      <c r="AC90" s="35">
        <v>-1.3</v>
      </c>
      <c r="AD90" s="35">
        <v>11.3</v>
      </c>
      <c r="AE90" s="35">
        <v>11.3</v>
      </c>
      <c r="AF90" s="33">
        <v>3.5</v>
      </c>
      <c r="AG90" s="1"/>
      <c r="AH90" s="1"/>
      <c r="AI90" s="1"/>
      <c r="AJ90" s="1"/>
      <c r="AK90" s="1"/>
      <c r="AL90" s="1"/>
      <c r="AM90" s="1"/>
      <c r="AN90" s="1"/>
      <c r="AO90" s="1"/>
    </row>
    <row r="91" spans="1:41" customFormat="1" x14ac:dyDescent="0.25">
      <c r="A91" s="36">
        <v>50</v>
      </c>
      <c r="B91" s="30">
        <v>14.65</v>
      </c>
      <c r="C91" s="30">
        <v>0.77</v>
      </c>
      <c r="D91" s="30">
        <v>2.4700000000000002</v>
      </c>
      <c r="E91" s="30">
        <v>3.37</v>
      </c>
      <c r="F91" s="30">
        <v>10.71</v>
      </c>
      <c r="G91" s="11">
        <v>0.15</v>
      </c>
      <c r="H91" s="1"/>
      <c r="I91" s="37">
        <v>50</v>
      </c>
      <c r="J91" s="32">
        <v>15.56</v>
      </c>
      <c r="K91" s="32">
        <v>0.77</v>
      </c>
      <c r="L91" s="32">
        <v>0.82</v>
      </c>
      <c r="M91" s="32">
        <v>2.91</v>
      </c>
      <c r="N91" s="32">
        <v>11.62</v>
      </c>
      <c r="O91" s="33">
        <v>0.15</v>
      </c>
      <c r="P91" s="1"/>
      <c r="Q91" s="36">
        <v>50</v>
      </c>
      <c r="R91" s="34">
        <v>11.17</v>
      </c>
      <c r="S91" s="29">
        <v>0</v>
      </c>
      <c r="T91" s="34">
        <v>2.48</v>
      </c>
      <c r="U91" s="34">
        <v>3.37</v>
      </c>
      <c r="V91" s="34">
        <v>10.71</v>
      </c>
      <c r="W91" s="11">
        <v>0.15</v>
      </c>
      <c r="X91" s="1"/>
      <c r="Y91" s="37">
        <v>50</v>
      </c>
      <c r="Z91" s="35">
        <v>12.04</v>
      </c>
      <c r="AA91" s="31">
        <v>0</v>
      </c>
      <c r="AB91" s="35">
        <v>0.82</v>
      </c>
      <c r="AC91" s="35">
        <v>-1.32</v>
      </c>
      <c r="AD91" s="35">
        <v>11.62</v>
      </c>
      <c r="AE91" s="35">
        <v>11.62</v>
      </c>
      <c r="AF91" s="33">
        <v>3.5</v>
      </c>
      <c r="AG91" s="1"/>
      <c r="AH91" s="1"/>
      <c r="AI91" s="1"/>
      <c r="AJ91" s="1"/>
      <c r="AK91" s="1"/>
      <c r="AL91" s="1"/>
      <c r="AM91" s="1"/>
      <c r="AN91" s="1"/>
      <c r="AO91" s="1"/>
    </row>
    <row r="92" spans="1:41" customFormat="1" x14ac:dyDescent="0.25">
      <c r="A92" s="36">
        <v>51</v>
      </c>
      <c r="B92" s="30">
        <v>15.06</v>
      </c>
      <c r="C92" s="30">
        <v>0.79</v>
      </c>
      <c r="D92" s="30">
        <v>2.52</v>
      </c>
      <c r="E92" s="30">
        <v>3.37</v>
      </c>
      <c r="F92" s="30">
        <v>11.01</v>
      </c>
      <c r="G92" s="11">
        <v>0.15</v>
      </c>
      <c r="H92" s="1"/>
      <c r="I92" s="37">
        <v>51</v>
      </c>
      <c r="J92" s="32">
        <v>15.98</v>
      </c>
      <c r="K92" s="32">
        <v>0.79</v>
      </c>
      <c r="L92" s="32">
        <v>0.83</v>
      </c>
      <c r="M92" s="32">
        <v>2.9</v>
      </c>
      <c r="N92" s="32">
        <v>11.95</v>
      </c>
      <c r="O92" s="33">
        <v>0.15</v>
      </c>
      <c r="P92" s="1"/>
      <c r="Q92" s="36">
        <v>51</v>
      </c>
      <c r="R92" s="34">
        <v>11.46</v>
      </c>
      <c r="S92" s="29">
        <v>0</v>
      </c>
      <c r="T92" s="34">
        <v>2.52</v>
      </c>
      <c r="U92" s="34">
        <v>3.37</v>
      </c>
      <c r="V92" s="34">
        <v>11.01</v>
      </c>
      <c r="W92" s="11">
        <v>0.15</v>
      </c>
      <c r="X92" s="1"/>
      <c r="Y92" s="37">
        <v>51</v>
      </c>
      <c r="Z92" s="35">
        <v>12.36</v>
      </c>
      <c r="AA92" s="31">
        <v>0</v>
      </c>
      <c r="AB92" s="35">
        <v>0.83</v>
      </c>
      <c r="AC92" s="35">
        <v>-1.34</v>
      </c>
      <c r="AD92" s="35">
        <v>11.95</v>
      </c>
      <c r="AE92" s="35">
        <v>11.95</v>
      </c>
      <c r="AF92" s="33">
        <v>3.5</v>
      </c>
      <c r="AG92" s="1"/>
      <c r="AH92" s="1"/>
      <c r="AI92" s="1"/>
      <c r="AJ92" s="1"/>
      <c r="AK92" s="1"/>
      <c r="AL92" s="1"/>
      <c r="AM92" s="1"/>
      <c r="AN92" s="1"/>
      <c r="AO92" s="1"/>
    </row>
    <row r="93" spans="1:41" customFormat="1" x14ac:dyDescent="0.25">
      <c r="A93" s="36">
        <v>52</v>
      </c>
      <c r="B93" s="30">
        <v>15.46</v>
      </c>
      <c r="C93" s="30">
        <v>0.81</v>
      </c>
      <c r="D93" s="30">
        <v>2.56</v>
      </c>
      <c r="E93" s="30">
        <v>3.37</v>
      </c>
      <c r="F93" s="30">
        <v>11.33</v>
      </c>
      <c r="G93" s="11">
        <v>0.15</v>
      </c>
      <c r="H93" s="1"/>
      <c r="I93" s="37">
        <v>52</v>
      </c>
      <c r="J93" s="32">
        <v>16.420000000000002</v>
      </c>
      <c r="K93" s="32">
        <v>0.81</v>
      </c>
      <c r="L93" s="32">
        <v>0.84</v>
      </c>
      <c r="M93" s="32">
        <v>2.9</v>
      </c>
      <c r="N93" s="32">
        <v>12.29</v>
      </c>
      <c r="O93" s="33">
        <v>0.15</v>
      </c>
      <c r="P93" s="1"/>
      <c r="Q93" s="36">
        <v>52</v>
      </c>
      <c r="R93" s="34">
        <v>11.77</v>
      </c>
      <c r="S93" s="29">
        <v>0</v>
      </c>
      <c r="T93" s="34">
        <v>2.57</v>
      </c>
      <c r="U93" s="34">
        <v>3.37</v>
      </c>
      <c r="V93" s="34">
        <v>11.33</v>
      </c>
      <c r="W93" s="11">
        <v>0.15</v>
      </c>
      <c r="X93" s="1"/>
      <c r="Y93" s="37">
        <v>52</v>
      </c>
      <c r="Z93" s="35">
        <v>12.68</v>
      </c>
      <c r="AA93" s="31">
        <v>0</v>
      </c>
      <c r="AB93" s="35">
        <v>0.84</v>
      </c>
      <c r="AC93" s="35">
        <v>-1.36</v>
      </c>
      <c r="AD93" s="35">
        <v>12.29</v>
      </c>
      <c r="AE93" s="35">
        <v>12.29</v>
      </c>
      <c r="AF93" s="33">
        <v>3.5</v>
      </c>
      <c r="AG93" s="1"/>
      <c r="AH93" s="1"/>
      <c r="AI93" s="1"/>
      <c r="AJ93" s="1"/>
      <c r="AK93" s="1"/>
      <c r="AL93" s="1"/>
      <c r="AM93" s="1"/>
      <c r="AN93" s="1"/>
      <c r="AO93" s="1"/>
    </row>
    <row r="94" spans="1:41" customFormat="1" x14ac:dyDescent="0.25">
      <c r="A94" s="36">
        <v>53</v>
      </c>
      <c r="B94" s="30">
        <v>15.9</v>
      </c>
      <c r="C94" s="30">
        <v>0.84</v>
      </c>
      <c r="D94" s="30">
        <v>2.6</v>
      </c>
      <c r="E94" s="30">
        <v>3.37</v>
      </c>
      <c r="F94" s="30">
        <v>11.66</v>
      </c>
      <c r="G94" s="11">
        <v>0.15</v>
      </c>
      <c r="H94" s="1"/>
      <c r="I94" s="37">
        <v>53</v>
      </c>
      <c r="J94" s="32">
        <v>16.86</v>
      </c>
      <c r="K94" s="32">
        <v>0.84</v>
      </c>
      <c r="L94" s="32">
        <v>0.85</v>
      </c>
      <c r="M94" s="32">
        <v>2.9</v>
      </c>
      <c r="N94" s="32">
        <v>12.64</v>
      </c>
      <c r="O94" s="33">
        <v>0.15</v>
      </c>
      <c r="P94" s="1"/>
      <c r="Q94" s="36">
        <v>53</v>
      </c>
      <c r="R94" s="34">
        <v>12.09</v>
      </c>
      <c r="S94" s="29">
        <v>0</v>
      </c>
      <c r="T94" s="34">
        <v>2.61</v>
      </c>
      <c r="U94" s="34">
        <v>3.37</v>
      </c>
      <c r="V94" s="34">
        <v>11.66</v>
      </c>
      <c r="W94" s="11">
        <v>0.15</v>
      </c>
      <c r="X94" s="1"/>
      <c r="Y94" s="37">
        <v>53</v>
      </c>
      <c r="Z94" s="35">
        <v>13.02</v>
      </c>
      <c r="AA94" s="31">
        <v>0</v>
      </c>
      <c r="AB94" s="35">
        <v>0.85</v>
      </c>
      <c r="AC94" s="35">
        <v>-1.37</v>
      </c>
      <c r="AD94" s="35">
        <v>12.64</v>
      </c>
      <c r="AE94" s="35">
        <v>12.64</v>
      </c>
      <c r="AF94" s="33">
        <v>3.5</v>
      </c>
      <c r="AG94" s="1"/>
      <c r="AH94" s="1"/>
      <c r="AI94" s="1"/>
      <c r="AJ94" s="1"/>
      <c r="AK94" s="1"/>
      <c r="AL94" s="1"/>
      <c r="AM94" s="1"/>
      <c r="AN94" s="1"/>
      <c r="AO94" s="1"/>
    </row>
    <row r="95" spans="1:41" customFormat="1" x14ac:dyDescent="0.25">
      <c r="A95" s="36">
        <v>54</v>
      </c>
      <c r="B95" s="30">
        <v>16.34</v>
      </c>
      <c r="C95" s="30">
        <v>0.86</v>
      </c>
      <c r="D95" s="30">
        <v>2.65</v>
      </c>
      <c r="E95" s="30">
        <v>3.37</v>
      </c>
      <c r="F95" s="30">
        <v>12</v>
      </c>
      <c r="G95" s="11">
        <v>0.15</v>
      </c>
      <c r="H95" s="1"/>
      <c r="I95" s="37">
        <v>54</v>
      </c>
      <c r="J95" s="32">
        <v>17.32</v>
      </c>
      <c r="K95" s="32">
        <v>0.86</v>
      </c>
      <c r="L95" s="32">
        <v>0.86</v>
      </c>
      <c r="M95" s="32">
        <v>2.9</v>
      </c>
      <c r="N95" s="32">
        <v>13</v>
      </c>
      <c r="O95" s="33">
        <v>0.15</v>
      </c>
      <c r="P95" s="1"/>
      <c r="Q95" s="36">
        <v>54</v>
      </c>
      <c r="R95" s="34">
        <v>12.42</v>
      </c>
      <c r="S95" s="29">
        <v>0</v>
      </c>
      <c r="T95" s="34">
        <v>2.65</v>
      </c>
      <c r="U95" s="34">
        <v>3.37</v>
      </c>
      <c r="V95" s="34">
        <v>12</v>
      </c>
      <c r="W95" s="11">
        <v>0.15</v>
      </c>
      <c r="X95" s="1"/>
      <c r="Y95" s="37">
        <v>54</v>
      </c>
      <c r="Z95" s="35">
        <v>13.36</v>
      </c>
      <c r="AA95" s="31">
        <v>0</v>
      </c>
      <c r="AB95" s="35">
        <v>0.86</v>
      </c>
      <c r="AC95" s="35">
        <v>-1.39</v>
      </c>
      <c r="AD95" s="35">
        <v>13</v>
      </c>
      <c r="AE95" s="35">
        <v>13</v>
      </c>
      <c r="AF95" s="33">
        <v>3.5</v>
      </c>
      <c r="AG95" s="1"/>
      <c r="AH95" s="1"/>
      <c r="AI95" s="1"/>
      <c r="AJ95" s="1"/>
      <c r="AK95" s="1"/>
      <c r="AL95" s="1"/>
      <c r="AM95" s="1"/>
      <c r="AN95" s="1"/>
      <c r="AO95" s="1"/>
    </row>
    <row r="96" spans="1:41" customFormat="1" x14ac:dyDescent="0.25">
      <c r="A96" s="36">
        <v>55</v>
      </c>
      <c r="B96" s="30">
        <v>16.8</v>
      </c>
      <c r="C96" s="30">
        <v>0.89</v>
      </c>
      <c r="D96" s="30">
        <v>2.68</v>
      </c>
      <c r="E96" s="30">
        <v>3.37</v>
      </c>
      <c r="F96" s="30">
        <v>12.35</v>
      </c>
      <c r="G96" s="11">
        <v>0.15</v>
      </c>
      <c r="H96" s="1"/>
      <c r="I96" s="37">
        <v>55</v>
      </c>
      <c r="J96" s="32">
        <v>17.8</v>
      </c>
      <c r="K96" s="32">
        <v>0.89</v>
      </c>
      <c r="L96" s="32">
        <v>0.86</v>
      </c>
      <c r="M96" s="32">
        <v>2.9</v>
      </c>
      <c r="N96" s="32">
        <v>13.38</v>
      </c>
      <c r="O96" s="33">
        <v>0.15</v>
      </c>
      <c r="P96" s="1"/>
      <c r="Q96" s="36">
        <v>55</v>
      </c>
      <c r="R96" s="34">
        <v>12.76</v>
      </c>
      <c r="S96" s="29">
        <v>0</v>
      </c>
      <c r="T96" s="34">
        <v>2.69</v>
      </c>
      <c r="U96" s="34">
        <v>3.37</v>
      </c>
      <c r="V96" s="34">
        <v>12.35</v>
      </c>
      <c r="W96" s="11">
        <v>0.15</v>
      </c>
      <c r="X96" s="1"/>
      <c r="Y96" s="37">
        <v>55</v>
      </c>
      <c r="Z96" s="35">
        <v>13.73</v>
      </c>
      <c r="AA96" s="31">
        <v>0</v>
      </c>
      <c r="AB96" s="35">
        <v>0.87</v>
      </c>
      <c r="AC96" s="35">
        <v>-1.41</v>
      </c>
      <c r="AD96" s="35">
        <v>13.38</v>
      </c>
      <c r="AE96" s="35">
        <v>13.38</v>
      </c>
      <c r="AF96" s="33">
        <v>3.5</v>
      </c>
      <c r="AG96" s="1"/>
      <c r="AH96" s="1"/>
      <c r="AI96" s="1"/>
      <c r="AJ96" s="1"/>
      <c r="AK96" s="1"/>
      <c r="AL96" s="1"/>
      <c r="AM96" s="1"/>
      <c r="AN96" s="1"/>
      <c r="AO96" s="1"/>
    </row>
    <row r="97" spans="1:45" customFormat="1" x14ac:dyDescent="0.25">
      <c r="A97" s="36">
        <v>56</v>
      </c>
      <c r="B97" s="30">
        <v>17.28</v>
      </c>
      <c r="C97" s="30">
        <v>0.91</v>
      </c>
      <c r="D97" s="30">
        <v>2.72</v>
      </c>
      <c r="E97" s="30">
        <v>3.38</v>
      </c>
      <c r="F97" s="30">
        <v>12.72</v>
      </c>
      <c r="G97" s="11">
        <v>0.15</v>
      </c>
      <c r="H97" s="1"/>
      <c r="I97" s="37">
        <v>56</v>
      </c>
      <c r="J97" s="32">
        <v>18.28</v>
      </c>
      <c r="K97" s="32">
        <v>0.91</v>
      </c>
      <c r="L97" s="32">
        <v>0.87</v>
      </c>
      <c r="M97" s="32">
        <v>2.9</v>
      </c>
      <c r="N97" s="32">
        <v>13.77</v>
      </c>
      <c r="O97" s="33">
        <v>0.15</v>
      </c>
      <c r="P97" s="1"/>
      <c r="Q97" s="36">
        <v>56</v>
      </c>
      <c r="R97" s="34">
        <v>13.11</v>
      </c>
      <c r="S97" s="29">
        <v>0</v>
      </c>
      <c r="T97" s="34">
        <v>2.72</v>
      </c>
      <c r="U97" s="34">
        <v>3.38</v>
      </c>
      <c r="V97" s="34">
        <v>12.72</v>
      </c>
      <c r="W97" s="11">
        <v>0.15</v>
      </c>
      <c r="X97" s="1"/>
      <c r="Y97" s="37">
        <v>56</v>
      </c>
      <c r="Z97" s="35">
        <v>14.1</v>
      </c>
      <c r="AA97" s="31">
        <v>0</v>
      </c>
      <c r="AB97" s="35">
        <v>0.88</v>
      </c>
      <c r="AC97" s="35">
        <v>-1.43</v>
      </c>
      <c r="AD97" s="35">
        <v>13.77</v>
      </c>
      <c r="AE97" s="35">
        <v>13.77</v>
      </c>
      <c r="AF97" s="33">
        <v>3.5</v>
      </c>
      <c r="AG97" s="1"/>
      <c r="AH97" s="1"/>
      <c r="AI97" s="1"/>
      <c r="AJ97" s="1"/>
      <c r="AK97" s="1"/>
      <c r="AL97" s="1"/>
      <c r="AM97" s="1"/>
      <c r="AN97" s="1"/>
      <c r="AO97" s="1"/>
    </row>
    <row r="98" spans="1:45" customFormat="1" x14ac:dyDescent="0.25">
      <c r="A98" s="36">
        <v>57</v>
      </c>
      <c r="B98" s="30">
        <v>17.77</v>
      </c>
      <c r="C98" s="30">
        <v>0.93</v>
      </c>
      <c r="D98" s="30">
        <v>2.75</v>
      </c>
      <c r="E98" s="30">
        <v>3.38</v>
      </c>
      <c r="F98" s="30">
        <v>13.1</v>
      </c>
      <c r="G98" s="11">
        <v>0.15</v>
      </c>
      <c r="H98" s="1"/>
      <c r="I98" s="37">
        <v>57</v>
      </c>
      <c r="J98" s="32">
        <v>18.8</v>
      </c>
      <c r="K98" s="32">
        <v>0.93</v>
      </c>
      <c r="L98" s="32">
        <v>0.88</v>
      </c>
      <c r="M98" s="32">
        <v>2.9</v>
      </c>
      <c r="N98" s="32">
        <v>14.17</v>
      </c>
      <c r="O98" s="33">
        <v>0.15</v>
      </c>
      <c r="P98" s="1"/>
      <c r="Q98" s="36">
        <v>57</v>
      </c>
      <c r="R98" s="34">
        <v>13.48</v>
      </c>
      <c r="S98" s="29">
        <v>0</v>
      </c>
      <c r="T98" s="34">
        <v>2.76</v>
      </c>
      <c r="U98" s="34">
        <v>3.38</v>
      </c>
      <c r="V98" s="34">
        <v>13.1</v>
      </c>
      <c r="W98" s="11">
        <v>0.15</v>
      </c>
      <c r="X98" s="1"/>
      <c r="Y98" s="37">
        <v>57</v>
      </c>
      <c r="Z98" s="35">
        <v>14.48</v>
      </c>
      <c r="AA98" s="31">
        <v>0</v>
      </c>
      <c r="AB98" s="35">
        <v>0.88</v>
      </c>
      <c r="AC98" s="35">
        <v>-1.45</v>
      </c>
      <c r="AD98" s="35">
        <v>14.17</v>
      </c>
      <c r="AE98" s="35">
        <v>14.17</v>
      </c>
      <c r="AF98" s="33">
        <v>3.5</v>
      </c>
      <c r="AG98" s="1"/>
      <c r="AH98" s="1"/>
      <c r="AI98" s="1"/>
      <c r="AJ98" s="1"/>
      <c r="AK98" s="1"/>
      <c r="AL98" s="1"/>
      <c r="AM98" s="1"/>
      <c r="AN98" s="1"/>
      <c r="AO98" s="1"/>
    </row>
    <row r="99" spans="1:45" customFormat="1" x14ac:dyDescent="0.25">
      <c r="A99" s="36">
        <v>58</v>
      </c>
      <c r="B99" s="30">
        <v>18.29</v>
      </c>
      <c r="C99" s="30">
        <v>0.96</v>
      </c>
      <c r="D99" s="30">
        <v>2.8</v>
      </c>
      <c r="E99" s="30">
        <v>3.38</v>
      </c>
      <c r="F99" s="30">
        <v>13.49</v>
      </c>
      <c r="G99" s="11">
        <v>0.15</v>
      </c>
      <c r="H99" s="1"/>
      <c r="I99" s="37">
        <v>58</v>
      </c>
      <c r="J99" s="32">
        <v>19.32</v>
      </c>
      <c r="K99" s="32">
        <v>0.96</v>
      </c>
      <c r="L99" s="32">
        <v>0.88</v>
      </c>
      <c r="M99" s="32">
        <v>2.9</v>
      </c>
      <c r="N99" s="32">
        <v>14.59</v>
      </c>
      <c r="O99" s="33">
        <v>0.15</v>
      </c>
      <c r="P99" s="1"/>
      <c r="Q99" s="36">
        <v>58</v>
      </c>
      <c r="R99" s="34">
        <v>13.85</v>
      </c>
      <c r="S99" s="29">
        <v>0</v>
      </c>
      <c r="T99" s="34">
        <v>2.81</v>
      </c>
      <c r="U99" s="34">
        <v>3.38</v>
      </c>
      <c r="V99" s="34">
        <v>13.49</v>
      </c>
      <c r="W99" s="11">
        <v>0.15</v>
      </c>
      <c r="X99" s="1"/>
      <c r="Y99" s="37">
        <v>58</v>
      </c>
      <c r="Z99" s="35">
        <v>14.88</v>
      </c>
      <c r="AA99" s="31">
        <v>0</v>
      </c>
      <c r="AB99" s="35">
        <v>0.88</v>
      </c>
      <c r="AC99" s="35">
        <v>-1.47</v>
      </c>
      <c r="AD99" s="35">
        <v>14.59</v>
      </c>
      <c r="AE99" s="35">
        <v>14.59</v>
      </c>
      <c r="AF99" s="33">
        <v>3.5</v>
      </c>
      <c r="AG99" s="1"/>
      <c r="AH99" s="1"/>
      <c r="AI99" s="1"/>
      <c r="AJ99" s="1"/>
      <c r="AK99" s="1"/>
      <c r="AL99" s="1"/>
      <c r="AM99" s="1"/>
      <c r="AN99" s="1"/>
      <c r="AO99" s="1"/>
    </row>
    <row r="100" spans="1:45" customFormat="1" x14ac:dyDescent="0.25">
      <c r="A100" s="36">
        <v>59</v>
      </c>
      <c r="B100" s="30">
        <v>18.82</v>
      </c>
      <c r="C100" s="30">
        <v>0.99</v>
      </c>
      <c r="D100" s="30">
        <v>2.83</v>
      </c>
      <c r="E100" s="30">
        <v>3.39</v>
      </c>
      <c r="F100" s="30">
        <v>13.91</v>
      </c>
      <c r="G100" s="11">
        <v>0.15</v>
      </c>
      <c r="H100" s="1"/>
      <c r="I100" s="37">
        <v>59</v>
      </c>
      <c r="J100" s="32">
        <v>19.87</v>
      </c>
      <c r="K100" s="32">
        <v>0.99</v>
      </c>
      <c r="L100" s="32">
        <v>0.89</v>
      </c>
      <c r="M100" s="32">
        <v>2.97</v>
      </c>
      <c r="N100" s="32">
        <v>15.02</v>
      </c>
      <c r="O100" s="33">
        <v>0.15</v>
      </c>
      <c r="P100" s="1"/>
      <c r="Q100" s="36">
        <v>59</v>
      </c>
      <c r="R100" s="34">
        <v>14.25</v>
      </c>
      <c r="S100" s="29">
        <v>0</v>
      </c>
      <c r="T100" s="34">
        <v>2.84</v>
      </c>
      <c r="U100" s="34">
        <v>3.39</v>
      </c>
      <c r="V100" s="34">
        <v>13.91</v>
      </c>
      <c r="W100" s="11">
        <v>0.15</v>
      </c>
      <c r="X100" s="1"/>
      <c r="Y100" s="37">
        <v>59</v>
      </c>
      <c r="Z100" s="35">
        <v>15.29</v>
      </c>
      <c r="AA100" s="31">
        <v>0</v>
      </c>
      <c r="AB100" s="35">
        <v>0.89</v>
      </c>
      <c r="AC100" s="35">
        <v>-1.53</v>
      </c>
      <c r="AD100" s="35">
        <v>15.02</v>
      </c>
      <c r="AE100" s="35">
        <v>15.02</v>
      </c>
      <c r="AF100" s="33">
        <v>3.5</v>
      </c>
      <c r="AG100" s="1"/>
      <c r="AH100" s="1"/>
      <c r="AI100" s="1"/>
      <c r="AJ100" s="1"/>
      <c r="AK100" s="1"/>
      <c r="AL100" s="1"/>
      <c r="AM100" s="1"/>
      <c r="AN100" s="1"/>
      <c r="AO100" s="1"/>
    </row>
    <row r="101" spans="1:45" customFormat="1" x14ac:dyDescent="0.25">
      <c r="A101" s="36">
        <v>60</v>
      </c>
      <c r="B101" s="30">
        <v>18.82</v>
      </c>
      <c r="C101" s="30">
        <v>0.99</v>
      </c>
      <c r="D101" s="30">
        <v>2.83</v>
      </c>
      <c r="E101" s="30">
        <v>3.39</v>
      </c>
      <c r="F101" s="30">
        <v>13.91</v>
      </c>
      <c r="G101" s="11">
        <v>0.15</v>
      </c>
      <c r="H101" s="1"/>
      <c r="I101" s="37">
        <v>60</v>
      </c>
      <c r="J101" s="32">
        <v>19.87</v>
      </c>
      <c r="K101" s="32">
        <v>0.99</v>
      </c>
      <c r="L101" s="32">
        <v>0.89</v>
      </c>
      <c r="M101" s="32">
        <v>2.97</v>
      </c>
      <c r="N101" s="32">
        <v>15.02</v>
      </c>
      <c r="O101" s="33">
        <v>0.15</v>
      </c>
      <c r="P101" s="1"/>
      <c r="Q101" s="36">
        <v>60</v>
      </c>
      <c r="R101" s="34">
        <v>14.656821833667143</v>
      </c>
      <c r="S101" s="29">
        <v>0</v>
      </c>
      <c r="T101" s="34">
        <v>2.8655397514815673</v>
      </c>
      <c r="U101" s="34">
        <v>3.39</v>
      </c>
      <c r="V101" s="34">
        <v>14.33</v>
      </c>
      <c r="W101" s="11">
        <v>0.15</v>
      </c>
      <c r="X101" s="1"/>
      <c r="Y101" s="37">
        <v>60</v>
      </c>
      <c r="Z101" s="32">
        <v>15.72</v>
      </c>
      <c r="AA101" s="31">
        <v>0</v>
      </c>
      <c r="AB101" s="32">
        <v>0.89</v>
      </c>
      <c r="AC101" s="32">
        <v>-1.1000000000000001</v>
      </c>
      <c r="AD101" s="32">
        <v>-3.72</v>
      </c>
      <c r="AE101" s="32">
        <v>15.47</v>
      </c>
      <c r="AF101" s="33">
        <v>1</v>
      </c>
      <c r="AG101" s="1"/>
      <c r="AH101" s="1"/>
      <c r="AI101" s="1"/>
      <c r="AJ101" s="1"/>
      <c r="AK101" s="1"/>
      <c r="AL101" s="1"/>
      <c r="AM101" s="1"/>
      <c r="AN101" s="1"/>
      <c r="AO101" s="1"/>
    </row>
    <row r="102" spans="1:45" customFormat="1" x14ac:dyDescent="0.25">
      <c r="A102" s="36">
        <v>61</v>
      </c>
      <c r="B102" s="30">
        <v>18.82</v>
      </c>
      <c r="C102" s="30">
        <v>0.99</v>
      </c>
      <c r="D102" s="30">
        <v>2.83</v>
      </c>
      <c r="E102" s="30">
        <v>3.39</v>
      </c>
      <c r="F102" s="30">
        <v>13.91</v>
      </c>
      <c r="G102" s="11">
        <v>0.15</v>
      </c>
      <c r="H102" s="1"/>
      <c r="I102" s="37">
        <v>61</v>
      </c>
      <c r="J102" s="32">
        <v>19.87</v>
      </c>
      <c r="K102" s="32">
        <v>0.99</v>
      </c>
      <c r="L102" s="32">
        <v>0.89</v>
      </c>
      <c r="M102" s="32">
        <v>2.97</v>
      </c>
      <c r="N102" s="32">
        <v>15.02</v>
      </c>
      <c r="O102" s="33">
        <v>0.15</v>
      </c>
      <c r="P102" s="1"/>
      <c r="Q102" s="36">
        <v>61</v>
      </c>
      <c r="R102" s="34">
        <v>15.087731342979639</v>
      </c>
      <c r="S102" s="29">
        <v>0</v>
      </c>
      <c r="T102" s="34">
        <v>2.9005426263636735</v>
      </c>
      <c r="U102" s="34">
        <v>3.4</v>
      </c>
      <c r="V102" s="34">
        <v>14.78</v>
      </c>
      <c r="W102" s="11">
        <v>0.15</v>
      </c>
      <c r="X102" s="1"/>
      <c r="Y102" s="37">
        <v>61</v>
      </c>
      <c r="Z102" s="32">
        <v>16.170000000000002</v>
      </c>
      <c r="AA102" s="31">
        <v>0</v>
      </c>
      <c r="AB102" s="32">
        <v>0.89</v>
      </c>
      <c r="AC102" s="32">
        <v>-0.14000000000000001</v>
      </c>
      <c r="AD102" s="32">
        <v>-2.82</v>
      </c>
      <c r="AE102" s="32">
        <v>15.94</v>
      </c>
      <c r="AF102" s="33">
        <v>1</v>
      </c>
      <c r="AG102" s="1"/>
      <c r="AH102" s="1"/>
      <c r="AI102" s="1"/>
      <c r="AJ102" s="1"/>
      <c r="AK102" s="1"/>
      <c r="AL102" s="1"/>
      <c r="AM102" s="1"/>
      <c r="AN102" s="1"/>
      <c r="AO102" s="1"/>
    </row>
    <row r="103" spans="1:45" customFormat="1" x14ac:dyDescent="0.25">
      <c r="A103" s="36">
        <v>62</v>
      </c>
      <c r="B103" s="30">
        <v>18.82</v>
      </c>
      <c r="C103" s="30">
        <v>0.99</v>
      </c>
      <c r="D103" s="30">
        <v>2.83</v>
      </c>
      <c r="E103" s="30">
        <v>3.39</v>
      </c>
      <c r="F103" s="30">
        <v>13.91</v>
      </c>
      <c r="G103" s="11">
        <v>0.15</v>
      </c>
      <c r="H103" s="1"/>
      <c r="I103" s="37">
        <v>62</v>
      </c>
      <c r="J103" s="32">
        <v>19.87</v>
      </c>
      <c r="K103" s="32">
        <v>0.99</v>
      </c>
      <c r="L103" s="32">
        <v>0.89</v>
      </c>
      <c r="M103" s="32">
        <v>2.97</v>
      </c>
      <c r="N103" s="32">
        <v>15.02</v>
      </c>
      <c r="O103" s="33">
        <v>0.15</v>
      </c>
      <c r="P103" s="1"/>
      <c r="Q103" s="36">
        <v>62</v>
      </c>
      <c r="R103" s="34">
        <v>15.537288927827673</v>
      </c>
      <c r="S103" s="29">
        <v>0</v>
      </c>
      <c r="T103" s="34">
        <v>2.9353987635669028</v>
      </c>
      <c r="U103" s="34">
        <v>3.41</v>
      </c>
      <c r="V103" s="34">
        <v>15.25</v>
      </c>
      <c r="W103" s="11">
        <v>0.15</v>
      </c>
      <c r="X103" s="1"/>
      <c r="Y103" s="37">
        <v>62</v>
      </c>
      <c r="Z103" s="32">
        <v>16.62</v>
      </c>
      <c r="AA103" s="31">
        <v>0</v>
      </c>
      <c r="AB103" s="32">
        <v>0.89</v>
      </c>
      <c r="AC103" s="32">
        <v>0.86</v>
      </c>
      <c r="AD103" s="32">
        <v>-1.9</v>
      </c>
      <c r="AE103" s="32">
        <v>16.420000000000002</v>
      </c>
      <c r="AF103" s="33">
        <v>1</v>
      </c>
      <c r="AG103" s="1"/>
      <c r="AH103" s="1"/>
      <c r="AI103" s="1"/>
      <c r="AJ103" s="1"/>
      <c r="AK103" s="1"/>
      <c r="AL103" s="1"/>
      <c r="AM103" s="1"/>
      <c r="AN103" s="1"/>
      <c r="AO103" s="1"/>
    </row>
    <row r="104" spans="1:45" customFormat="1" x14ac:dyDescent="0.25">
      <c r="A104" s="36">
        <v>63</v>
      </c>
      <c r="B104" s="30">
        <v>18.82</v>
      </c>
      <c r="C104" s="30">
        <v>0.99</v>
      </c>
      <c r="D104" s="30">
        <v>2.83</v>
      </c>
      <c r="E104" s="30">
        <v>3.39</v>
      </c>
      <c r="F104" s="30">
        <v>13.91</v>
      </c>
      <c r="G104" s="11">
        <v>0.15</v>
      </c>
      <c r="H104" s="1"/>
      <c r="I104" s="37">
        <v>63</v>
      </c>
      <c r="J104" s="32">
        <v>19.87</v>
      </c>
      <c r="K104" s="32">
        <v>0.99</v>
      </c>
      <c r="L104" s="32">
        <v>0.89</v>
      </c>
      <c r="M104" s="32">
        <v>2.97</v>
      </c>
      <c r="N104" s="32">
        <v>15.02</v>
      </c>
      <c r="O104" s="33">
        <v>0.15</v>
      </c>
      <c r="P104" s="1"/>
      <c r="Q104" s="36">
        <v>63</v>
      </c>
      <c r="R104" s="34">
        <v>15.995212374349942</v>
      </c>
      <c r="S104" s="29">
        <v>0</v>
      </c>
      <c r="T104" s="34">
        <v>2.9600061907646649</v>
      </c>
      <c r="U104" s="34">
        <v>3.42</v>
      </c>
      <c r="V104" s="34">
        <v>15.73</v>
      </c>
      <c r="W104" s="11">
        <v>0.15</v>
      </c>
      <c r="X104" s="1"/>
      <c r="Y104" s="37">
        <v>63</v>
      </c>
      <c r="Z104" s="32">
        <v>17.100000000000001</v>
      </c>
      <c r="AA104" s="31">
        <v>0</v>
      </c>
      <c r="AB104" s="32">
        <v>0.88</v>
      </c>
      <c r="AC104" s="32">
        <v>1.89</v>
      </c>
      <c r="AD104" s="32">
        <v>-0.95</v>
      </c>
      <c r="AE104" s="32">
        <v>16.93</v>
      </c>
      <c r="AF104" s="33">
        <v>1</v>
      </c>
      <c r="AG104" s="1"/>
      <c r="AH104" s="1"/>
      <c r="AI104" s="1"/>
      <c r="AJ104" s="1"/>
      <c r="AK104" s="1"/>
      <c r="AL104" s="1"/>
      <c r="AM104" s="1"/>
      <c r="AN104" s="1"/>
      <c r="AO104" s="1"/>
    </row>
    <row r="105" spans="1:45" customFormat="1" x14ac:dyDescent="0.25">
      <c r="A105" s="36">
        <v>64</v>
      </c>
      <c r="B105" s="30">
        <v>18.82</v>
      </c>
      <c r="C105" s="30">
        <v>0.99</v>
      </c>
      <c r="D105" s="30">
        <v>2.83</v>
      </c>
      <c r="E105" s="30">
        <v>3.39</v>
      </c>
      <c r="F105" s="30">
        <v>13.91</v>
      </c>
      <c r="G105" s="11">
        <v>0.15</v>
      </c>
      <c r="H105" s="1"/>
      <c r="I105" s="37">
        <v>64</v>
      </c>
      <c r="J105" s="32">
        <v>19.87</v>
      </c>
      <c r="K105" s="32">
        <v>0.99</v>
      </c>
      <c r="L105" s="32">
        <v>0.89</v>
      </c>
      <c r="M105" s="32">
        <v>2.97</v>
      </c>
      <c r="N105" s="32">
        <v>15.02</v>
      </c>
      <c r="O105" s="33">
        <v>0.15</v>
      </c>
      <c r="P105" s="1"/>
      <c r="Q105" s="36">
        <v>64</v>
      </c>
      <c r="R105" s="34">
        <v>16.481745469994721</v>
      </c>
      <c r="S105" s="29">
        <v>0</v>
      </c>
      <c r="T105" s="34">
        <v>2.984506987558893</v>
      </c>
      <c r="U105" s="34">
        <v>3.51</v>
      </c>
      <c r="V105" s="34">
        <v>16.239999999999998</v>
      </c>
      <c r="W105" s="11">
        <v>0.15</v>
      </c>
      <c r="X105" s="1"/>
      <c r="Y105" s="37">
        <v>64</v>
      </c>
      <c r="Z105" s="32">
        <v>17.600000000000001</v>
      </c>
      <c r="AA105" s="31">
        <v>0</v>
      </c>
      <c r="AB105" s="32">
        <v>0.88</v>
      </c>
      <c r="AC105" s="32">
        <v>2.95</v>
      </c>
      <c r="AD105" s="32">
        <v>0.03</v>
      </c>
      <c r="AE105" s="32">
        <v>17.46</v>
      </c>
      <c r="AF105" s="33">
        <v>1</v>
      </c>
      <c r="AG105" s="1"/>
      <c r="AH105" s="1"/>
      <c r="AI105" s="1"/>
      <c r="AJ105" s="1"/>
      <c r="AK105" s="1"/>
      <c r="AL105" s="1"/>
      <c r="AM105" s="1"/>
      <c r="AN105" s="1"/>
      <c r="AO105" s="1"/>
    </row>
    <row r="106" spans="1:45" customFormat="1" x14ac:dyDescent="0.25">
      <c r="A106" s="36">
        <v>65</v>
      </c>
      <c r="B106" s="30">
        <v>18.82</v>
      </c>
      <c r="C106" s="30">
        <v>0.99</v>
      </c>
      <c r="D106" s="30">
        <v>2.83</v>
      </c>
      <c r="E106" s="30">
        <v>3.39</v>
      </c>
      <c r="F106" s="30">
        <v>13.91</v>
      </c>
      <c r="G106" s="11">
        <v>0.15</v>
      </c>
      <c r="H106" s="1"/>
      <c r="I106" s="37">
        <v>65</v>
      </c>
      <c r="J106" s="32">
        <v>19.87</v>
      </c>
      <c r="K106" s="32">
        <v>0.99</v>
      </c>
      <c r="L106" s="32">
        <v>0.89</v>
      </c>
      <c r="M106" s="32">
        <v>2.97</v>
      </c>
      <c r="N106" s="32">
        <v>15.02</v>
      </c>
      <c r="O106" s="33">
        <v>0.15</v>
      </c>
      <c r="P106" s="1"/>
      <c r="Q106" s="36">
        <v>65</v>
      </c>
      <c r="R106" s="34">
        <v>16.481745469994721</v>
      </c>
      <c r="S106" s="29">
        <v>0</v>
      </c>
      <c r="T106" s="34">
        <v>2.984506987558893</v>
      </c>
      <c r="U106" s="34">
        <v>3.51</v>
      </c>
      <c r="V106" s="34">
        <v>16.239999999999998</v>
      </c>
      <c r="W106" s="11">
        <v>0.15</v>
      </c>
      <c r="X106" s="1"/>
      <c r="Y106" s="37">
        <v>65</v>
      </c>
      <c r="Z106" s="32">
        <v>17.600000000000001</v>
      </c>
      <c r="AA106" s="31">
        <v>0</v>
      </c>
      <c r="AB106" s="32">
        <v>0.88</v>
      </c>
      <c r="AC106" s="32">
        <v>2.95</v>
      </c>
      <c r="AD106" s="32">
        <v>0.03</v>
      </c>
      <c r="AE106" s="32">
        <v>17.46</v>
      </c>
      <c r="AF106" s="33">
        <v>1</v>
      </c>
      <c r="AG106" s="1"/>
      <c r="AH106" s="1"/>
      <c r="AI106" s="1"/>
      <c r="AJ106" s="1"/>
      <c r="AK106" s="1"/>
      <c r="AL106" s="1"/>
      <c r="AM106" s="1"/>
      <c r="AN106" s="1"/>
      <c r="AO106" s="1"/>
    </row>
    <row r="107" spans="1:45" customFormat="1" x14ac:dyDescent="0.25">
      <c r="A107" s="36">
        <v>66</v>
      </c>
      <c r="B107" s="30">
        <v>18.82</v>
      </c>
      <c r="C107" s="30">
        <v>0.99</v>
      </c>
      <c r="D107" s="30">
        <v>2.83</v>
      </c>
      <c r="E107" s="30">
        <v>3.39</v>
      </c>
      <c r="F107" s="30">
        <v>13.91</v>
      </c>
      <c r="G107" s="11">
        <v>0.15</v>
      </c>
      <c r="H107" s="1"/>
      <c r="I107" s="37">
        <v>66</v>
      </c>
      <c r="J107" s="32">
        <v>19.87</v>
      </c>
      <c r="K107" s="32">
        <v>0.99</v>
      </c>
      <c r="L107" s="32">
        <v>0.89</v>
      </c>
      <c r="M107" s="32">
        <v>2.97</v>
      </c>
      <c r="N107" s="32">
        <v>15.02</v>
      </c>
      <c r="O107" s="33">
        <v>0.15</v>
      </c>
      <c r="P107" s="1"/>
      <c r="Q107" s="36">
        <v>66</v>
      </c>
      <c r="R107" s="34">
        <v>16.481745469994721</v>
      </c>
      <c r="S107" s="29">
        <v>0</v>
      </c>
      <c r="T107" s="34">
        <v>2.984506987558893</v>
      </c>
      <c r="U107" s="34">
        <v>3.51</v>
      </c>
      <c r="V107" s="34">
        <v>16.239999999999998</v>
      </c>
      <c r="W107" s="11">
        <v>0.15</v>
      </c>
      <c r="X107" s="1"/>
      <c r="Y107" s="37">
        <v>66</v>
      </c>
      <c r="Z107" s="32">
        <v>17.600000000000001</v>
      </c>
      <c r="AA107" s="31">
        <v>0</v>
      </c>
      <c r="AB107" s="32">
        <v>0.88</v>
      </c>
      <c r="AC107" s="32">
        <v>2.95</v>
      </c>
      <c r="AD107" s="32">
        <v>0.03</v>
      </c>
      <c r="AE107" s="32">
        <v>17.46</v>
      </c>
      <c r="AF107" s="33">
        <v>1</v>
      </c>
      <c r="AG107" s="1"/>
      <c r="AH107" s="1"/>
      <c r="AI107" s="1"/>
      <c r="AJ107" s="1"/>
      <c r="AK107" s="1"/>
      <c r="AL107" s="1"/>
      <c r="AM107" s="1"/>
      <c r="AN107" s="1"/>
      <c r="AO107" s="1"/>
    </row>
    <row r="108" spans="1:45" customFormat="1" x14ac:dyDescent="0.25">
      <c r="A108" s="36">
        <v>67</v>
      </c>
      <c r="B108" s="30">
        <v>18.82</v>
      </c>
      <c r="C108" s="30">
        <v>0.99</v>
      </c>
      <c r="D108" s="30">
        <v>2.83</v>
      </c>
      <c r="E108" s="30">
        <v>3.39</v>
      </c>
      <c r="F108" s="30">
        <v>13.91</v>
      </c>
      <c r="G108" s="11">
        <v>0.15</v>
      </c>
      <c r="H108" s="1"/>
      <c r="I108" s="37">
        <v>67</v>
      </c>
      <c r="J108" s="32">
        <v>19.87</v>
      </c>
      <c r="K108" s="32">
        <v>0.99</v>
      </c>
      <c r="L108" s="32">
        <v>0.89</v>
      </c>
      <c r="M108" s="32">
        <v>2.97</v>
      </c>
      <c r="N108" s="32">
        <v>15.02</v>
      </c>
      <c r="O108" s="33">
        <v>0.15</v>
      </c>
      <c r="P108" s="1"/>
      <c r="Q108" s="36">
        <v>67</v>
      </c>
      <c r="R108" s="34">
        <v>16.481745469994721</v>
      </c>
      <c r="S108" s="29">
        <v>0</v>
      </c>
      <c r="T108" s="34">
        <v>2.984506987558893</v>
      </c>
      <c r="U108" s="34">
        <v>3.51</v>
      </c>
      <c r="V108" s="34">
        <v>16.239999999999998</v>
      </c>
      <c r="W108" s="11">
        <v>0.15</v>
      </c>
      <c r="X108" s="1"/>
      <c r="Y108" s="37">
        <v>67</v>
      </c>
      <c r="Z108" s="32">
        <v>17.600000000000001</v>
      </c>
      <c r="AA108" s="31">
        <v>0</v>
      </c>
      <c r="AB108" s="32">
        <v>0.88</v>
      </c>
      <c r="AC108" s="32">
        <v>2.95</v>
      </c>
      <c r="AD108" s="32">
        <v>0.03</v>
      </c>
      <c r="AE108" s="32">
        <v>17.46</v>
      </c>
      <c r="AF108" s="33">
        <v>1</v>
      </c>
      <c r="AG108" s="1"/>
      <c r="AH108" s="1"/>
      <c r="AI108" s="1"/>
      <c r="AJ108" s="1"/>
      <c r="AK108" s="1"/>
      <c r="AL108" s="1"/>
      <c r="AM108" s="1"/>
      <c r="AN108" s="1"/>
      <c r="AO108" s="1"/>
    </row>
    <row r="109" spans="1:45" customFormat="1" x14ac:dyDescent="0.25">
      <c r="A109" s="1"/>
      <c r="B109" s="1"/>
      <c r="C109" s="1"/>
      <c r="D109" s="1"/>
      <c r="E109" s="1"/>
      <c r="F109" s="1"/>
      <c r="G109" s="38"/>
      <c r="H109" s="1"/>
      <c r="I109" s="1"/>
      <c r="J109" s="1"/>
      <c r="K109" s="1"/>
      <c r="L109" s="1"/>
      <c r="M109" s="1"/>
      <c r="N109" s="1"/>
      <c r="O109" s="38"/>
      <c r="P109" s="1"/>
      <c r="Q109" s="108"/>
      <c r="R109" s="109"/>
      <c r="S109" s="110"/>
      <c r="T109" s="109"/>
      <c r="U109" s="109"/>
      <c r="V109" s="109"/>
      <c r="W109" s="111"/>
      <c r="X109" s="1"/>
      <c r="Y109" s="112"/>
      <c r="Z109" s="113"/>
      <c r="AA109" s="114"/>
      <c r="AB109" s="113"/>
      <c r="AC109" s="113"/>
      <c r="AD109" s="113"/>
      <c r="AE109" s="113"/>
      <c r="AF109" s="115"/>
      <c r="AG109" s="1"/>
      <c r="AH109" s="1"/>
      <c r="AI109" s="1"/>
      <c r="AJ109" s="1"/>
      <c r="AK109" s="1"/>
      <c r="AL109" s="1"/>
      <c r="AM109" s="1"/>
      <c r="AN109" s="1"/>
      <c r="AO109" s="1"/>
    </row>
    <row r="110" spans="1:45" ht="18" customHeight="1" thickBot="1" x14ac:dyDescent="0.3">
      <c r="A110" s="1"/>
      <c r="B110" s="1"/>
      <c r="C110" s="1"/>
      <c r="D110" s="1"/>
      <c r="E110" s="1"/>
      <c r="F110" s="1"/>
      <c r="G110" s="1"/>
      <c r="H110" s="1"/>
      <c r="I110" s="1"/>
      <c r="J110" s="1"/>
      <c r="K110" s="1"/>
      <c r="L110" s="1"/>
      <c r="M110" s="39"/>
      <c r="N110" s="39"/>
      <c r="O110" s="39"/>
      <c r="P110" s="39"/>
      <c r="Q110" s="39"/>
      <c r="R110" s="39"/>
      <c r="S110" s="1"/>
      <c r="T110" s="2"/>
      <c r="U110" s="2"/>
      <c r="V110" s="2"/>
      <c r="W110" s="4"/>
      <c r="X110" s="2"/>
      <c r="Y110" s="4"/>
      <c r="Z110" s="4"/>
      <c r="AA110" s="2"/>
      <c r="AB110" s="2"/>
      <c r="AC110" s="2"/>
      <c r="AD110" s="2"/>
      <c r="AE110" s="2"/>
      <c r="AF110" s="2"/>
      <c r="AP110" s="2"/>
      <c r="AQ110" s="2"/>
      <c r="AR110" s="2"/>
      <c r="AS110" s="2"/>
    </row>
    <row r="111" spans="1:45" ht="18" customHeight="1" thickBot="1" x14ac:dyDescent="0.35">
      <c r="A111" s="374" t="s">
        <v>126</v>
      </c>
      <c r="B111" s="375"/>
      <c r="C111" s="375"/>
      <c r="D111" s="375"/>
      <c r="E111" s="375"/>
      <c r="F111" s="375"/>
      <c r="G111" s="375"/>
      <c r="H111" s="375"/>
      <c r="I111" s="375"/>
      <c r="J111" s="375"/>
      <c r="K111" s="375"/>
      <c r="L111" s="376"/>
      <c r="M111" s="366" t="s">
        <v>118</v>
      </c>
      <c r="N111" s="367"/>
      <c r="O111" s="367"/>
      <c r="P111" s="368"/>
      <c r="Q111" s="369" t="s">
        <v>119</v>
      </c>
      <c r="R111" s="370"/>
      <c r="S111" s="370"/>
      <c r="T111" s="371"/>
      <c r="U111" s="2"/>
      <c r="V111" s="2"/>
      <c r="W111" s="4"/>
      <c r="X111" s="4"/>
      <c r="Y111" s="4"/>
      <c r="Z111" s="4"/>
      <c r="AA111" s="2"/>
      <c r="AB111" s="2"/>
      <c r="AC111" s="2"/>
      <c r="AD111" s="2"/>
      <c r="AE111" s="2"/>
      <c r="AF111" s="2"/>
      <c r="AP111" s="2"/>
      <c r="AQ111" s="2"/>
      <c r="AR111" s="2"/>
      <c r="AS111" s="2"/>
    </row>
    <row r="112" spans="1:45" ht="18" customHeight="1" x14ac:dyDescent="0.3">
      <c r="A112" s="364" t="s">
        <v>27</v>
      </c>
      <c r="B112" s="365"/>
      <c r="C112" s="55">
        <f>INT((C114-C115)/365.25)</f>
        <v>125</v>
      </c>
      <c r="D112" s="95"/>
      <c r="E112" s="57"/>
      <c r="F112" s="96" t="s">
        <v>33</v>
      </c>
      <c r="G112" s="97" t="s">
        <v>1</v>
      </c>
      <c r="H112" s="98" t="s">
        <v>2</v>
      </c>
      <c r="I112" s="99" t="s">
        <v>34</v>
      </c>
      <c r="J112" s="100" t="s">
        <v>35</v>
      </c>
      <c r="K112" s="100" t="s">
        <v>36</v>
      </c>
      <c r="L112" s="101" t="s">
        <v>37</v>
      </c>
      <c r="M112" s="49" t="s">
        <v>34</v>
      </c>
      <c r="N112" s="50" t="s">
        <v>35</v>
      </c>
      <c r="O112" s="50" t="s">
        <v>36</v>
      </c>
      <c r="P112" s="51" t="s">
        <v>37</v>
      </c>
      <c r="Q112" s="52" t="s">
        <v>34</v>
      </c>
      <c r="R112" s="53" t="s">
        <v>35</v>
      </c>
      <c r="S112" s="53" t="s">
        <v>36</v>
      </c>
      <c r="T112" s="54" t="s">
        <v>37</v>
      </c>
      <c r="U112" s="2"/>
      <c r="V112" s="2"/>
      <c r="W112" s="4"/>
      <c r="X112" s="4"/>
      <c r="Y112" s="4"/>
      <c r="Z112" s="4"/>
      <c r="AA112" s="2"/>
      <c r="AB112" s="2"/>
      <c r="AC112" s="2"/>
      <c r="AD112" s="2"/>
      <c r="AE112" s="2"/>
      <c r="AF112" s="2"/>
      <c r="AP112" s="2"/>
      <c r="AQ112" s="2"/>
      <c r="AR112" s="2"/>
      <c r="AS112" s="2"/>
    </row>
    <row r="113" spans="1:45" ht="18" customHeight="1" x14ac:dyDescent="0.3">
      <c r="A113" s="364" t="s">
        <v>0</v>
      </c>
      <c r="B113" s="365"/>
      <c r="C113" s="55" t="str">
        <f>IF(Results!E8="M", "Male", "Female")</f>
        <v>Female</v>
      </c>
      <c r="D113" s="56" t="s">
        <v>39</v>
      </c>
      <c r="E113" s="57"/>
      <c r="F113" s="83">
        <f>IF($C$113="Male",G113,H113)</f>
        <v>18.66</v>
      </c>
      <c r="G113" s="84">
        <f t="shared" ref="G113:H119" si="0">IF($C$116="60",I113,K113)</f>
        <v>18.66</v>
      </c>
      <c r="H113" s="86">
        <f t="shared" si="0"/>
        <v>18.66</v>
      </c>
      <c r="I113" s="87">
        <f t="shared" ref="I113:L119" si="1">IF($C$118="NHS",M113,Q113)</f>
        <v>21.73</v>
      </c>
      <c r="J113" s="85">
        <f t="shared" si="1"/>
        <v>21.73</v>
      </c>
      <c r="K113" s="85">
        <f t="shared" si="1"/>
        <v>18.66</v>
      </c>
      <c r="L113" s="88">
        <f>IF($C$118="NHS",P113,T113)</f>
        <v>18.66</v>
      </c>
      <c r="M113" s="58">
        <f>VLOOKUP($C$112,$A$4:$G$53,2)</f>
        <v>21.73</v>
      </c>
      <c r="N113" s="59">
        <f>VLOOKUP($C$112,$I$4:$O$53,2)</f>
        <v>21.73</v>
      </c>
      <c r="O113" s="59">
        <f>VLOOKUP($C$112,$Q$4:$W$53,2)</f>
        <v>18.66</v>
      </c>
      <c r="P113" s="60">
        <f>VLOOKUP($C$112,$Y$4:$AF$53,2)</f>
        <v>18.66</v>
      </c>
      <c r="Q113" s="61">
        <f>VLOOKUP($C$112,$A$59:$G$108,2)</f>
        <v>18.82</v>
      </c>
      <c r="R113" s="62">
        <f>VLOOKUP($C$112,$I$59:$O$108,2)</f>
        <v>19.87</v>
      </c>
      <c r="S113" s="62">
        <f>VLOOKUP($C$112,$Q$59:$W$108,2)</f>
        <v>16.481745469994721</v>
      </c>
      <c r="T113" s="63">
        <f>VLOOKUP($C$112,$Y$59:$AF$108,2)</f>
        <v>17.600000000000001</v>
      </c>
      <c r="U113" s="2"/>
      <c r="V113" s="2"/>
      <c r="W113" s="4"/>
      <c r="X113" s="4"/>
      <c r="Y113" s="4"/>
      <c r="Z113" s="4"/>
      <c r="AA113" s="2"/>
      <c r="AB113" s="2"/>
      <c r="AC113" s="2"/>
      <c r="AD113" s="2"/>
      <c r="AE113" s="2"/>
      <c r="AF113" s="2"/>
      <c r="AP113" s="2"/>
      <c r="AQ113" s="2"/>
      <c r="AR113" s="2"/>
      <c r="AS113" s="2"/>
    </row>
    <row r="114" spans="1:45" ht="18" customHeight="1" x14ac:dyDescent="0.3">
      <c r="A114" s="364" t="s">
        <v>38</v>
      </c>
      <c r="B114" s="365"/>
      <c r="C114" s="64">
        <f>Results!E12</f>
        <v>45747</v>
      </c>
      <c r="D114" s="56" t="s">
        <v>40</v>
      </c>
      <c r="E114" s="57"/>
      <c r="F114" s="83">
        <f t="shared" ref="F114:F119" si="2">IF($C$113="Male",G114,H114)</f>
        <v>0.99</v>
      </c>
      <c r="G114" s="84">
        <f t="shared" si="0"/>
        <v>0.99</v>
      </c>
      <c r="H114" s="86">
        <f t="shared" si="0"/>
        <v>0.99</v>
      </c>
      <c r="I114" s="87">
        <f t="shared" si="1"/>
        <v>0.99</v>
      </c>
      <c r="J114" s="85">
        <f t="shared" si="1"/>
        <v>0.99</v>
      </c>
      <c r="K114" s="85">
        <f t="shared" si="1"/>
        <v>0.99</v>
      </c>
      <c r="L114" s="88">
        <f t="shared" si="1"/>
        <v>0.99</v>
      </c>
      <c r="M114" s="58">
        <f>VLOOKUP($C$112,$A$4:$G$53,3)</f>
        <v>0.99</v>
      </c>
      <c r="N114" s="59">
        <f>VLOOKUP($C$112,$I$4:$O$53,3)</f>
        <v>0.99</v>
      </c>
      <c r="O114" s="59">
        <f>VLOOKUP($C$112,$Q$4:$W$53,3)</f>
        <v>0.99</v>
      </c>
      <c r="P114" s="60">
        <f>VLOOKUP($C$112,$Y$4:$AF$53,3)</f>
        <v>0.99</v>
      </c>
      <c r="Q114" s="61">
        <f>VLOOKUP($C$112,$A$59:$G$108,3)</f>
        <v>0.99</v>
      </c>
      <c r="R114" s="62">
        <f>VLOOKUP($C$112,$I$59:$O$108,3)</f>
        <v>0.99</v>
      </c>
      <c r="S114" s="62">
        <f>VLOOKUP($C$112,$Q$59:$W$108,3)</f>
        <v>0</v>
      </c>
      <c r="T114" s="63">
        <f>VLOOKUP($C$112,$Y$59:$AF$108,3)</f>
        <v>0</v>
      </c>
      <c r="U114" s="2"/>
      <c r="V114" s="2"/>
      <c r="W114" s="4"/>
      <c r="X114" s="4"/>
      <c r="Y114" s="4"/>
      <c r="Z114" s="4"/>
      <c r="AA114" s="2"/>
      <c r="AB114" s="2"/>
      <c r="AC114" s="2"/>
      <c r="AD114" s="2"/>
      <c r="AE114" s="2"/>
      <c r="AF114" s="2"/>
      <c r="AP114" s="2"/>
      <c r="AQ114" s="2"/>
      <c r="AR114" s="2"/>
      <c r="AS114" s="2"/>
    </row>
    <row r="115" spans="1:45" ht="18" customHeight="1" x14ac:dyDescent="0.3">
      <c r="A115" s="364" t="s">
        <v>32</v>
      </c>
      <c r="B115" s="365"/>
      <c r="C115" s="64">
        <f>Results!E9</f>
        <v>0</v>
      </c>
      <c r="D115" s="56" t="s">
        <v>41</v>
      </c>
      <c r="E115" s="65"/>
      <c r="F115" s="83">
        <f t="shared" si="2"/>
        <v>1.77</v>
      </c>
      <c r="G115" s="84">
        <f t="shared" si="0"/>
        <v>1.77</v>
      </c>
      <c r="H115" s="86">
        <f t="shared" si="0"/>
        <v>1.77</v>
      </c>
      <c r="I115" s="87">
        <f t="shared" si="1"/>
        <v>1.74</v>
      </c>
      <c r="J115" s="85">
        <f t="shared" si="1"/>
        <v>1.74</v>
      </c>
      <c r="K115" s="85">
        <f t="shared" si="1"/>
        <v>1.77</v>
      </c>
      <c r="L115" s="88">
        <f t="shared" si="1"/>
        <v>1.77</v>
      </c>
      <c r="M115" s="58">
        <f>VLOOKUP($C$112,$A$4:$G$53,4)</f>
        <v>1.74</v>
      </c>
      <c r="N115" s="59">
        <f>VLOOKUP($C$112,$I$4:$O$53,4)</f>
        <v>1.74</v>
      </c>
      <c r="O115" s="59">
        <f>VLOOKUP($C$112,$Q$4:$W$53,4)</f>
        <v>1.77</v>
      </c>
      <c r="P115" s="60">
        <f>VLOOKUP($C$112,$Y$4:$AF$53,4)</f>
        <v>1.77</v>
      </c>
      <c r="Q115" s="61">
        <f>VLOOKUP($C$112,$A$59:$G$108,4)</f>
        <v>2.83</v>
      </c>
      <c r="R115" s="62">
        <f>VLOOKUP($C$112,$I$59:$O$108,4)</f>
        <v>0.89</v>
      </c>
      <c r="S115" s="62">
        <f>VLOOKUP($C$112,$Q$59:$W$108,4)</f>
        <v>2.984506987558893</v>
      </c>
      <c r="T115" s="63">
        <f>VLOOKUP($C$112,$Y$59:$AF$108,4)</f>
        <v>0.88</v>
      </c>
      <c r="U115" s="2"/>
      <c r="V115" s="2"/>
      <c r="W115" s="4"/>
      <c r="X115" s="4"/>
      <c r="Y115" s="4"/>
      <c r="Z115" s="4"/>
      <c r="AA115" s="2"/>
      <c r="AB115" s="2"/>
      <c r="AC115" s="2"/>
      <c r="AD115" s="2"/>
      <c r="AE115" s="2"/>
      <c r="AF115" s="2"/>
      <c r="AP115" s="2"/>
      <c r="AQ115" s="2"/>
      <c r="AR115" s="2"/>
      <c r="AS115" s="2"/>
    </row>
    <row r="116" spans="1:45" ht="18" customHeight="1" x14ac:dyDescent="0.3">
      <c r="A116" s="364" t="s">
        <v>30</v>
      </c>
      <c r="B116" s="365"/>
      <c r="C116" s="55" t="str">
        <f>IF(Results!E6="NHS 1995 Section","60","65")</f>
        <v>65</v>
      </c>
      <c r="D116" s="56" t="s">
        <v>42</v>
      </c>
      <c r="E116" s="65"/>
      <c r="F116" s="83">
        <f t="shared" si="2"/>
        <v>3.05</v>
      </c>
      <c r="G116" s="84">
        <f t="shared" si="0"/>
        <v>3.61</v>
      </c>
      <c r="H116" s="86">
        <f t="shared" si="0"/>
        <v>3.05</v>
      </c>
      <c r="I116" s="87">
        <f t="shared" si="1"/>
        <v>3.48</v>
      </c>
      <c r="J116" s="85">
        <f t="shared" si="1"/>
        <v>3.05</v>
      </c>
      <c r="K116" s="85">
        <f t="shared" si="1"/>
        <v>3.61</v>
      </c>
      <c r="L116" s="88">
        <f t="shared" si="1"/>
        <v>3.05</v>
      </c>
      <c r="M116" s="58">
        <f>VLOOKUP($C$112,$A$4:$G$53,5)</f>
        <v>3.48</v>
      </c>
      <c r="N116" s="59">
        <f>VLOOKUP($C$112,$I$4:$O$53,5)</f>
        <v>3.05</v>
      </c>
      <c r="O116" s="59">
        <f>VLOOKUP($C$112,$Q$4:$W$53,5)</f>
        <v>3.61</v>
      </c>
      <c r="P116" s="60">
        <f>VLOOKUP($C$112,$Y$4:$AF$53,5)</f>
        <v>3.05</v>
      </c>
      <c r="Q116" s="61">
        <f>VLOOKUP($C$112,$A$59:$G$108,5)</f>
        <v>3.39</v>
      </c>
      <c r="R116" s="62">
        <f>VLOOKUP($C$112,$I$59:$O$108,5)</f>
        <v>2.97</v>
      </c>
      <c r="S116" s="62">
        <f>VLOOKUP($C$112,$Q$59:$W$108,5)</f>
        <v>3.51</v>
      </c>
      <c r="T116" s="63">
        <f>VLOOKUP($C$112,$Y$59:$AF$108,5)</f>
        <v>2.95</v>
      </c>
      <c r="U116" s="2"/>
      <c r="V116" s="2"/>
      <c r="W116" s="4"/>
      <c r="X116" s="4"/>
      <c r="Y116" s="4"/>
      <c r="Z116" s="4"/>
      <c r="AA116" s="2"/>
      <c r="AB116" s="2"/>
      <c r="AC116" s="2"/>
      <c r="AD116" s="2"/>
      <c r="AE116" s="2"/>
      <c r="AF116" s="2"/>
      <c r="AP116" s="2"/>
      <c r="AQ116" s="2"/>
      <c r="AR116" s="2"/>
      <c r="AS116" s="2"/>
    </row>
    <row r="117" spans="1:45" ht="18" customHeight="1" x14ac:dyDescent="0.3">
      <c r="A117" s="364" t="s">
        <v>14</v>
      </c>
      <c r="B117" s="365"/>
      <c r="C117" s="55">
        <v>2018</v>
      </c>
      <c r="D117" s="56" t="s">
        <v>43</v>
      </c>
      <c r="E117" s="65"/>
      <c r="F117" s="83">
        <f t="shared" si="2"/>
        <v>0.03</v>
      </c>
      <c r="G117" s="84">
        <f t="shared" si="0"/>
        <v>3.61</v>
      </c>
      <c r="H117" s="86">
        <f t="shared" si="0"/>
        <v>0.03</v>
      </c>
      <c r="I117" s="87">
        <f t="shared" si="1"/>
        <v>3.48</v>
      </c>
      <c r="J117" s="85">
        <f t="shared" si="1"/>
        <v>3.05</v>
      </c>
      <c r="K117" s="85">
        <f t="shared" si="1"/>
        <v>3.61</v>
      </c>
      <c r="L117" s="88">
        <f t="shared" si="1"/>
        <v>0.03</v>
      </c>
      <c r="M117" s="58">
        <f>VLOOKUP($C$112,$A$4:$G$53,5)</f>
        <v>3.48</v>
      </c>
      <c r="N117" s="59">
        <f>VLOOKUP($C$112,$I$4:$O$53,5)</f>
        <v>3.05</v>
      </c>
      <c r="O117" s="59">
        <f>VLOOKUP($C$112,$Q$4:$W$53,5)</f>
        <v>3.61</v>
      </c>
      <c r="P117" s="60">
        <f>VLOOKUP($C$112,$Y$4:$AF$53,6)</f>
        <v>0.03</v>
      </c>
      <c r="Q117" s="61">
        <f>VLOOKUP($C$112,$A$59:$G$108,5)</f>
        <v>3.39</v>
      </c>
      <c r="R117" s="62">
        <f>VLOOKUP($C$112,$I$59:$O$108,5)</f>
        <v>2.97</v>
      </c>
      <c r="S117" s="62">
        <f>VLOOKUP($C$112,$Q$59:$W$108,5)</f>
        <v>3.51</v>
      </c>
      <c r="T117" s="63">
        <f>VLOOKUP($C$112,$Y$59:$AF$108,6)</f>
        <v>0.03</v>
      </c>
      <c r="U117" s="2"/>
      <c r="V117" s="2"/>
      <c r="W117" s="4"/>
      <c r="X117" s="4"/>
      <c r="Y117" s="4"/>
      <c r="Z117" s="4"/>
      <c r="AA117" s="2"/>
      <c r="AB117" s="2"/>
      <c r="AC117" s="2"/>
      <c r="AD117" s="2"/>
      <c r="AE117" s="2"/>
      <c r="AF117" s="2"/>
      <c r="AP117" s="2"/>
      <c r="AQ117" s="2"/>
      <c r="AR117" s="2"/>
      <c r="AS117" s="2"/>
    </row>
    <row r="118" spans="1:45" ht="18" customHeight="1" thickBot="1" x14ac:dyDescent="0.35">
      <c r="A118" s="362" t="s">
        <v>11</v>
      </c>
      <c r="B118" s="363"/>
      <c r="C118" s="66" t="s">
        <v>118</v>
      </c>
      <c r="D118" s="56" t="s">
        <v>44</v>
      </c>
      <c r="E118" s="65"/>
      <c r="F118" s="83">
        <f t="shared" si="2"/>
        <v>16.739999999999998</v>
      </c>
      <c r="G118" s="84">
        <f t="shared" si="0"/>
        <v>16.739999999999998</v>
      </c>
      <c r="H118" s="86">
        <f t="shared" si="0"/>
        <v>16.739999999999998</v>
      </c>
      <c r="I118" s="87">
        <f t="shared" si="1"/>
        <v>14.37</v>
      </c>
      <c r="J118" s="85">
        <f t="shared" si="1"/>
        <v>14.37</v>
      </c>
      <c r="K118" s="85">
        <f t="shared" si="1"/>
        <v>16.739999999999998</v>
      </c>
      <c r="L118" s="88">
        <f t="shared" si="1"/>
        <v>16.739999999999998</v>
      </c>
      <c r="M118" s="58">
        <f>VLOOKUP($C$112,$A$4:$G$53,6)</f>
        <v>14.37</v>
      </c>
      <c r="N118" s="59">
        <f>VLOOKUP($C$112,$I$4:$O$53,6)</f>
        <v>14.37</v>
      </c>
      <c r="O118" s="59">
        <f>VLOOKUP($C$112,$Q$4:$W$53,6)</f>
        <v>16.739999999999998</v>
      </c>
      <c r="P118" s="60">
        <f>VLOOKUP($C$112,$Y$4:$AF$53,7)</f>
        <v>16.739999999999998</v>
      </c>
      <c r="Q118" s="61">
        <f>VLOOKUP($C$112,$A$59:$G$108,6)</f>
        <v>13.91</v>
      </c>
      <c r="R118" s="62">
        <f>VLOOKUP($C$112,$I$59:$O$108,6)</f>
        <v>15.02</v>
      </c>
      <c r="S118" s="62">
        <f>VLOOKUP($C$112,$Q$59:$W$108,6)</f>
        <v>16.239999999999998</v>
      </c>
      <c r="T118" s="63">
        <f>VLOOKUP($C$112,$Y$59:$AF$108,7)</f>
        <v>17.46</v>
      </c>
      <c r="U118" s="2"/>
      <c r="V118" s="2"/>
      <c r="W118" s="4"/>
      <c r="X118" s="4"/>
      <c r="Y118" s="4"/>
      <c r="Z118" s="4"/>
      <c r="AA118" s="2"/>
      <c r="AB118" s="2"/>
      <c r="AC118" s="2"/>
      <c r="AD118" s="2"/>
      <c r="AE118" s="2"/>
      <c r="AF118" s="2"/>
      <c r="AP118" s="2"/>
      <c r="AQ118" s="2"/>
      <c r="AR118" s="2"/>
      <c r="AS118" s="2"/>
    </row>
    <row r="119" spans="1:45" ht="18" customHeight="1" thickBot="1" x14ac:dyDescent="0.3">
      <c r="A119" s="67"/>
      <c r="B119" s="4"/>
      <c r="C119" s="39"/>
      <c r="D119" s="68" t="s">
        <v>45</v>
      </c>
      <c r="E119" s="69"/>
      <c r="F119" s="89">
        <f t="shared" si="2"/>
        <v>3.5</v>
      </c>
      <c r="G119" s="90">
        <f t="shared" si="0"/>
        <v>0.15</v>
      </c>
      <c r="H119" s="91">
        <f t="shared" si="0"/>
        <v>3.5</v>
      </c>
      <c r="I119" s="92">
        <f t="shared" si="1"/>
        <v>0.15</v>
      </c>
      <c r="J119" s="93">
        <f t="shared" si="1"/>
        <v>0.15</v>
      </c>
      <c r="K119" s="93">
        <f t="shared" si="1"/>
        <v>0.15</v>
      </c>
      <c r="L119" s="94">
        <f t="shared" si="1"/>
        <v>3.5</v>
      </c>
      <c r="M119" s="70">
        <f>VLOOKUP($C$112,$A$4:$G$53,7)</f>
        <v>0.15</v>
      </c>
      <c r="N119" s="71">
        <f>VLOOKUP($C$112,$I$4:$O$53,7)</f>
        <v>0.15</v>
      </c>
      <c r="O119" s="71">
        <f>VLOOKUP($C$112,$Q$4:$W$53,7)</f>
        <v>0.15</v>
      </c>
      <c r="P119" s="72">
        <f>VLOOKUP($C$112,$Y$4:$AF$53,8)</f>
        <v>3.5</v>
      </c>
      <c r="Q119" s="73">
        <f>VLOOKUP($C$112,$A$59:$G$108,7)</f>
        <v>0.15</v>
      </c>
      <c r="R119" s="74">
        <f>VLOOKUP($C$112,$I$59:$O$108,7)</f>
        <v>0.15</v>
      </c>
      <c r="S119" s="74">
        <f>VLOOKUP($C$112,$Q$59:$W$108,7)</f>
        <v>0.15</v>
      </c>
      <c r="T119" s="75">
        <f>VLOOKUP($C$112,$Y$59:$AF$108,8)</f>
        <v>1</v>
      </c>
      <c r="U119" s="2"/>
      <c r="V119" s="2"/>
      <c r="W119" s="4"/>
      <c r="X119" s="4"/>
      <c r="Y119" s="4"/>
      <c r="Z119" s="4"/>
      <c r="AA119" s="2"/>
      <c r="AB119" s="2"/>
      <c r="AC119" s="2"/>
      <c r="AD119" s="2"/>
      <c r="AE119" s="2"/>
      <c r="AF119" s="2"/>
      <c r="AP119" s="2"/>
      <c r="AQ119" s="2"/>
      <c r="AR119" s="2"/>
      <c r="AS119" s="2"/>
    </row>
    <row r="120" spans="1:45"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2"/>
      <c r="AB120" s="2"/>
      <c r="AC120" s="2"/>
      <c r="AD120" s="2"/>
      <c r="AE120" s="2"/>
      <c r="AF120" s="2"/>
      <c r="AP120" s="2"/>
      <c r="AQ120" s="2"/>
      <c r="AR120" s="2"/>
      <c r="AS120" s="2"/>
    </row>
    <row r="121" spans="1:45" ht="13" thickBo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2"/>
      <c r="AB121" s="2"/>
      <c r="AC121" s="2"/>
      <c r="AD121" s="2"/>
      <c r="AE121" s="2"/>
      <c r="AF121" s="2"/>
      <c r="AP121" s="2"/>
      <c r="AQ121" s="2"/>
      <c r="AR121" s="2"/>
      <c r="AS121" s="2"/>
    </row>
    <row r="122" spans="1:45" ht="18" customHeight="1" thickBot="1" x14ac:dyDescent="0.35">
      <c r="A122" s="374" t="s">
        <v>125</v>
      </c>
      <c r="B122" s="375"/>
      <c r="C122" s="375"/>
      <c r="D122" s="375"/>
      <c r="E122" s="375"/>
      <c r="F122" s="375"/>
      <c r="G122" s="375"/>
      <c r="H122" s="375"/>
      <c r="I122" s="375"/>
      <c r="J122" s="375"/>
      <c r="K122" s="375"/>
      <c r="L122" s="376"/>
      <c r="M122" s="366" t="s">
        <v>118</v>
      </c>
      <c r="N122" s="367"/>
      <c r="O122" s="367"/>
      <c r="P122" s="368"/>
      <c r="Q122" s="369" t="s">
        <v>119</v>
      </c>
      <c r="R122" s="370"/>
      <c r="S122" s="370"/>
      <c r="T122" s="371"/>
      <c r="U122" s="4"/>
      <c r="V122" s="4"/>
      <c r="W122" s="4"/>
      <c r="X122" s="4"/>
      <c r="Y122" s="4"/>
      <c r="Z122" s="4"/>
      <c r="AA122" s="2"/>
      <c r="AB122" s="2"/>
      <c r="AC122" s="2"/>
      <c r="AD122" s="2"/>
      <c r="AE122" s="2"/>
      <c r="AF122" s="2"/>
      <c r="AP122" s="2"/>
      <c r="AQ122" s="2"/>
      <c r="AR122" s="2"/>
      <c r="AS122" s="2"/>
    </row>
    <row r="123" spans="1:45" ht="14" x14ac:dyDescent="0.3">
      <c r="A123" s="372" t="s">
        <v>27</v>
      </c>
      <c r="B123" s="373"/>
      <c r="C123" s="40">
        <f>INT((C125-C126)/365.25)</f>
        <v>126</v>
      </c>
      <c r="D123" s="41"/>
      <c r="E123" s="42"/>
      <c r="F123" s="43" t="s">
        <v>33</v>
      </c>
      <c r="G123" s="44" t="s">
        <v>1</v>
      </c>
      <c r="H123" s="45" t="s">
        <v>2</v>
      </c>
      <c r="I123" s="46" t="s">
        <v>34</v>
      </c>
      <c r="J123" s="47" t="s">
        <v>35</v>
      </c>
      <c r="K123" s="47" t="s">
        <v>36</v>
      </c>
      <c r="L123" s="48" t="s">
        <v>37</v>
      </c>
      <c r="M123" s="49" t="s">
        <v>34</v>
      </c>
      <c r="N123" s="50" t="s">
        <v>35</v>
      </c>
      <c r="O123" s="50" t="s">
        <v>36</v>
      </c>
      <c r="P123" s="51" t="s">
        <v>37</v>
      </c>
      <c r="Q123" s="52" t="s">
        <v>34</v>
      </c>
      <c r="R123" s="53" t="s">
        <v>35</v>
      </c>
      <c r="S123" s="53" t="s">
        <v>36</v>
      </c>
      <c r="T123" s="54" t="s">
        <v>37</v>
      </c>
      <c r="U123" s="4"/>
      <c r="V123" s="4"/>
      <c r="W123" s="4"/>
      <c r="X123" s="4"/>
      <c r="Y123" s="4"/>
      <c r="Z123" s="4"/>
      <c r="AA123" s="2"/>
      <c r="AB123" s="2"/>
      <c r="AC123" s="2"/>
      <c r="AD123" s="2"/>
      <c r="AE123" s="2"/>
      <c r="AF123" s="2"/>
      <c r="AP123" s="2"/>
      <c r="AQ123" s="2"/>
      <c r="AR123" s="2"/>
      <c r="AS123" s="2"/>
    </row>
    <row r="124" spans="1:45" ht="14" x14ac:dyDescent="0.3">
      <c r="A124" s="364" t="s">
        <v>0</v>
      </c>
      <c r="B124" s="365"/>
      <c r="C124" s="55" t="str">
        <f>IF(Results!E8="M", "Male","Female")</f>
        <v>Female</v>
      </c>
      <c r="D124" s="56" t="s">
        <v>39</v>
      </c>
      <c r="E124" s="57"/>
      <c r="F124" s="83">
        <f>IF($C$113="Male",G124,H124)</f>
        <v>18.66</v>
      </c>
      <c r="G124" s="84">
        <f t="shared" ref="G124:H130" si="3">IF($C$116="60",I124,K124)</f>
        <v>18.66</v>
      </c>
      <c r="H124" s="86">
        <f t="shared" si="3"/>
        <v>18.66</v>
      </c>
      <c r="I124" s="87">
        <f>IF($C$118="NHS",M124,Q124)</f>
        <v>21.73</v>
      </c>
      <c r="J124" s="85">
        <f>IF($C$118="NHS",N124,R124)</f>
        <v>21.73</v>
      </c>
      <c r="K124" s="85">
        <f>IF($C$118="NHS",O124,S124)</f>
        <v>18.66</v>
      </c>
      <c r="L124" s="88">
        <f>IF($C$118="NHS",P124,T124)</f>
        <v>18.66</v>
      </c>
      <c r="M124" s="58">
        <f>VLOOKUP($C$123,$A$4:$G$53,2)</f>
        <v>21.73</v>
      </c>
      <c r="N124" s="59">
        <f>VLOOKUP($C$123,$I$4:$O$53,2)</f>
        <v>21.73</v>
      </c>
      <c r="O124" s="59">
        <f>VLOOKUP($C$123,$Q$4:$W$53,2)</f>
        <v>18.66</v>
      </c>
      <c r="P124" s="60">
        <f>VLOOKUP($C$123,$Y$4:$AF$53,2)</f>
        <v>18.66</v>
      </c>
      <c r="Q124" s="61">
        <f>VLOOKUP($C$123,$A$59:$G$108,2)</f>
        <v>18.82</v>
      </c>
      <c r="R124" s="62">
        <f>VLOOKUP($C$123,$I$59:$O$108,2)</f>
        <v>19.87</v>
      </c>
      <c r="S124" s="62">
        <f>VLOOKUP($C$123,$Q$59:$W$108,2)</f>
        <v>16.481745469994721</v>
      </c>
      <c r="T124" s="63">
        <f>VLOOKUP($C$123,$Y$59:$AF$108,2)</f>
        <v>17.600000000000001</v>
      </c>
      <c r="U124" s="4"/>
      <c r="V124" s="4"/>
      <c r="W124" s="4"/>
      <c r="X124" s="4"/>
      <c r="Y124" s="4"/>
      <c r="Z124" s="4"/>
      <c r="AA124" s="2"/>
      <c r="AB124" s="2"/>
      <c r="AC124" s="2"/>
      <c r="AD124" s="2"/>
      <c r="AE124" s="2"/>
      <c r="AF124" s="2"/>
      <c r="AP124" s="2"/>
      <c r="AQ124" s="2"/>
      <c r="AR124" s="2"/>
      <c r="AS124" s="2"/>
    </row>
    <row r="125" spans="1:45" ht="14" x14ac:dyDescent="0.3">
      <c r="A125" s="364" t="s">
        <v>38</v>
      </c>
      <c r="B125" s="365"/>
      <c r="C125" s="64">
        <f>Results!K12</f>
        <v>46112</v>
      </c>
      <c r="D125" s="56" t="s">
        <v>40</v>
      </c>
      <c r="E125" s="57"/>
      <c r="F125" s="83">
        <f t="shared" ref="F125:F130" si="4">IF($C$113="Male",G125,H125)</f>
        <v>0.99</v>
      </c>
      <c r="G125" s="84">
        <f t="shared" si="3"/>
        <v>0.99</v>
      </c>
      <c r="H125" s="86">
        <f t="shared" si="3"/>
        <v>0.99</v>
      </c>
      <c r="I125" s="87">
        <f t="shared" ref="I125:I130" si="5">IF($C$118="NHS",M125,Q125)</f>
        <v>0.99</v>
      </c>
      <c r="J125" s="85">
        <f t="shared" ref="J125:J130" si="6">IF($C$118="NHS",N125,R125)</f>
        <v>0.99</v>
      </c>
      <c r="K125" s="85">
        <f t="shared" ref="K125:K130" si="7">IF($C$118="NHS",O125,S125)</f>
        <v>0.99</v>
      </c>
      <c r="L125" s="88">
        <f t="shared" ref="L125:L130" si="8">IF($C$118="NHS",P125,T125)</f>
        <v>0.99</v>
      </c>
      <c r="M125" s="58">
        <f>VLOOKUP($C$123,$A$4:$G$53,3)</f>
        <v>0.99</v>
      </c>
      <c r="N125" s="59">
        <f>VLOOKUP($C$123,$I$4:$O$53,3)</f>
        <v>0.99</v>
      </c>
      <c r="O125" s="59">
        <f>VLOOKUP($C$123,$Q$4:$W$53,3)</f>
        <v>0.99</v>
      </c>
      <c r="P125" s="60">
        <f>VLOOKUP($C$123,$Y$4:$AF$53,3)</f>
        <v>0.99</v>
      </c>
      <c r="Q125" s="61">
        <f>VLOOKUP($C$123,$A$59:$G$108,3)</f>
        <v>0.99</v>
      </c>
      <c r="R125" s="62">
        <f>VLOOKUP($C$123,$I$59:$O$108,3)</f>
        <v>0.99</v>
      </c>
      <c r="S125" s="62">
        <f>VLOOKUP($C$123,$Q$59:$W$108,3)</f>
        <v>0</v>
      </c>
      <c r="T125" s="63">
        <f>VLOOKUP($C$123,$Y$59:$AF$108,3)</f>
        <v>0</v>
      </c>
      <c r="U125" s="4"/>
      <c r="V125" s="4"/>
      <c r="W125" s="4"/>
      <c r="X125" s="4"/>
      <c r="Y125" s="4"/>
      <c r="Z125" s="4"/>
      <c r="AA125" s="2"/>
      <c r="AB125" s="2"/>
      <c r="AC125" s="2"/>
      <c r="AD125" s="2"/>
      <c r="AE125" s="2"/>
      <c r="AF125" s="2"/>
      <c r="AP125" s="2"/>
      <c r="AQ125" s="2"/>
      <c r="AR125" s="2"/>
      <c r="AS125" s="2"/>
    </row>
    <row r="126" spans="1:45" ht="14" x14ac:dyDescent="0.3">
      <c r="A126" s="364" t="s">
        <v>32</v>
      </c>
      <c r="B126" s="365"/>
      <c r="C126" s="64">
        <f>Results!E9</f>
        <v>0</v>
      </c>
      <c r="D126" s="56" t="s">
        <v>41</v>
      </c>
      <c r="E126" s="65"/>
      <c r="F126" s="83">
        <f t="shared" si="4"/>
        <v>1.77</v>
      </c>
      <c r="G126" s="84">
        <f t="shared" si="3"/>
        <v>1.77</v>
      </c>
      <c r="H126" s="86">
        <f t="shared" si="3"/>
        <v>1.77</v>
      </c>
      <c r="I126" s="87">
        <f t="shared" si="5"/>
        <v>1.74</v>
      </c>
      <c r="J126" s="85">
        <f t="shared" si="6"/>
        <v>1.74</v>
      </c>
      <c r="K126" s="85">
        <f t="shared" si="7"/>
        <v>1.77</v>
      </c>
      <c r="L126" s="88">
        <f t="shared" si="8"/>
        <v>1.77</v>
      </c>
      <c r="M126" s="58">
        <f>VLOOKUP($C$123,$A$4:$G$53,4)</f>
        <v>1.74</v>
      </c>
      <c r="N126" s="59">
        <f>VLOOKUP($C$123,$I$4:$O$53,4)</f>
        <v>1.74</v>
      </c>
      <c r="O126" s="59">
        <f>VLOOKUP($C$123,$Q$4:$W$53,4)</f>
        <v>1.77</v>
      </c>
      <c r="P126" s="60">
        <f>VLOOKUP($C$123,$Y$4:$AF$53,4)</f>
        <v>1.77</v>
      </c>
      <c r="Q126" s="61">
        <f>VLOOKUP($C$123,$A$59:$G$108,4)</f>
        <v>2.83</v>
      </c>
      <c r="R126" s="62">
        <f>VLOOKUP($C$123,$I$59:$O$108,4)</f>
        <v>0.89</v>
      </c>
      <c r="S126" s="62">
        <f>VLOOKUP($C$123,$Q$59:$W$108,4)</f>
        <v>2.984506987558893</v>
      </c>
      <c r="T126" s="63">
        <f>VLOOKUP($C$123,$Y$59:$AF$108,4)</f>
        <v>0.88</v>
      </c>
      <c r="U126" s="4"/>
      <c r="V126" s="4"/>
      <c r="W126" s="4"/>
      <c r="X126" s="4"/>
      <c r="Y126" s="4"/>
      <c r="Z126" s="4"/>
      <c r="AA126" s="2"/>
      <c r="AB126" s="2"/>
      <c r="AC126" s="2"/>
      <c r="AD126" s="2"/>
      <c r="AE126" s="2"/>
      <c r="AF126" s="2"/>
      <c r="AP126" s="2"/>
      <c r="AQ126" s="2"/>
      <c r="AR126" s="2"/>
      <c r="AS126" s="2"/>
    </row>
    <row r="127" spans="1:45" ht="14" x14ac:dyDescent="0.3">
      <c r="A127" s="364" t="s">
        <v>30</v>
      </c>
      <c r="B127" s="365"/>
      <c r="C127" s="55" t="str">
        <f>IF(Results!E6="NHS 1995 Section","60","65")</f>
        <v>65</v>
      </c>
      <c r="D127" s="56" t="s">
        <v>42</v>
      </c>
      <c r="E127" s="65"/>
      <c r="F127" s="83">
        <f t="shared" si="4"/>
        <v>3.05</v>
      </c>
      <c r="G127" s="84">
        <f t="shared" si="3"/>
        <v>3.61</v>
      </c>
      <c r="H127" s="86">
        <f t="shared" si="3"/>
        <v>3.05</v>
      </c>
      <c r="I127" s="87">
        <f t="shared" si="5"/>
        <v>3.48</v>
      </c>
      <c r="J127" s="85">
        <f t="shared" si="6"/>
        <v>3.05</v>
      </c>
      <c r="K127" s="85">
        <f t="shared" si="7"/>
        <v>3.61</v>
      </c>
      <c r="L127" s="88">
        <f t="shared" si="8"/>
        <v>3.05</v>
      </c>
      <c r="M127" s="58">
        <f>VLOOKUP($C$123,$A$4:$G$53,5)</f>
        <v>3.48</v>
      </c>
      <c r="N127" s="59">
        <f>VLOOKUP($C$123,$I$4:$O$53,5)</f>
        <v>3.05</v>
      </c>
      <c r="O127" s="59">
        <f>VLOOKUP($C$123,$Q$4:$W$53,5)</f>
        <v>3.61</v>
      </c>
      <c r="P127" s="60">
        <f>VLOOKUP($C$123,$Y$4:$AF$53,5)</f>
        <v>3.05</v>
      </c>
      <c r="Q127" s="61">
        <f>VLOOKUP($C$123,$A$59:$G$108,5)</f>
        <v>3.39</v>
      </c>
      <c r="R127" s="62">
        <f>VLOOKUP($C$123,$I$59:$O$108,5)</f>
        <v>2.97</v>
      </c>
      <c r="S127" s="62">
        <f>VLOOKUP($C$123,$Q$59:$W$108,5)</f>
        <v>3.51</v>
      </c>
      <c r="T127" s="63">
        <f>VLOOKUP($C$123,$Y$59:$AF$108,5)</f>
        <v>2.95</v>
      </c>
      <c r="U127" s="4"/>
      <c r="V127" s="4"/>
      <c r="W127" s="4"/>
      <c r="X127" s="4"/>
      <c r="Y127" s="4"/>
      <c r="Z127" s="4"/>
      <c r="AA127" s="2"/>
      <c r="AB127" s="2"/>
      <c r="AC127" s="2"/>
      <c r="AD127" s="2"/>
      <c r="AE127" s="2"/>
      <c r="AF127" s="2"/>
      <c r="AP127" s="2"/>
      <c r="AQ127" s="2"/>
      <c r="AR127" s="2"/>
      <c r="AS127" s="2"/>
    </row>
    <row r="128" spans="1:45" ht="14" x14ac:dyDescent="0.3">
      <c r="A128" s="364" t="s">
        <v>14</v>
      </c>
      <c r="B128" s="365"/>
      <c r="C128" s="55">
        <v>2018</v>
      </c>
      <c r="D128" s="56" t="s">
        <v>43</v>
      </c>
      <c r="E128" s="65"/>
      <c r="F128" s="83">
        <f t="shared" si="4"/>
        <v>0.03</v>
      </c>
      <c r="G128" s="84">
        <f t="shared" si="3"/>
        <v>3.61</v>
      </c>
      <c r="H128" s="86">
        <f t="shared" si="3"/>
        <v>0.03</v>
      </c>
      <c r="I128" s="87">
        <f t="shared" si="5"/>
        <v>3.48</v>
      </c>
      <c r="J128" s="85">
        <f t="shared" si="6"/>
        <v>3.05</v>
      </c>
      <c r="K128" s="85">
        <f t="shared" si="7"/>
        <v>3.61</v>
      </c>
      <c r="L128" s="88">
        <f t="shared" si="8"/>
        <v>0.03</v>
      </c>
      <c r="M128" s="58">
        <f>VLOOKUP($C$123,$A$4:$G$53,5)</f>
        <v>3.48</v>
      </c>
      <c r="N128" s="59">
        <f>VLOOKUP($C$123,$I$4:$O$53,5)</f>
        <v>3.05</v>
      </c>
      <c r="O128" s="59">
        <f>VLOOKUP($C$123,$Q$4:$W$53,5)</f>
        <v>3.61</v>
      </c>
      <c r="P128" s="60">
        <f>VLOOKUP($C$123,$Y$4:$AF$53,6)</f>
        <v>0.03</v>
      </c>
      <c r="Q128" s="61">
        <f>VLOOKUP($C$123,$A$59:$G$108,5)</f>
        <v>3.39</v>
      </c>
      <c r="R128" s="62">
        <f>VLOOKUP($C$123,$I$59:$O$108,5)</f>
        <v>2.97</v>
      </c>
      <c r="S128" s="62">
        <f>VLOOKUP($C$123,$Q$59:$W$108,5)</f>
        <v>3.51</v>
      </c>
      <c r="T128" s="63">
        <f>VLOOKUP($C$123,$Y$59:$AF$108,6)</f>
        <v>0.03</v>
      </c>
      <c r="U128" s="4"/>
      <c r="V128" s="4"/>
      <c r="W128" s="4"/>
      <c r="X128" s="4"/>
      <c r="Y128" s="4"/>
      <c r="Z128" s="4"/>
      <c r="AA128" s="2"/>
      <c r="AB128" s="2"/>
      <c r="AC128" s="2"/>
      <c r="AD128" s="2"/>
      <c r="AE128" s="2"/>
      <c r="AF128" s="2"/>
      <c r="AP128" s="2"/>
      <c r="AQ128" s="2"/>
      <c r="AR128" s="2"/>
      <c r="AS128" s="2"/>
    </row>
    <row r="129" spans="1:45" ht="14.5" thickBot="1" x14ac:dyDescent="0.35">
      <c r="A129" s="362" t="s">
        <v>11</v>
      </c>
      <c r="B129" s="363"/>
      <c r="C129" s="66" t="s">
        <v>118</v>
      </c>
      <c r="D129" s="56" t="s">
        <v>44</v>
      </c>
      <c r="E129" s="65"/>
      <c r="F129" s="83">
        <f t="shared" si="4"/>
        <v>16.739999999999998</v>
      </c>
      <c r="G129" s="84">
        <f t="shared" si="3"/>
        <v>16.739999999999998</v>
      </c>
      <c r="H129" s="86">
        <f t="shared" si="3"/>
        <v>16.739999999999998</v>
      </c>
      <c r="I129" s="87">
        <f t="shared" si="5"/>
        <v>14.37</v>
      </c>
      <c r="J129" s="85">
        <f t="shared" si="6"/>
        <v>14.37</v>
      </c>
      <c r="K129" s="85">
        <f t="shared" si="7"/>
        <v>16.739999999999998</v>
      </c>
      <c r="L129" s="88">
        <f t="shared" si="8"/>
        <v>16.739999999999998</v>
      </c>
      <c r="M129" s="58">
        <f>VLOOKUP($C$123,$A$4:$G$53,6)</f>
        <v>14.37</v>
      </c>
      <c r="N129" s="59">
        <f>VLOOKUP($C$123,$I$4:$O$53,6)</f>
        <v>14.37</v>
      </c>
      <c r="O129" s="59">
        <f>VLOOKUP($C$123,$Q$4:$W$53,6)</f>
        <v>16.739999999999998</v>
      </c>
      <c r="P129" s="60">
        <f>VLOOKUP($C$123,$Y$4:$AF$53,7)</f>
        <v>16.739999999999998</v>
      </c>
      <c r="Q129" s="61">
        <f>VLOOKUP($C$123,$A$59:$G$108,6)</f>
        <v>13.91</v>
      </c>
      <c r="R129" s="62">
        <f>VLOOKUP($C$123,$I$59:$O$108,6)</f>
        <v>15.02</v>
      </c>
      <c r="S129" s="62">
        <f>VLOOKUP($C$123,$Q$59:$W$108,6)</f>
        <v>16.239999999999998</v>
      </c>
      <c r="T129" s="63">
        <f>VLOOKUP($C$123,$Y$59:$AF$108,7)</f>
        <v>17.46</v>
      </c>
      <c r="U129" s="4"/>
      <c r="V129" s="4"/>
      <c r="W129" s="4"/>
      <c r="X129" s="4"/>
      <c r="Y129" s="4"/>
      <c r="Z129" s="4"/>
      <c r="AA129" s="2"/>
      <c r="AB129" s="2"/>
      <c r="AC129" s="2"/>
      <c r="AD129" s="2"/>
      <c r="AE129" s="2"/>
      <c r="AF129" s="2"/>
      <c r="AP129" s="2"/>
      <c r="AQ129" s="2"/>
      <c r="AR129" s="2"/>
      <c r="AS129" s="2"/>
    </row>
    <row r="130" spans="1:45" ht="13" thickBot="1" x14ac:dyDescent="0.3">
      <c r="A130" s="67"/>
      <c r="B130" s="4"/>
      <c r="C130" s="39"/>
      <c r="D130" s="68" t="s">
        <v>45</v>
      </c>
      <c r="E130" s="69"/>
      <c r="F130" s="89">
        <f t="shared" si="4"/>
        <v>3.5</v>
      </c>
      <c r="G130" s="90">
        <f t="shared" si="3"/>
        <v>0.15</v>
      </c>
      <c r="H130" s="91">
        <f t="shared" si="3"/>
        <v>3.5</v>
      </c>
      <c r="I130" s="92">
        <f t="shared" si="5"/>
        <v>0.15</v>
      </c>
      <c r="J130" s="93">
        <f t="shared" si="6"/>
        <v>0.15</v>
      </c>
      <c r="K130" s="93">
        <f t="shared" si="7"/>
        <v>0.15</v>
      </c>
      <c r="L130" s="94">
        <f t="shared" si="8"/>
        <v>3.5</v>
      </c>
      <c r="M130" s="70">
        <f>VLOOKUP($C$123,$A$4:$G$53,7)</f>
        <v>0.15</v>
      </c>
      <c r="N130" s="71">
        <f>VLOOKUP($C$123,$I$4:$O$53,7)</f>
        <v>0.15</v>
      </c>
      <c r="O130" s="71">
        <f>VLOOKUP($C$123,$Q$4:$W$53,7)</f>
        <v>0.15</v>
      </c>
      <c r="P130" s="72">
        <f>VLOOKUP($C$123,$Y$4:$AF$53,8)</f>
        <v>3.5</v>
      </c>
      <c r="Q130" s="73">
        <f>VLOOKUP($C$123,$A$59:$G$108,7)</f>
        <v>0.15</v>
      </c>
      <c r="R130" s="74">
        <f>VLOOKUP($C$123,$I$59:$O$108,7)</f>
        <v>0.15</v>
      </c>
      <c r="S130" s="74">
        <f>VLOOKUP($C$123,$Q$59:$W$108,7)</f>
        <v>0.15</v>
      </c>
      <c r="T130" s="75">
        <f>VLOOKUP($C$123,$Y$59:$AF$108,8)</f>
        <v>1</v>
      </c>
      <c r="U130" s="4"/>
      <c r="V130" s="4"/>
      <c r="W130" s="4"/>
      <c r="X130" s="4"/>
      <c r="Y130" s="4"/>
      <c r="Z130" s="4"/>
      <c r="AA130" s="2"/>
      <c r="AB130" s="2"/>
      <c r="AC130" s="2"/>
      <c r="AD130" s="2"/>
      <c r="AE130" s="2"/>
      <c r="AF130" s="2"/>
      <c r="AP130" s="2"/>
      <c r="AQ130" s="2"/>
      <c r="AR130" s="2"/>
      <c r="AS130" s="2"/>
    </row>
    <row r="131" spans="1:45"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2"/>
      <c r="AB131" s="2"/>
      <c r="AC131" s="2"/>
      <c r="AD131" s="2"/>
      <c r="AE131" s="2"/>
      <c r="AF131" s="2"/>
      <c r="AP131" s="2"/>
      <c r="AQ131" s="2"/>
      <c r="AR131" s="2"/>
      <c r="AS131" s="2"/>
    </row>
    <row r="132" spans="1:45" x14ac:dyDescent="0.25">
      <c r="AA132" s="2"/>
      <c r="AB132" s="2"/>
      <c r="AC132" s="2"/>
      <c r="AD132" s="2"/>
      <c r="AE132" s="2"/>
      <c r="AF132" s="2"/>
      <c r="AP132" s="2"/>
      <c r="AQ132" s="2"/>
      <c r="AR132" s="2"/>
      <c r="AS132" s="2"/>
    </row>
  </sheetData>
  <sheetProtection algorithmName="SHA-512" hashValue="p51kb2QGJi4+Kiyf+PyCYMvE/V+eHd4+D+Sxsj2XwYeKqI7mNH/YlsoCfDd+g7v3YGvKs9wNAGaLqEcGh7stLQ==" saltValue="Jq3n51mu6xAjRNbOcb1smw==" spinCount="100000" sheet="1" objects="1" scenarios="1"/>
  <mergeCells count="28">
    <mergeCell ref="A2:A3"/>
    <mergeCell ref="I2:I3"/>
    <mergeCell ref="Q2:Q3"/>
    <mergeCell ref="Y2:Y3"/>
    <mergeCell ref="A55:H55"/>
    <mergeCell ref="I55:P55"/>
    <mergeCell ref="Q55:X55"/>
    <mergeCell ref="Y55:AE55"/>
    <mergeCell ref="Q122:T122"/>
    <mergeCell ref="A123:B123"/>
    <mergeCell ref="A122:L122"/>
    <mergeCell ref="M111:P111"/>
    <mergeCell ref="Q111:T111"/>
    <mergeCell ref="A112:B112"/>
    <mergeCell ref="A113:B113"/>
    <mergeCell ref="A114:B114"/>
    <mergeCell ref="A115:B115"/>
    <mergeCell ref="A111:L111"/>
    <mergeCell ref="A129:B129"/>
    <mergeCell ref="A116:B116"/>
    <mergeCell ref="A117:B117"/>
    <mergeCell ref="A118:B118"/>
    <mergeCell ref="M122:P122"/>
    <mergeCell ref="A124:B124"/>
    <mergeCell ref="A125:B125"/>
    <mergeCell ref="A126:B126"/>
    <mergeCell ref="A127:B127"/>
    <mergeCell ref="A128:B1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62"/>
  <sheetViews>
    <sheetView topLeftCell="A19" zoomScale="80" zoomScaleNormal="80" workbookViewId="0">
      <selection activeCell="L35" sqref="L35"/>
    </sheetView>
  </sheetViews>
  <sheetFormatPr defaultRowHeight="12.5" x14ac:dyDescent="0.25"/>
  <cols>
    <col min="3" max="4" width="14.1796875" customWidth="1"/>
    <col min="9" max="10" width="10.7265625" customWidth="1"/>
    <col min="11" max="11" width="9.1796875" customWidth="1"/>
  </cols>
  <sheetData>
    <row r="2" spans="2:7" ht="14.5" thickBot="1" x14ac:dyDescent="0.35">
      <c r="B2" s="76" t="s">
        <v>120</v>
      </c>
      <c r="C2" s="77"/>
      <c r="D2" s="77"/>
    </row>
    <row r="3" spans="2:7" ht="39" x14ac:dyDescent="0.25">
      <c r="B3" s="392" t="s">
        <v>121</v>
      </c>
      <c r="C3" s="78" t="s">
        <v>39</v>
      </c>
      <c r="D3" s="78" t="s">
        <v>122</v>
      </c>
    </row>
    <row r="4" spans="2:7" ht="13.5" thickBot="1" x14ac:dyDescent="0.3">
      <c r="B4" s="393"/>
      <c r="C4" s="79" t="s">
        <v>101</v>
      </c>
      <c r="D4" s="79" t="s">
        <v>102</v>
      </c>
      <c r="G4" s="80"/>
    </row>
    <row r="5" spans="2:7" ht="15" thickBot="1" x14ac:dyDescent="0.3">
      <c r="B5" s="81">
        <v>1</v>
      </c>
      <c r="C5" s="220">
        <v>17.690000000000001</v>
      </c>
      <c r="D5" s="219">
        <v>1.78</v>
      </c>
    </row>
    <row r="6" spans="2:7" ht="15" thickBot="1" x14ac:dyDescent="0.3">
      <c r="B6" s="81">
        <v>2</v>
      </c>
      <c r="C6" s="221">
        <v>17.2</v>
      </c>
      <c r="D6" s="222">
        <v>1.8</v>
      </c>
    </row>
    <row r="7" spans="2:7" ht="15" thickBot="1" x14ac:dyDescent="0.3">
      <c r="B7" s="81">
        <v>3</v>
      </c>
      <c r="C7" s="221">
        <v>16.73</v>
      </c>
      <c r="D7" s="222">
        <v>1.82</v>
      </c>
    </row>
    <row r="8" spans="2:7" ht="15" thickBot="1" x14ac:dyDescent="0.3">
      <c r="B8" s="81">
        <v>4</v>
      </c>
      <c r="C8" s="221">
        <v>16.28</v>
      </c>
      <c r="D8" s="222">
        <v>1.83</v>
      </c>
    </row>
    <row r="9" spans="2:7" ht="15" thickBot="1" x14ac:dyDescent="0.3">
      <c r="B9" s="81">
        <v>5</v>
      </c>
      <c r="C9" s="221">
        <v>16</v>
      </c>
      <c r="D9" s="222">
        <v>1.84</v>
      </c>
    </row>
    <row r="10" spans="2:7" ht="15" thickBot="1" x14ac:dyDescent="0.3">
      <c r="B10" s="81">
        <v>6</v>
      </c>
      <c r="C10" s="221">
        <v>15.72</v>
      </c>
      <c r="D10" s="222">
        <v>1.84</v>
      </c>
    </row>
    <row r="11" spans="2:7" ht="15" thickBot="1" x14ac:dyDescent="0.3">
      <c r="B11" s="81">
        <v>7</v>
      </c>
      <c r="C11" s="221">
        <v>15.46</v>
      </c>
      <c r="D11" s="222">
        <v>1.85</v>
      </c>
    </row>
    <row r="12" spans="2:7" ht="15" thickBot="1" x14ac:dyDescent="0.3">
      <c r="B12" s="81">
        <v>8</v>
      </c>
      <c r="C12" s="221">
        <v>15.21</v>
      </c>
      <c r="D12" s="222">
        <v>1.85</v>
      </c>
    </row>
    <row r="13" spans="2:7" ht="15" thickBot="1" x14ac:dyDescent="0.3">
      <c r="B13" s="81">
        <v>9</v>
      </c>
      <c r="C13" s="221">
        <v>14.96</v>
      </c>
      <c r="D13" s="222">
        <v>1.85</v>
      </c>
    </row>
    <row r="14" spans="2:7" ht="15" thickBot="1" x14ac:dyDescent="0.3">
      <c r="B14" s="81">
        <v>10</v>
      </c>
      <c r="C14" s="221">
        <v>14.73</v>
      </c>
      <c r="D14" s="222">
        <v>1.84</v>
      </c>
    </row>
    <row r="15" spans="2:7" ht="15" thickBot="1" x14ac:dyDescent="0.3">
      <c r="B15" s="81">
        <v>11</v>
      </c>
      <c r="C15" s="221">
        <v>14.5</v>
      </c>
      <c r="D15" s="222">
        <v>1.84</v>
      </c>
    </row>
    <row r="16" spans="2:7" ht="15" thickBot="1" x14ac:dyDescent="0.3">
      <c r="B16" s="81">
        <v>12</v>
      </c>
      <c r="C16" s="221">
        <v>14.27</v>
      </c>
      <c r="D16" s="222">
        <v>1.83</v>
      </c>
    </row>
    <row r="17" spans="2:4" ht="15" thickBot="1" x14ac:dyDescent="0.3">
      <c r="B17" s="81">
        <v>13</v>
      </c>
      <c r="C17" s="221">
        <v>14.05</v>
      </c>
      <c r="D17" s="222">
        <v>1.82</v>
      </c>
    </row>
    <row r="18" spans="2:4" ht="15" thickBot="1" x14ac:dyDescent="0.3">
      <c r="B18" s="81">
        <v>14</v>
      </c>
      <c r="C18" s="221">
        <v>13.84</v>
      </c>
      <c r="D18" s="222">
        <v>1.81</v>
      </c>
    </row>
    <row r="19" spans="2:4" ht="15" thickBot="1" x14ac:dyDescent="0.3">
      <c r="B19" s="81">
        <v>15</v>
      </c>
      <c r="C19" s="221">
        <v>13.63</v>
      </c>
      <c r="D19" s="222">
        <v>1.8</v>
      </c>
    </row>
    <row r="20" spans="2:4" ht="15" thickBot="1" x14ac:dyDescent="0.3">
      <c r="B20" s="81">
        <v>16</v>
      </c>
      <c r="C20" s="221">
        <v>13.43</v>
      </c>
      <c r="D20" s="222">
        <v>1.79</v>
      </c>
    </row>
    <row r="21" spans="2:4" ht="15" thickBot="1" x14ac:dyDescent="0.3">
      <c r="B21" s="81">
        <v>17</v>
      </c>
      <c r="C21" s="221">
        <v>13.23</v>
      </c>
      <c r="D21" s="222">
        <v>1.78</v>
      </c>
    </row>
    <row r="22" spans="2:4" ht="15" thickBot="1" x14ac:dyDescent="0.3">
      <c r="B22" s="81">
        <v>18</v>
      </c>
      <c r="C22" s="221">
        <v>13.04</v>
      </c>
      <c r="D22" s="222">
        <v>1.77</v>
      </c>
    </row>
    <row r="23" spans="2:4" ht="15" thickBot="1" x14ac:dyDescent="0.3">
      <c r="B23" s="81">
        <v>19</v>
      </c>
      <c r="C23" s="221">
        <v>12.72</v>
      </c>
      <c r="D23" s="222">
        <v>1.76</v>
      </c>
    </row>
    <row r="24" spans="2:4" ht="15" thickBot="1" x14ac:dyDescent="0.3">
      <c r="B24" s="81">
        <v>20</v>
      </c>
      <c r="C24" s="221">
        <v>12.41</v>
      </c>
      <c r="D24" s="222">
        <v>1.76</v>
      </c>
    </row>
    <row r="25" spans="2:4" ht="15" thickBot="1" x14ac:dyDescent="0.3">
      <c r="B25" s="81">
        <v>21</v>
      </c>
      <c r="C25" s="221">
        <v>12.11</v>
      </c>
      <c r="D25" s="222">
        <v>1.75</v>
      </c>
    </row>
    <row r="26" spans="2:4" ht="15" thickBot="1" x14ac:dyDescent="0.3">
      <c r="B26" s="81">
        <v>22</v>
      </c>
      <c r="C26" s="221">
        <v>11.82</v>
      </c>
      <c r="D26" s="222">
        <v>1.74</v>
      </c>
    </row>
    <row r="27" spans="2:4" ht="15" thickBot="1" x14ac:dyDescent="0.3">
      <c r="B27" s="81">
        <v>23</v>
      </c>
      <c r="C27" s="221">
        <v>11.65</v>
      </c>
      <c r="D27" s="222">
        <v>1.73</v>
      </c>
    </row>
    <row r="28" spans="2:4" ht="15" thickBot="1" x14ac:dyDescent="0.3">
      <c r="B28" s="81">
        <v>24</v>
      </c>
      <c r="C28" s="221">
        <v>11.48</v>
      </c>
      <c r="D28" s="222">
        <v>1.71</v>
      </c>
    </row>
    <row r="29" spans="2:4" ht="15" thickBot="1" x14ac:dyDescent="0.3">
      <c r="B29" s="81">
        <v>25</v>
      </c>
      <c r="C29" s="221">
        <v>11.32</v>
      </c>
      <c r="D29" s="222">
        <v>1.69</v>
      </c>
    </row>
    <row r="30" spans="2:4" ht="15" thickBot="1" x14ac:dyDescent="0.3">
      <c r="B30" s="81">
        <v>26</v>
      </c>
      <c r="C30" s="221">
        <v>11.16</v>
      </c>
      <c r="D30" s="222">
        <v>1.68</v>
      </c>
    </row>
    <row r="31" spans="2:4" ht="15" thickBot="1" x14ac:dyDescent="0.3">
      <c r="B31" s="81">
        <v>27</v>
      </c>
      <c r="C31" s="221">
        <v>11</v>
      </c>
      <c r="D31" s="222">
        <v>1.66</v>
      </c>
    </row>
    <row r="32" spans="2:4" ht="15" thickBot="1" x14ac:dyDescent="0.3">
      <c r="B32" s="81">
        <v>28</v>
      </c>
      <c r="C32" s="221">
        <v>10.85</v>
      </c>
      <c r="D32" s="222">
        <v>1.64</v>
      </c>
    </row>
    <row r="33" spans="2:4" ht="15" thickBot="1" x14ac:dyDescent="0.3">
      <c r="B33" s="81">
        <v>29</v>
      </c>
      <c r="C33" s="221">
        <v>10.69</v>
      </c>
      <c r="D33" s="222">
        <v>1.62</v>
      </c>
    </row>
    <row r="34" spans="2:4" ht="15" thickBot="1" x14ac:dyDescent="0.3">
      <c r="B34" s="81">
        <v>30</v>
      </c>
      <c r="C34" s="221">
        <v>10.54</v>
      </c>
      <c r="D34" s="222">
        <v>1.6</v>
      </c>
    </row>
    <row r="35" spans="2:4" ht="15" thickBot="1" x14ac:dyDescent="0.3">
      <c r="B35" s="81">
        <v>31</v>
      </c>
      <c r="C35" s="221">
        <v>10.4</v>
      </c>
      <c r="D35" s="222">
        <v>1.58</v>
      </c>
    </row>
    <row r="36" spans="2:4" ht="15" thickBot="1" x14ac:dyDescent="0.3">
      <c r="B36" s="81">
        <v>32</v>
      </c>
      <c r="C36" s="221">
        <v>10.25</v>
      </c>
      <c r="D36" s="222">
        <v>1.56</v>
      </c>
    </row>
    <row r="37" spans="2:4" ht="15" thickBot="1" x14ac:dyDescent="0.3">
      <c r="B37" s="81">
        <v>33</v>
      </c>
      <c r="C37" s="221">
        <v>10.11</v>
      </c>
      <c r="D37" s="222">
        <v>1.54</v>
      </c>
    </row>
    <row r="38" spans="2:4" ht="15" thickBot="1" x14ac:dyDescent="0.3">
      <c r="B38" s="81">
        <v>34</v>
      </c>
      <c r="C38" s="221">
        <v>9.9600000000000009</v>
      </c>
      <c r="D38" s="222">
        <v>1.53</v>
      </c>
    </row>
    <row r="39" spans="2:4" ht="15" thickBot="1" x14ac:dyDescent="0.3">
      <c r="B39" s="81">
        <v>35</v>
      </c>
      <c r="C39" s="221">
        <v>9.83</v>
      </c>
      <c r="D39" s="222">
        <v>1.51</v>
      </c>
    </row>
    <row r="40" spans="2:4" ht="15" thickBot="1" x14ac:dyDescent="0.3">
      <c r="B40" s="81">
        <v>36</v>
      </c>
      <c r="C40" s="221">
        <v>9.69</v>
      </c>
      <c r="D40" s="222">
        <v>1.49</v>
      </c>
    </row>
    <row r="41" spans="2:4" ht="15" thickBot="1" x14ac:dyDescent="0.3">
      <c r="B41" s="81">
        <v>37</v>
      </c>
      <c r="C41" s="221">
        <v>9.5500000000000007</v>
      </c>
      <c r="D41" s="222">
        <v>1.47</v>
      </c>
    </row>
    <row r="42" spans="2:4" ht="15" thickBot="1" x14ac:dyDescent="0.3">
      <c r="B42" s="81">
        <v>38</v>
      </c>
      <c r="C42" s="221">
        <v>9.42</v>
      </c>
      <c r="D42" s="222">
        <v>1.45</v>
      </c>
    </row>
    <row r="43" spans="2:4" ht="15" thickBot="1" x14ac:dyDescent="0.3">
      <c r="B43" s="81">
        <v>39</v>
      </c>
      <c r="C43" s="221">
        <v>9.2899999999999991</v>
      </c>
      <c r="D43" s="222">
        <v>1.43</v>
      </c>
    </row>
    <row r="44" spans="2:4" ht="15" thickBot="1" x14ac:dyDescent="0.3">
      <c r="B44" s="81">
        <v>40</v>
      </c>
      <c r="C44" s="221">
        <v>9.16</v>
      </c>
      <c r="D44" s="222">
        <v>1.4</v>
      </c>
    </row>
    <row r="45" spans="2:4" ht="15" thickBot="1" x14ac:dyDescent="0.3">
      <c r="B45" s="81">
        <v>41</v>
      </c>
      <c r="C45" s="221">
        <v>9.0299999999999994</v>
      </c>
      <c r="D45" s="222">
        <v>1.38</v>
      </c>
    </row>
    <row r="46" spans="2:4" ht="15" thickBot="1" x14ac:dyDescent="0.3">
      <c r="B46" s="81">
        <v>42</v>
      </c>
      <c r="C46" s="221">
        <v>8.91</v>
      </c>
      <c r="D46" s="222">
        <v>1.36</v>
      </c>
    </row>
    <row r="47" spans="2:4" ht="15" thickBot="1" x14ac:dyDescent="0.3">
      <c r="B47" s="81">
        <v>43</v>
      </c>
      <c r="C47" s="221">
        <v>8.7799999999999994</v>
      </c>
      <c r="D47" s="222">
        <v>1.34</v>
      </c>
    </row>
    <row r="48" spans="2:4" ht="15" thickBot="1" x14ac:dyDescent="0.3">
      <c r="B48" s="81">
        <v>44</v>
      </c>
      <c r="C48" s="221">
        <v>8.66</v>
      </c>
      <c r="D48" s="222">
        <v>1.32</v>
      </c>
    </row>
    <row r="49" spans="2:10" ht="15" thickBot="1" x14ac:dyDescent="0.3">
      <c r="B49" s="81">
        <v>45</v>
      </c>
      <c r="C49" s="221">
        <v>8.5399999999999991</v>
      </c>
      <c r="D49" s="222">
        <v>1.3</v>
      </c>
    </row>
    <row r="50" spans="2:10" ht="15" thickBot="1" x14ac:dyDescent="0.3">
      <c r="B50" s="81">
        <v>46</v>
      </c>
      <c r="C50" s="221">
        <v>8.42</v>
      </c>
      <c r="D50" s="222">
        <v>1.28</v>
      </c>
    </row>
    <row r="51" spans="2:10" ht="15" thickBot="1" x14ac:dyDescent="0.3">
      <c r="B51" s="81">
        <v>47</v>
      </c>
      <c r="C51" s="221">
        <v>8.3000000000000007</v>
      </c>
      <c r="D51" s="222">
        <v>1.26</v>
      </c>
    </row>
    <row r="52" spans="2:10" ht="15" thickBot="1" x14ac:dyDescent="0.3">
      <c r="B52" s="81">
        <v>48</v>
      </c>
      <c r="C52" s="221">
        <v>8.19</v>
      </c>
      <c r="D52" s="222">
        <v>1.24</v>
      </c>
    </row>
    <row r="53" spans="2:10" ht="15" thickBot="1" x14ac:dyDescent="0.3">
      <c r="B53" s="81">
        <v>49</v>
      </c>
      <c r="C53" s="221">
        <v>8.07</v>
      </c>
      <c r="D53" s="222">
        <v>1.22</v>
      </c>
    </row>
    <row r="54" spans="2:10" ht="15" thickBot="1" x14ac:dyDescent="0.3">
      <c r="B54" s="81">
        <v>50</v>
      </c>
      <c r="C54" s="221">
        <v>7.96</v>
      </c>
      <c r="D54" s="222">
        <v>1.1599999999999999</v>
      </c>
    </row>
    <row r="55" spans="2:10" ht="13" thickBot="1" x14ac:dyDescent="0.3"/>
    <row r="56" spans="2:10" ht="13" thickBot="1" x14ac:dyDescent="0.3">
      <c r="F56" s="386" t="s">
        <v>127</v>
      </c>
      <c r="G56" s="387"/>
      <c r="H56" s="387"/>
      <c r="I56" s="388">
        <f>(DATE(YEAR(Results!E9)+Results!E10,MONTH(Results!E9)+Results!F10,DAY(Results!E9)))</f>
        <v>0</v>
      </c>
      <c r="J56" s="389"/>
    </row>
    <row r="57" spans="2:10" ht="13" thickBot="1" x14ac:dyDescent="0.3"/>
    <row r="58" spans="2:10" x14ac:dyDescent="0.25">
      <c r="F58" s="390" t="s">
        <v>29</v>
      </c>
      <c r="G58" s="391"/>
      <c r="H58" s="391"/>
      <c r="I58" s="104">
        <f>Results!E12</f>
        <v>45747</v>
      </c>
      <c r="J58" s="105">
        <f>Results!K12</f>
        <v>46112</v>
      </c>
    </row>
    <row r="59" spans="2:10" x14ac:dyDescent="0.25">
      <c r="F59" s="382" t="s">
        <v>12</v>
      </c>
      <c r="G59" s="383"/>
      <c r="H59" s="383"/>
      <c r="I59" s="103" t="e">
        <f>VLOOKUP($I$62,B5:C54,2)</f>
        <v>#NUM!</v>
      </c>
      <c r="J59" s="106" t="e">
        <f>VLOOKUP($J$62,B5:C54,2)</f>
        <v>#NUM!</v>
      </c>
    </row>
    <row r="60" spans="2:10" x14ac:dyDescent="0.25">
      <c r="F60" s="382" t="s">
        <v>123</v>
      </c>
      <c r="G60" s="383"/>
      <c r="H60" s="383"/>
      <c r="I60" s="82" t="e">
        <f>VLOOKUP($I$62,B5:D54,3)</f>
        <v>#NUM!</v>
      </c>
      <c r="J60" s="106" t="e">
        <f>VLOOKUP($J$62,B5:D54,3)</f>
        <v>#NUM!</v>
      </c>
    </row>
    <row r="61" spans="2:10" x14ac:dyDescent="0.25">
      <c r="F61" s="382" t="s">
        <v>27</v>
      </c>
      <c r="G61" s="383"/>
      <c r="H61" s="383"/>
      <c r="I61" s="82">
        <f>Results!K8</f>
        <v>125</v>
      </c>
      <c r="J61" s="106">
        <f>Results!K9</f>
        <v>126</v>
      </c>
    </row>
    <row r="62" spans="2:10" ht="13" thickBot="1" x14ac:dyDescent="0.3">
      <c r="F62" s="384" t="s">
        <v>124</v>
      </c>
      <c r="G62" s="385"/>
      <c r="H62" s="385"/>
      <c r="I62" s="102" t="e">
        <f>DATEDIF(I58, I56, "y")+1</f>
        <v>#NUM!</v>
      </c>
      <c r="J62" s="107" t="e">
        <f>DATEDIF(J58, I56, "y")+1</f>
        <v>#NUM!</v>
      </c>
    </row>
  </sheetData>
  <sheetProtection algorithmName="SHA-512" hashValue="ZeDIgG5qNWR1D4wREbFz7B5u6d/gyesmoQGeIXdCyTPmi5Hnh2m6d4i+PesujVfYSUCpp5RvdhWaw24jCTi+jg==" saltValue="4GSmiJtmJLHtHmE9Ktkdqg==" spinCount="100000" sheet="1" objects="1" scenarios="1"/>
  <mergeCells count="8">
    <mergeCell ref="B3:B4"/>
    <mergeCell ref="F59:H59"/>
    <mergeCell ref="F60:H60"/>
    <mergeCell ref="F61:H61"/>
    <mergeCell ref="F62:H62"/>
    <mergeCell ref="F56:H56"/>
    <mergeCell ref="I56:J56"/>
    <mergeCell ref="F58:H5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Results</vt:lpstr>
      <vt:lpstr>NHS FS Non Club Factors</vt:lpstr>
      <vt:lpstr>NHS CARE Non Club Factors</vt:lpstr>
      <vt:lpstr>Results!Print_Area</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stephen.lee@gov.scot</dc:creator>
  <cp:lastModifiedBy>Lynn Robertson</cp:lastModifiedBy>
  <cp:lastPrinted>2018-11-13T15:52:56Z</cp:lastPrinted>
  <dcterms:created xsi:type="dcterms:W3CDTF">2012-12-24T12:06:45Z</dcterms:created>
  <dcterms:modified xsi:type="dcterms:W3CDTF">2026-03-19T07:17:42Z</dcterms:modified>
</cp:coreProperties>
</file>