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cotland.gov.uk\dc1\fs5_home\u205538\"/>
    </mc:Choice>
  </mc:AlternateContent>
  <workbookProtection workbookAlgorithmName="SHA-512" workbookHashValue="TaZ1ugndTOArMn8DMKcCSqjVcR3Uvt1bzo5aejx2aolO4gHWVxrJKZatahvZstDOwdLQzClJnKMXgWDWvvgKcA==" workbookSaltValue="9Diox/GiQ0YsoHncXDeJpA==" workbookSpinCount="100000" lockStructure="1"/>
  <bookViews>
    <workbookView xWindow="-120" yWindow="-120" windowWidth="29040" windowHeight="15720" firstSheet="2" activeTab="2"/>
  </bookViews>
  <sheets>
    <sheet name="Cover" sheetId="1" state="hidden" r:id="rId1"/>
    <sheet name="Version control" sheetId="4" state="hidden" r:id="rId2"/>
    <sheet name="Calculator" sheetId="50" r:id="rId3"/>
    <sheet name="Guidance Notes" sheetId="67" r:id="rId4"/>
    <sheet name="Printable Estimate" sheetId="62" r:id="rId5"/>
    <sheet name="Parameters" sheetId="51" state="hidden" r:id="rId6"/>
    <sheet name="Tapers" sheetId="53" state="hidden" r:id="rId7"/>
    <sheet name="Commutation Factors" sheetId="58" state="hidden" r:id="rId8"/>
    <sheet name="LRF" sheetId="64" state="hidden" r:id="rId9"/>
    <sheet name="ERF" sheetId="65" state="hidden" r:id="rId10"/>
    <sheet name="ERF-LRF 2015" sheetId="66" state="hidden" r:id="rId11"/>
    <sheet name="1995 &amp; 2008 calcs" sheetId="52" state="hidden" r:id="rId12"/>
    <sheet name="Lump Sum" sheetId="57" state="hidden" r:id="rId13"/>
    <sheet name="Past Service CARE Calcs" sheetId="56" state="hidden" r:id="rId14"/>
    <sheet name="CARE calcs" sheetId="54" state="hidden" r:id="rId15"/>
    <sheet name="Summary" sheetId="55" state="hidden" r:id="rId16"/>
  </sheets>
  <externalReferences>
    <externalReference r:id="rId17"/>
  </externalReferences>
  <definedNames>
    <definedName name="ABSEndDate" localSheetId="3">[1]Calculator!$I$53</definedName>
    <definedName name="ABSEndDate">Calculator!$I$54</definedName>
    <definedName name="ABSEndDate1" localSheetId="3">[1]Calculator!$I$43</definedName>
    <definedName name="ABSEndDate1">Calculator!$I$44</definedName>
    <definedName name="ABSYears" localSheetId="3">[1]Parameters!$B$136:$B$145</definedName>
    <definedName name="ABSYears">Parameters!$B$136:$B$145</definedName>
    <definedName name="Acc_1995" localSheetId="3">[1]Parameters!$F$19</definedName>
    <definedName name="Acc_1995">Parameters!$F$19</definedName>
    <definedName name="Acc_2008" localSheetId="3">[1]Parameters!$F$20</definedName>
    <definedName name="Acc_2008">Parameters!$F$20</definedName>
    <definedName name="Acc_CARE" localSheetId="3">[1]Parameters!$F$21</definedName>
    <definedName name="Acc_CARE">Parameters!$F$21</definedName>
    <definedName name="Acc_FPS">Parameters!$F$19</definedName>
    <definedName name="Acc_NFPS">Parameters!$F$20</definedName>
    <definedName name="age_exact" localSheetId="3">'[1]1995 &amp; 2008 calcs'!$D$6</definedName>
    <definedName name="age_exact">'1995 &amp; 2008 calcs'!$D$6</definedName>
    <definedName name="age_lbd" localSheetId="3">'[1]1995 &amp; 2008 calcs'!$D$7</definedName>
    <definedName name="age_lbd">'1995 &amp; 2008 calcs'!$D$7</definedName>
    <definedName name="basis1" localSheetId="3">[1]Parameters!$C$89</definedName>
    <definedName name="basis1">Parameters!$C$89</definedName>
    <definedName name="basis2" localSheetId="3">[1]Parameters!$C$90</definedName>
    <definedName name="basis2">Parameters!$C$90</definedName>
    <definedName name="basis3" localSheetId="3">[1]Parameters!$C$91</definedName>
    <definedName name="basis3">Parameters!$C$91</definedName>
    <definedName name="care_rev" localSheetId="3">[1]Parameters!$G$92</definedName>
    <definedName name="care_rev">Parameters!$G$92</definedName>
    <definedName name="ChosenRA" localSheetId="3">[1]Parameters!$B$119</definedName>
    <definedName name="ChosenRA">Parameters!$B$119</definedName>
    <definedName name="Class_Select" localSheetId="3">[1]Cover!$A$54:$A$57</definedName>
    <definedName name="Class_Select">Cover!$A$54:$A$57</definedName>
    <definedName name="Classification_Key" localSheetId="3">[1]Cover!$A$66</definedName>
    <definedName name="Classification_Key">Cover!$A$66</definedName>
    <definedName name="Comm_92_E">'Commutation Factors'!$B$48:$N$73</definedName>
    <definedName name="Comm_92_S">'Commutation Factors'!$B$16:$N$41</definedName>
    <definedName name="Comm_Factor">'Lump Sum'!$D$13</definedName>
    <definedName name="Comm_Factor_1995">'Commutation Factors'!$F$9</definedName>
    <definedName name="Comm_Factor_2008">'Commutation Factors'!$F$8</definedName>
    <definedName name="Comm_Factor_CARE">'Commutation Factors'!$F$7</definedName>
    <definedName name="cpi" localSheetId="3">[1]Parameters!$G$88</definedName>
    <definedName name="cpi">Parameters!$G$88</definedName>
    <definedName name="cpi_1" localSheetId="3">[1]Parameters!$G$89</definedName>
    <definedName name="cpi_1">Parameters!$G$89</definedName>
    <definedName name="cpi_2" localSheetId="3">[1]Parameters!$G$90</definedName>
    <definedName name="cpi_2">Parameters!$G$90</definedName>
    <definedName name="cpi_3" localSheetId="3">[1]Parameters!$G$91</definedName>
    <definedName name="cpi_3">Parameters!$G$91</definedName>
    <definedName name="CurrentSal" localSheetId="3">[1]Calculator!$I$38</definedName>
    <definedName name="CurrentSal">Calculator!$I$38</definedName>
    <definedName name="CurrentScheme" localSheetId="3">[1]Parameters!$B$112</definedName>
    <definedName name="CurrentScheme">Parameters!$B$112</definedName>
    <definedName name="Date_curr" localSheetId="3">[1]Parameters!$D$97</definedName>
    <definedName name="Date_curr">Parameters!$D$97</definedName>
    <definedName name="date55" localSheetId="3">[1]Calculator!$J$156</definedName>
    <definedName name="date55">Calculator!$J$157</definedName>
    <definedName name="date60">Parameters!$B$121</definedName>
    <definedName name="DateSPA">'CARE calcs'!$D$81</definedName>
    <definedName name="DefDec">Parameters!$G$94</definedName>
    <definedName name="Descriptor_Key" localSheetId="3">[1]Cover!$A$67</definedName>
    <definedName name="Descriptor_Key">Cover!$A$67</definedName>
    <definedName name="Descriptor_Select" localSheetId="3">[1]Cover!$A$58:$A$65</definedName>
    <definedName name="Descriptor_Select">Cover!$A$58:$A$65</definedName>
    <definedName name="DJS" localSheetId="3">[1]Calculator!$I$29</definedName>
    <definedName name="DJS">Calculator!$I$29</definedName>
    <definedName name="DJS_Adj">'1995 &amp; 2008 calcs'!$F$23</definedName>
    <definedName name="DoB" localSheetId="3">[1]Calculator!$I$25</definedName>
    <definedName name="DoB">Calculator!$I$25</definedName>
    <definedName name="DoProtEnd" localSheetId="3">'[1]1995 &amp; 2008 calcs'!$F$31</definedName>
    <definedName name="DoProtEnd">'1995 &amp; 2008 calcs'!$F$32</definedName>
    <definedName name="DoR" localSheetId="3">[1]Calculator!$I$45</definedName>
    <definedName name="DoR">Calculator!$I$46</definedName>
    <definedName name="DoStartSchYear" localSheetId="3">[1]Parameters!$D$99</definedName>
    <definedName name="DoStartSchYear">Parameters!$D$99</definedName>
    <definedName name="DoUnderpin">Parameters!$B$126</definedName>
    <definedName name="DoY" localSheetId="3">[1]Parameters!$E$14</definedName>
    <definedName name="DoY">Parameters!$E$14</definedName>
    <definedName name="ERF_CARE_toapply">'CARE calcs'!$D$29</definedName>
    <definedName name="ERF_Months" localSheetId="3">[1]Parameters!$G$129</definedName>
    <definedName name="ERF_Months">Parameters!$G$129</definedName>
    <definedName name="ERF_Year" localSheetId="3">[1]Parameters!$F$129</definedName>
    <definedName name="ERF_Year">Parameters!$F$129</definedName>
    <definedName name="ERF1_2015_table" localSheetId="3">'[1]ERF-LRF 2015'!$B$17:$N$29</definedName>
    <definedName name="ERF1_2015_table">'ERF-LRF 2015'!$B$17:$N$29</definedName>
    <definedName name="ERF1_table" localSheetId="3">[1]ERF!$B$17:$N$26</definedName>
    <definedName name="ERF1_table">ERF!$B$17:$N$26</definedName>
    <definedName name="ERF10C_table">ERF!$B$206:$N$210</definedName>
    <definedName name="ERF10D_table">ERF!$B$215:$N$219</definedName>
    <definedName name="ERF11_table">ERF!$B$230:$N$239</definedName>
    <definedName name="ERF12_table">ERF!$B$250:$N$254</definedName>
    <definedName name="ERF13_table">ERF!$B$265:$N$269</definedName>
    <definedName name="ERF14_table">ERF!$B$279:$N$284</definedName>
    <definedName name="ERF15E_table">ERF!$B$295:$N$299</definedName>
    <definedName name="ERF15F_table">ERF!$B$304:$N$308</definedName>
    <definedName name="ERF2_table">ERF!$B$37:$N$51</definedName>
    <definedName name="ERF3_table">ERF!$B$62:$N$66</definedName>
    <definedName name="ERF4_table">ERF!$B$77:$N$81</definedName>
    <definedName name="ERF5_table">ERF!$B$92:$N$101</definedName>
    <definedName name="ERF6_table">ERF!$B$112:$N$126</definedName>
    <definedName name="ERF7_table" localSheetId="3">[1]ERF!$B$58:$N$70</definedName>
    <definedName name="ERF7_table">ERF!$B$58:$N$70</definedName>
    <definedName name="ERF8_table">ERF!$B$157:$N$171</definedName>
    <definedName name="ERF9A_table">ERF!$B$182:$N$186</definedName>
    <definedName name="ERF9B_table">ERF!$B$191:$N$195</definedName>
    <definedName name="Form_Check" localSheetId="3">[1]Parameters!$B$133</definedName>
    <definedName name="Form_Check">Parameters!$B$133</definedName>
    <definedName name="FPSmax" localSheetId="3">[1]Parameters!$F$16</definedName>
    <definedName name="FPSmax">Parameters!$F$16</definedName>
    <definedName name="future_PTP" localSheetId="3">[1]Calculator!$I$49</definedName>
    <definedName name="future_PTP">Calculator!$I$50</definedName>
    <definedName name="Hide_range" localSheetId="3">'[1]Printable Estimate'!$39:$50,'[1]Printable Estimate'!$51:$51</definedName>
    <definedName name="Hide_range">'Printable Estimate'!$40:$51,'Printable Estimate'!$52:$52</definedName>
    <definedName name="LRF_CARE_toapply">'CARE calcs'!$D$28</definedName>
    <definedName name="LRF_Months" localSheetId="3">[1]Parameters!$G$117</definedName>
    <definedName name="LRF_Months">Parameters!$G$117</definedName>
    <definedName name="LRF_Year" localSheetId="3">[1]Parameters!$F$117</definedName>
    <definedName name="LRF_Year">Parameters!$F$117</definedName>
    <definedName name="LRF1_2015_table" localSheetId="3">'[1]ERF-LRF 2015'!$B$44:$N$53</definedName>
    <definedName name="LRF1_2015_table">'ERF-LRF 2015'!$B$44:$N$53</definedName>
    <definedName name="LRF1_table" localSheetId="3">[1]LRF!$B$18:$N$27</definedName>
    <definedName name="LRF1_table">LRF!$B$18:$N$27</definedName>
    <definedName name="LRF2_2015_table">'ERF-LRF 2015'!$B$67:$N$76</definedName>
    <definedName name="Lump_Sum_1995" localSheetId="3">'[1]Commutation Factors'!$F$10</definedName>
    <definedName name="Lump_Sum_1995">'Commutation Factors'!$F$10</definedName>
    <definedName name="Max_service_1995">Parameters!$F$16</definedName>
    <definedName name="Max_service_2008" localSheetId="3">[1]Parameters!$F$17</definedName>
    <definedName name="Max_service_2008">Parameters!$F$17</definedName>
    <definedName name="Name_member" localSheetId="3">[1]Calculator!$I$27</definedName>
    <definedName name="Name_member">Calculator!$I$27</definedName>
    <definedName name="NewSchDate" localSheetId="3">[1]Parameters!$E$12</definedName>
    <definedName name="NewSchDate">Parameters!$E$12</definedName>
    <definedName name="NFPS_Comm">'Commutation Factors'!$F$8</definedName>
    <definedName name="NonUplifted" localSheetId="3">[1]Parameters!$G$37</definedName>
    <definedName name="NonUplifted">Parameters!$G$37</definedName>
    <definedName name="_xlnm.Print_Area" localSheetId="2">Calculator!$A$11:$M$126</definedName>
    <definedName name="_xlnm.Print_Area" localSheetId="4">'Printable Estimate'!$A$1:$H$54</definedName>
    <definedName name="_xlnm.Print_Titles" localSheetId="1">'Version control'!$A:$A</definedName>
    <definedName name="ProtectDate" localSheetId="3">[1]Parameters!$E$10</definedName>
    <definedName name="ProtectDate">Parameters!$E$10</definedName>
    <definedName name="ProtStatus" localSheetId="3">'[1]1995 &amp; 2008 calcs'!$F$30</definedName>
    <definedName name="ProtStatus">'1995 &amp; 2008 calcs'!$F$31</definedName>
    <definedName name="PT_Status" localSheetId="3">[1]Calculator!$I$47</definedName>
    <definedName name="PT_Status">Calculator!$I$48</definedName>
    <definedName name="RA_day">Parameters!$D$117</definedName>
    <definedName name="RA_month" localSheetId="3">[1]Parameters!$C$117</definedName>
    <definedName name="RA_month">Parameters!$C$117</definedName>
    <definedName name="RA_month_roundup">Parameters!$I$117</definedName>
    <definedName name="RA_Year" localSheetId="3">[1]Parameters!$B$117</definedName>
    <definedName name="RA_Year">Parameters!$B$117</definedName>
    <definedName name="Reck_Days" localSheetId="3">[1]Calculator!$I$56</definedName>
    <definedName name="Reck_Days">Calculator!$I$57</definedName>
    <definedName name="Reck_Years" localSheetId="3">[1]Calculator!$I$55</definedName>
    <definedName name="Reck_Years">Calculator!$I$56</definedName>
    <definedName name="Reckonable_service" localSheetId="3">'[1]Lump Sum'!#REF!</definedName>
    <definedName name="Reckonable_service">'Lump Sum'!#REF!</definedName>
    <definedName name="sch" localSheetId="3">[1]Calculator!$B$140:$B$141</definedName>
    <definedName name="sch">Calculator!$B$141:$B$142</definedName>
    <definedName name="sch_1" localSheetId="3">[1]Calculator!$B$140</definedName>
    <definedName name="sch_1">Calculator!$B$141</definedName>
    <definedName name="Sch_1995" localSheetId="3">[1]Parameters!$E$7</definedName>
    <definedName name="Sch_1995">Parameters!$E$7</definedName>
    <definedName name="sch_2" localSheetId="3">[1]Calculator!$B$141</definedName>
    <definedName name="sch_2">Calculator!$B$142</definedName>
    <definedName name="Sch_2008" localSheetId="3">[1]Parameters!$E$8</definedName>
    <definedName name="Sch_2008">Parameters!$E$8</definedName>
    <definedName name="Scheme_Full" localSheetId="3">[1]Calculator!$I$31</definedName>
    <definedName name="Scheme_Full">Calculator!$I$31</definedName>
    <definedName name="SPA" localSheetId="3">[1]Parameters!$F$32</definedName>
    <definedName name="SPA">Parameters!$F$32</definedName>
    <definedName name="SPA_date" localSheetId="3">[1]Parameters!$F$33</definedName>
    <definedName name="SPA_date">Parameters!$F$33</definedName>
    <definedName name="Special_Class" localSheetId="3">[1]Calculator!$I$33</definedName>
    <definedName name="Special_Class">Calculator!$I$33</definedName>
    <definedName name="Start_date_2008" localSheetId="3">[1]Parameters!$E$35</definedName>
    <definedName name="Start_date_2008">Parameters!$E$35</definedName>
    <definedName name="tapertab1" localSheetId="3">[1]Tapers!$B$13:$D$60</definedName>
    <definedName name="tapertab1">Tapers!$B$13:$D$60</definedName>
    <definedName name="tapertab2" localSheetId="3">[1]Tapers!$F$13:$H$60</definedName>
    <definedName name="tapertab2">Tapers!$F$13:$H$60</definedName>
    <definedName name="tapertab3" localSheetId="3">[1]Tapers!$J$13:$L$60</definedName>
    <definedName name="tapertab3">Tapers!$J$13:$L$60</definedName>
    <definedName name="tapertab4">Tapers!$N$13:$P$60</definedName>
    <definedName name="tapertab5">Tapers!$R$13:$T$60</definedName>
    <definedName name="title" localSheetId="3">[1]Cover!$A$2</definedName>
    <definedName name="title">Cover!$A$2</definedName>
    <definedName name="TVinDays" localSheetId="3">[1]Calculator!$I$36</definedName>
    <definedName name="TVinDays">Calculator!$I$36</definedName>
    <definedName name="TVinYears" localSheetId="3">[1]Calculator!$I$35</definedName>
    <definedName name="TVinYears">Calculator!$I$35</definedName>
    <definedName name="Uplift_factors">Parameters!$B$43:$H$86</definedName>
    <definedName name="Uplift_Headers">Parameters!$B$42:$H$42</definedName>
    <definedName name="ValidSchemes">Parameters!$E$7:$E$8</definedName>
    <definedName name="VRA" localSheetId="3">'[1]Lump Sum'!#REF!</definedName>
    <definedName name="VRA">'Lump Sum'!#REF!</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62" l="1"/>
  <c r="E15" i="62"/>
  <c r="E17" i="62"/>
  <c r="C30" i="62"/>
  <c r="E30" i="52" l="1"/>
  <c r="F30" i="52"/>
  <c r="D30" i="52"/>
  <c r="D9" i="52"/>
  <c r="G41" i="50" l="1"/>
  <c r="D24" i="54" l="1"/>
  <c r="E25" i="55" s="1"/>
  <c r="D25" i="55" l="1"/>
  <c r="F25" i="55"/>
  <c r="D23" i="52" l="1"/>
  <c r="D11" i="52" l="1"/>
  <c r="E24" i="52"/>
  <c r="G90" i="51" l="1"/>
  <c r="H89" i="51"/>
  <c r="G89" i="51" s="1"/>
  <c r="D35" i="54" s="1"/>
  <c r="D157" i="50"/>
  <c r="B156" i="50"/>
  <c r="D156" i="50" s="1"/>
  <c r="E35" i="54" l="1"/>
  <c r="E33" i="54"/>
  <c r="D33" i="54"/>
  <c r="D24" i="52"/>
  <c r="C28" i="56" l="1"/>
  <c r="C31" i="56" l="1"/>
  <c r="C29" i="56"/>
  <c r="T17" i="56"/>
  <c r="S17" i="56"/>
  <c r="R17" i="56"/>
  <c r="Q17" i="56"/>
  <c r="P17" i="56"/>
  <c r="O17" i="56"/>
  <c r="N17" i="56"/>
  <c r="M17" i="56"/>
  <c r="L17" i="56"/>
  <c r="K17" i="56"/>
  <c r="J17" i="56"/>
  <c r="I17" i="56"/>
  <c r="H17" i="56"/>
  <c r="G17" i="56"/>
  <c r="F17" i="56"/>
  <c r="E17" i="56"/>
  <c r="D17" i="56"/>
  <c r="C17" i="56"/>
  <c r="T16" i="56"/>
  <c r="S16" i="56"/>
  <c r="R16" i="56"/>
  <c r="Q16" i="56"/>
  <c r="P16" i="56"/>
  <c r="O16" i="56"/>
  <c r="N16" i="56"/>
  <c r="M16" i="56"/>
  <c r="L16" i="56"/>
  <c r="K16" i="56"/>
  <c r="J16" i="56"/>
  <c r="I16" i="56"/>
  <c r="H16" i="56"/>
  <c r="G16" i="56"/>
  <c r="F16" i="56"/>
  <c r="E16" i="56"/>
  <c r="D16" i="56"/>
  <c r="C16" i="56"/>
  <c r="G37" i="51" l="1"/>
  <c r="C57" i="55" l="1"/>
  <c r="C56" i="55"/>
  <c r="C51" i="55"/>
  <c r="C50" i="55"/>
  <c r="F42" i="57" l="1"/>
  <c r="E42" i="57"/>
  <c r="D42" i="57"/>
  <c r="F32" i="57"/>
  <c r="E32" i="57"/>
  <c r="D32" i="57"/>
  <c r="L14" i="53" l="1"/>
  <c r="L15" i="53" s="1"/>
  <c r="L16" i="53" s="1"/>
  <c r="L17" i="53" s="1"/>
  <c r="L18" i="53" s="1"/>
  <c r="L19" i="53" s="1"/>
  <c r="L20" i="53" s="1"/>
  <c r="L21" i="53" s="1"/>
  <c r="L22" i="53" s="1"/>
  <c r="L23" i="53" s="1"/>
  <c r="L24" i="53" s="1"/>
  <c r="L25" i="53" s="1"/>
  <c r="L26" i="53" s="1"/>
  <c r="L27" i="53" s="1"/>
  <c r="L28" i="53" s="1"/>
  <c r="L29" i="53" s="1"/>
  <c r="L30" i="53" s="1"/>
  <c r="L31" i="53" s="1"/>
  <c r="L32" i="53" s="1"/>
  <c r="L33" i="53" s="1"/>
  <c r="L34" i="53" s="1"/>
  <c r="L35" i="53" s="1"/>
  <c r="L36" i="53" s="1"/>
  <c r="L37" i="53" s="1"/>
  <c r="L38" i="53" s="1"/>
  <c r="L39" i="53" s="1"/>
  <c r="L40" i="53" s="1"/>
  <c r="L41" i="53" s="1"/>
  <c r="L42" i="53" s="1"/>
  <c r="L43" i="53" s="1"/>
  <c r="L44" i="53" s="1"/>
  <c r="L45" i="53" s="1"/>
  <c r="L46" i="53" s="1"/>
  <c r="L47" i="53" s="1"/>
  <c r="L48" i="53" s="1"/>
  <c r="L49" i="53" s="1"/>
  <c r="L50" i="53" s="1"/>
  <c r="L51" i="53" s="1"/>
  <c r="L52" i="53" s="1"/>
  <c r="L53" i="53" s="1"/>
  <c r="J14" i="53"/>
  <c r="J15" i="53" s="1"/>
  <c r="J16" i="53" l="1"/>
  <c r="K14" i="53"/>
  <c r="K13" i="53"/>
  <c r="D12" i="52"/>
  <c r="K15" i="53" l="1"/>
  <c r="J17" i="53"/>
  <c r="D14" i="57"/>
  <c r="J18" i="53" l="1"/>
  <c r="K16" i="53"/>
  <c r="C68" i="52"/>
  <c r="C67" i="52"/>
  <c r="C66" i="52"/>
  <c r="C65" i="52"/>
  <c r="C64" i="52"/>
  <c r="C63" i="52"/>
  <c r="E25" i="52"/>
  <c r="E26" i="52" s="1"/>
  <c r="E28" i="52" s="1"/>
  <c r="D25" i="52"/>
  <c r="H14" i="53"/>
  <c r="H15" i="53" s="1"/>
  <c r="H16" i="53" s="1"/>
  <c r="H17" i="53" s="1"/>
  <c r="H18" i="53" s="1"/>
  <c r="H19" i="53" s="1"/>
  <c r="H20" i="53" s="1"/>
  <c r="H21" i="53" s="1"/>
  <c r="H22" i="53" s="1"/>
  <c r="H23" i="53" s="1"/>
  <c r="H24" i="53" s="1"/>
  <c r="H25" i="53" s="1"/>
  <c r="H26" i="53" s="1"/>
  <c r="H27" i="53" s="1"/>
  <c r="H28" i="53" s="1"/>
  <c r="H29" i="53" s="1"/>
  <c r="H30" i="53" s="1"/>
  <c r="H31" i="53" s="1"/>
  <c r="H32" i="53" s="1"/>
  <c r="H33" i="53" s="1"/>
  <c r="H34" i="53" s="1"/>
  <c r="H35" i="53" s="1"/>
  <c r="H36" i="53" s="1"/>
  <c r="H37" i="53" s="1"/>
  <c r="H38" i="53" s="1"/>
  <c r="H39" i="53" s="1"/>
  <c r="H40" i="53" s="1"/>
  <c r="H41" i="53" s="1"/>
  <c r="H42" i="53" s="1"/>
  <c r="H43" i="53" s="1"/>
  <c r="H44" i="53" s="1"/>
  <c r="H45" i="53" s="1"/>
  <c r="H46" i="53" s="1"/>
  <c r="H47" i="53" s="1"/>
  <c r="H48" i="53" s="1"/>
  <c r="H49" i="53" s="1"/>
  <c r="H50" i="53" s="1"/>
  <c r="H51" i="53" s="1"/>
  <c r="H52" i="53" s="1"/>
  <c r="H53" i="53" s="1"/>
  <c r="F14" i="53"/>
  <c r="F15" i="53" s="1"/>
  <c r="F16" i="53" s="1"/>
  <c r="D14" i="53"/>
  <c r="D15" i="53" s="1"/>
  <c r="D16" i="53" s="1"/>
  <c r="D17" i="53" s="1"/>
  <c r="D18" i="53" s="1"/>
  <c r="D19" i="53" s="1"/>
  <c r="D20" i="53" s="1"/>
  <c r="D21" i="53" s="1"/>
  <c r="D22" i="53" s="1"/>
  <c r="D23" i="53" s="1"/>
  <c r="D24" i="53" s="1"/>
  <c r="D25" i="53" s="1"/>
  <c r="D26" i="53" s="1"/>
  <c r="D27" i="53" s="1"/>
  <c r="D28" i="53" s="1"/>
  <c r="D29" i="53" s="1"/>
  <c r="D30" i="53" s="1"/>
  <c r="D31" i="53" s="1"/>
  <c r="D32" i="53" s="1"/>
  <c r="D33" i="53" s="1"/>
  <c r="D34" i="53" s="1"/>
  <c r="D35" i="53" s="1"/>
  <c r="D36" i="53" s="1"/>
  <c r="D37" i="53" s="1"/>
  <c r="D38" i="53" s="1"/>
  <c r="D39" i="53" s="1"/>
  <c r="D40" i="53" s="1"/>
  <c r="D41" i="53" s="1"/>
  <c r="D42" i="53" s="1"/>
  <c r="D43" i="53" s="1"/>
  <c r="D44" i="53" s="1"/>
  <c r="D45" i="53" s="1"/>
  <c r="D46" i="53" s="1"/>
  <c r="D47" i="53" s="1"/>
  <c r="D48" i="53" s="1"/>
  <c r="D49" i="53" s="1"/>
  <c r="D50" i="53" s="1"/>
  <c r="D51" i="53" s="1"/>
  <c r="D52" i="53" s="1"/>
  <c r="D53" i="53" s="1"/>
  <c r="B14" i="53"/>
  <c r="B15" i="53" s="1"/>
  <c r="K17" i="53" l="1"/>
  <c r="J19" i="53"/>
  <c r="D26" i="52"/>
  <c r="D29" i="52" s="1"/>
  <c r="E29" i="52"/>
  <c r="E27" i="52"/>
  <c r="G13" i="53"/>
  <c r="F17" i="53"/>
  <c r="G15" i="53"/>
  <c r="G14" i="53"/>
  <c r="C14" i="53"/>
  <c r="B16" i="53"/>
  <c r="C13" i="53"/>
  <c r="E31" i="52" l="1"/>
  <c r="J20" i="53"/>
  <c r="K18" i="53"/>
  <c r="D27" i="52"/>
  <c r="D28" i="52"/>
  <c r="G16" i="53"/>
  <c r="F18" i="53"/>
  <c r="C15" i="53"/>
  <c r="B17" i="53"/>
  <c r="D31" i="52" l="1"/>
  <c r="E32" i="52"/>
  <c r="D16" i="52" s="1"/>
  <c r="K19" i="53"/>
  <c r="J21" i="53"/>
  <c r="G17" i="53"/>
  <c r="F19" i="53"/>
  <c r="B18" i="53"/>
  <c r="C16" i="53"/>
  <c r="J22" i="53" l="1"/>
  <c r="K20" i="53"/>
  <c r="F20" i="53"/>
  <c r="G18" i="53"/>
  <c r="B19" i="53"/>
  <c r="C17" i="53"/>
  <c r="K21" i="53" l="1"/>
  <c r="J23" i="53"/>
  <c r="F21" i="53"/>
  <c r="G19" i="53"/>
  <c r="B20" i="53"/>
  <c r="C18" i="53"/>
  <c r="J24" i="53" l="1"/>
  <c r="K22" i="53"/>
  <c r="G20" i="53"/>
  <c r="F22" i="53"/>
  <c r="C19" i="53"/>
  <c r="B21" i="53"/>
  <c r="K23" i="53" l="1"/>
  <c r="J25" i="53"/>
  <c r="G21" i="53"/>
  <c r="F23" i="53"/>
  <c r="B22" i="53"/>
  <c r="C20" i="53"/>
  <c r="J26" i="53" l="1"/>
  <c r="K24" i="53"/>
  <c r="F24" i="53"/>
  <c r="G22" i="53"/>
  <c r="B23" i="53"/>
  <c r="C21" i="53"/>
  <c r="K25" i="53" l="1"/>
  <c r="J27" i="53"/>
  <c r="F25" i="53"/>
  <c r="G23" i="53"/>
  <c r="B24" i="53"/>
  <c r="C22" i="53"/>
  <c r="J28" i="53" l="1"/>
  <c r="K26" i="53"/>
  <c r="G24" i="53"/>
  <c r="F26" i="53"/>
  <c r="C23" i="53"/>
  <c r="B25" i="53"/>
  <c r="K27" i="53" l="1"/>
  <c r="J29" i="53"/>
  <c r="G25" i="53"/>
  <c r="F27" i="53"/>
  <c r="B26" i="53"/>
  <c r="C24" i="53"/>
  <c r="J30" i="53" l="1"/>
  <c r="K28" i="53"/>
  <c r="F28" i="53"/>
  <c r="G26" i="53"/>
  <c r="B27" i="53"/>
  <c r="C25" i="53"/>
  <c r="K29" i="53" l="1"/>
  <c r="J31" i="53"/>
  <c r="F29" i="53"/>
  <c r="G27" i="53"/>
  <c r="B28" i="53"/>
  <c r="C26" i="53"/>
  <c r="J32" i="53" l="1"/>
  <c r="K30" i="53"/>
  <c r="G28" i="53"/>
  <c r="F30" i="53"/>
  <c r="C27" i="53"/>
  <c r="B29" i="53"/>
  <c r="K31" i="53" l="1"/>
  <c r="J33" i="53"/>
  <c r="G29" i="53"/>
  <c r="F31" i="53"/>
  <c r="B30" i="53"/>
  <c r="C28" i="53"/>
  <c r="J34" i="53" l="1"/>
  <c r="K32" i="53"/>
  <c r="F32" i="53"/>
  <c r="G30" i="53"/>
  <c r="B31" i="53"/>
  <c r="C29" i="53"/>
  <c r="K33" i="53" l="1"/>
  <c r="J35" i="53"/>
  <c r="F33" i="53"/>
  <c r="G31" i="53"/>
  <c r="B32" i="53"/>
  <c r="C30" i="53"/>
  <c r="J36" i="53" l="1"/>
  <c r="K34" i="53"/>
  <c r="G32" i="53"/>
  <c r="F34" i="53"/>
  <c r="C31" i="53"/>
  <c r="B33" i="53"/>
  <c r="K35" i="53" l="1"/>
  <c r="J37" i="53"/>
  <c r="G33" i="53"/>
  <c r="F35" i="53"/>
  <c r="B34" i="53"/>
  <c r="C32" i="53"/>
  <c r="J38" i="53" l="1"/>
  <c r="K36" i="53"/>
  <c r="F36" i="53"/>
  <c r="G34" i="53"/>
  <c r="B35" i="53"/>
  <c r="C33" i="53"/>
  <c r="K37" i="53" l="1"/>
  <c r="J39" i="53"/>
  <c r="F37" i="53"/>
  <c r="G35" i="53"/>
  <c r="B36" i="53"/>
  <c r="D32" i="52" s="1"/>
  <c r="C34" i="53"/>
  <c r="J40" i="53" l="1"/>
  <c r="K38" i="53"/>
  <c r="G36" i="53"/>
  <c r="F38" i="53"/>
  <c r="C35" i="53"/>
  <c r="B37" i="53"/>
  <c r="K39" i="53" l="1"/>
  <c r="J41" i="53"/>
  <c r="G37" i="53"/>
  <c r="F39" i="53"/>
  <c r="B38" i="53"/>
  <c r="C36" i="53"/>
  <c r="J42" i="53" l="1"/>
  <c r="K40" i="53"/>
  <c r="F40" i="53"/>
  <c r="G38" i="53"/>
  <c r="B39" i="53"/>
  <c r="C37" i="53"/>
  <c r="K41" i="53" l="1"/>
  <c r="J43" i="53"/>
  <c r="F41" i="53"/>
  <c r="G39" i="53"/>
  <c r="C38" i="53"/>
  <c r="B40" i="53"/>
  <c r="J44" i="53" l="1"/>
  <c r="K42" i="53"/>
  <c r="G40" i="53"/>
  <c r="F42" i="53"/>
  <c r="C39" i="53"/>
  <c r="B41" i="53"/>
  <c r="K43" i="53" l="1"/>
  <c r="J45" i="53"/>
  <c r="G41" i="53"/>
  <c r="F43" i="53"/>
  <c r="B42" i="53"/>
  <c r="C40" i="53"/>
  <c r="J46" i="53" l="1"/>
  <c r="K44" i="53"/>
  <c r="F44" i="53"/>
  <c r="G42" i="53"/>
  <c r="B43" i="53"/>
  <c r="C41" i="53"/>
  <c r="K45" i="53" l="1"/>
  <c r="J47" i="53"/>
  <c r="F45" i="53"/>
  <c r="G43" i="53"/>
  <c r="C42" i="53"/>
  <c r="B44" i="53"/>
  <c r="J48" i="53" l="1"/>
  <c r="K46" i="53"/>
  <c r="G44" i="53"/>
  <c r="F46" i="53"/>
  <c r="C43" i="53"/>
  <c r="B45" i="53"/>
  <c r="K47" i="53" l="1"/>
  <c r="J49" i="53"/>
  <c r="G45" i="53"/>
  <c r="F47" i="53"/>
  <c r="B46" i="53"/>
  <c r="C44" i="53"/>
  <c r="J50" i="53" l="1"/>
  <c r="K48" i="53"/>
  <c r="F48" i="53"/>
  <c r="G46" i="53"/>
  <c r="B47" i="53"/>
  <c r="C45" i="53"/>
  <c r="K49" i="53" l="1"/>
  <c r="J51" i="53"/>
  <c r="F49" i="53"/>
  <c r="G47" i="53"/>
  <c r="C46" i="53"/>
  <c r="B48" i="53"/>
  <c r="J52" i="53" l="1"/>
  <c r="K50" i="53"/>
  <c r="G48" i="53"/>
  <c r="F50" i="53"/>
  <c r="C47" i="53"/>
  <c r="B49" i="53"/>
  <c r="K51" i="53" l="1"/>
  <c r="J53" i="53"/>
  <c r="K52" i="53" s="1"/>
  <c r="G49" i="53"/>
  <c r="F51" i="53"/>
  <c r="B50" i="53"/>
  <c r="C48" i="53"/>
  <c r="F52" i="53" l="1"/>
  <c r="G50" i="53"/>
  <c r="B51" i="53"/>
  <c r="C49" i="53"/>
  <c r="F53" i="53" l="1"/>
  <c r="G52" i="53" s="1"/>
  <c r="G51" i="53"/>
  <c r="C50" i="53"/>
  <c r="B52" i="53"/>
  <c r="C51" i="53" l="1"/>
  <c r="B53" i="53"/>
  <c r="C52" i="53" l="1"/>
  <c r="M8" i="52" l="1"/>
  <c r="J8" i="52"/>
  <c r="N88" i="51" l="1"/>
  <c r="N89" i="51" s="1"/>
  <c r="N90" i="51" s="1"/>
  <c r="N91" i="51" s="1"/>
  <c r="N92" i="51" s="1"/>
  <c r="N93" i="51" s="1"/>
  <c r="N94" i="51" s="1"/>
  <c r="N95" i="51" s="1"/>
  <c r="N96" i="51" s="1"/>
  <c r="N97" i="51" s="1"/>
  <c r="N98" i="51" s="1"/>
  <c r="N99" i="51" s="1"/>
  <c r="F32" i="51" l="1"/>
  <c r="F33" i="51" s="1"/>
  <c r="A4" i="66"/>
  <c r="A2" i="66"/>
  <c r="A4" i="65"/>
  <c r="A2" i="65"/>
  <c r="A4" i="64"/>
  <c r="A2" i="64"/>
  <c r="G92" i="51"/>
  <c r="E34" i="54" l="1"/>
  <c r="C30" i="56"/>
  <c r="D34" i="54"/>
  <c r="F124" i="51"/>
  <c r="F126" i="51" s="1"/>
  <c r="F112" i="51"/>
  <c r="B123" i="51"/>
  <c r="D13" i="52"/>
  <c r="D17" i="52"/>
  <c r="D18" i="52" s="1"/>
  <c r="F114" i="51" l="1"/>
  <c r="F117" i="51"/>
  <c r="G124" i="51"/>
  <c r="G126" i="51" s="1"/>
  <c r="F21" i="51"/>
  <c r="F20" i="51"/>
  <c r="F19" i="51"/>
  <c r="G112" i="51" l="1"/>
  <c r="G117" i="51" s="1"/>
  <c r="H124" i="51"/>
  <c r="C167" i="50"/>
  <c r="C156" i="50" s="1"/>
  <c r="J157" i="50"/>
  <c r="F129" i="51" l="1"/>
  <c r="G129" i="51"/>
  <c r="H126" i="51"/>
  <c r="I126" i="51" s="1"/>
  <c r="G114" i="51"/>
  <c r="H112" i="51" l="1"/>
  <c r="H114" i="51" s="1"/>
  <c r="I114" i="51" s="1"/>
  <c r="E23" i="52" l="1"/>
  <c r="D14" i="52" l="1"/>
  <c r="E21" i="52"/>
  <c r="D21" i="52"/>
  <c r="C28" i="62" l="1"/>
  <c r="E21" i="62" l="1"/>
  <c r="E19" i="62"/>
  <c r="B133" i="51" l="1"/>
  <c r="B26" i="62" l="1"/>
  <c r="B117" i="51"/>
  <c r="B31" i="50" l="1"/>
  <c r="D33" i="55" l="1"/>
  <c r="H65" i="50" l="1"/>
  <c r="C42" i="55" l="1"/>
  <c r="C41" i="55"/>
  <c r="C36" i="55"/>
  <c r="C35" i="55"/>
  <c r="F32" i="55"/>
  <c r="E32" i="55"/>
  <c r="D32" i="55"/>
  <c r="F33" i="55" l="1"/>
  <c r="E33" i="55"/>
  <c r="D117" i="51" l="1"/>
  <c r="B119" i="51" s="1"/>
  <c r="D29" i="54" l="1"/>
  <c r="B75" i="50"/>
  <c r="D53" i="52"/>
  <c r="D25" i="54"/>
  <c r="D28" i="54"/>
  <c r="C117" i="51"/>
  <c r="B121" i="51"/>
  <c r="D55" i="52" l="1"/>
  <c r="E24" i="55"/>
  <c r="F24" i="55"/>
  <c r="D24" i="55"/>
  <c r="D17" i="54"/>
  <c r="D56" i="52"/>
  <c r="E54" i="52"/>
  <c r="E56" i="52"/>
  <c r="F56" i="52"/>
  <c r="B115" i="51" l="1"/>
  <c r="E22" i="52"/>
  <c r="D22" i="52"/>
  <c r="E34" i="52" l="1"/>
  <c r="C58" i="55"/>
  <c r="C52" i="55"/>
  <c r="C53" i="55"/>
  <c r="C12" i="56"/>
  <c r="C11" i="56"/>
  <c r="E53" i="52"/>
  <c r="E55" i="52" s="1"/>
  <c r="B76" i="50"/>
  <c r="B86" i="50"/>
  <c r="C49" i="62"/>
  <c r="C47" i="62"/>
  <c r="C46" i="62"/>
  <c r="C44" i="62"/>
  <c r="C40" i="62"/>
  <c r="B52" i="62"/>
  <c r="D7" i="57"/>
  <c r="C43" i="55"/>
  <c r="C38" i="55"/>
  <c r="C37" i="55"/>
  <c r="B84" i="50"/>
  <c r="B83" i="50"/>
  <c r="B73" i="50"/>
  <c r="B72" i="50"/>
  <c r="B112" i="51"/>
  <c r="F32" i="52" l="1"/>
  <c r="F55" i="52"/>
  <c r="F54" i="52"/>
  <c r="F24" i="52"/>
  <c r="F25" i="52"/>
  <c r="F29" i="52"/>
  <c r="F26" i="52"/>
  <c r="F28" i="52"/>
  <c r="F27" i="52"/>
  <c r="F23" i="52"/>
  <c r="F53" i="52"/>
  <c r="F22" i="52"/>
  <c r="B88" i="50"/>
  <c r="B89" i="50"/>
  <c r="B79" i="50"/>
  <c r="B78" i="50"/>
  <c r="F31" i="52" l="1"/>
  <c r="D9" i="54" s="1"/>
  <c r="D12" i="54" s="1"/>
  <c r="D16" i="54" s="1"/>
  <c r="D97" i="51"/>
  <c r="D10" i="54" l="1"/>
  <c r="J158" i="50"/>
  <c r="D14" i="54"/>
  <c r="R18" i="56"/>
  <c r="J18" i="56"/>
  <c r="P18" i="56"/>
  <c r="H18" i="56"/>
  <c r="E18" i="56"/>
  <c r="K18" i="56"/>
  <c r="Q18" i="56"/>
  <c r="I18" i="56"/>
  <c r="T18" i="56"/>
  <c r="D18" i="56"/>
  <c r="S18" i="56"/>
  <c r="O18" i="56"/>
  <c r="G18" i="56"/>
  <c r="N18" i="56"/>
  <c r="F18" i="56"/>
  <c r="M18" i="56"/>
  <c r="L18" i="56"/>
  <c r="C18" i="56"/>
  <c r="D19" i="52"/>
  <c r="D54" i="62"/>
  <c r="D40" i="52"/>
  <c r="C14" i="56" l="1"/>
  <c r="C20" i="56" s="1"/>
  <c r="B136" i="50"/>
  <c r="F15" i="55"/>
  <c r="E15" i="55"/>
  <c r="C26" i="55"/>
  <c r="F23" i="55"/>
  <c r="E23" i="55"/>
  <c r="D23" i="55"/>
  <c r="E40" i="52"/>
  <c r="F40" i="52" s="1"/>
  <c r="D141" i="50"/>
  <c r="B141" i="50" s="1"/>
  <c r="B142" i="50" s="1"/>
  <c r="F25" i="57"/>
  <c r="E25" i="57"/>
  <c r="D25" i="57"/>
  <c r="D185" i="50"/>
  <c r="D184" i="50"/>
  <c r="F183" i="50"/>
  <c r="E183" i="50"/>
  <c r="D183" i="50"/>
  <c r="F16" i="57"/>
  <c r="E16" i="57"/>
  <c r="D16" i="57"/>
  <c r="C9" i="56"/>
  <c r="C59" i="52"/>
  <c r="C58" i="52"/>
  <c r="C57" i="52"/>
  <c r="C46" i="52"/>
  <c r="C45" i="52"/>
  <c r="C44" i="52"/>
  <c r="C43" i="52"/>
  <c r="C42" i="52"/>
  <c r="C41" i="52"/>
  <c r="F7" i="55"/>
  <c r="E7" i="55"/>
  <c r="D7" i="55"/>
  <c r="G91" i="51"/>
  <c r="D8" i="57"/>
  <c r="A4" i="58"/>
  <c r="A2" i="58"/>
  <c r="A4" i="57"/>
  <c r="A2" i="57"/>
  <c r="A4" i="56"/>
  <c r="A2" i="56"/>
  <c r="B151" i="50"/>
  <c r="B137" i="50"/>
  <c r="C142" i="50"/>
  <c r="D164" i="50"/>
  <c r="C145" i="50"/>
  <c r="D151" i="50"/>
  <c r="C169" i="50"/>
  <c r="D15" i="55"/>
  <c r="D8" i="55"/>
  <c r="F8" i="55" s="1"/>
  <c r="A4" i="55"/>
  <c r="A2" i="55"/>
  <c r="A4" i="54"/>
  <c r="A2" i="54"/>
  <c r="A4" i="53"/>
  <c r="A2" i="53"/>
  <c r="A4" i="52"/>
  <c r="A2" i="52"/>
  <c r="A4" i="51"/>
  <c r="A2" i="51"/>
  <c r="A2" i="4"/>
  <c r="A4" i="4"/>
  <c r="A4" i="1"/>
  <c r="D18" i="54" l="1"/>
  <c r="F35" i="54"/>
  <c r="F33" i="54"/>
  <c r="F34" i="54" s="1"/>
  <c r="M7" i="52"/>
  <c r="M10" i="52" s="1"/>
  <c r="J7" i="52"/>
  <c r="J10" i="52" s="1"/>
  <c r="C168" i="50"/>
  <c r="C166" i="50"/>
  <c r="D10" i="52"/>
  <c r="D9" i="57"/>
  <c r="C151" i="50"/>
  <c r="C10" i="56"/>
  <c r="E8" i="55"/>
  <c r="D11" i="55"/>
  <c r="E11" i="55" s="1"/>
  <c r="B138" i="50"/>
  <c r="B98" i="51"/>
  <c r="D98" i="51"/>
  <c r="C98" i="51"/>
  <c r="C144" i="50"/>
  <c r="D99" i="51" l="1"/>
  <c r="C170" i="50"/>
  <c r="D12" i="55"/>
  <c r="D14" i="55"/>
  <c r="E14" i="55"/>
  <c r="F14" i="55"/>
  <c r="F11" i="55"/>
  <c r="B139" i="50" l="1"/>
  <c r="D33" i="52"/>
  <c r="D34" i="52"/>
  <c r="E33" i="52"/>
  <c r="E35" i="52" s="1"/>
  <c r="D13" i="54"/>
  <c r="D15" i="54" s="1"/>
  <c r="G157" i="50"/>
  <c r="G158" i="50" s="1"/>
  <c r="N22" i="56"/>
  <c r="N23" i="56" s="1"/>
  <c r="F22" i="56"/>
  <c r="F23" i="56" s="1"/>
  <c r="M22" i="56"/>
  <c r="M23" i="56" s="1"/>
  <c r="E22" i="56"/>
  <c r="E23" i="56" s="1"/>
  <c r="T22" i="56"/>
  <c r="T23" i="56" s="1"/>
  <c r="L22" i="56"/>
  <c r="L23" i="56" s="1"/>
  <c r="D22" i="56"/>
  <c r="D23" i="56" s="1"/>
  <c r="S22" i="56"/>
  <c r="S23" i="56" s="1"/>
  <c r="K22" i="56"/>
  <c r="K23" i="56" s="1"/>
  <c r="C22" i="56"/>
  <c r="C23" i="56" s="1"/>
  <c r="R22" i="56"/>
  <c r="R23" i="56" s="1"/>
  <c r="J22" i="56"/>
  <c r="J23" i="56" s="1"/>
  <c r="Q22" i="56"/>
  <c r="Q23" i="56" s="1"/>
  <c r="I22" i="56"/>
  <c r="I23" i="56" s="1"/>
  <c r="P22" i="56"/>
  <c r="P23" i="56" s="1"/>
  <c r="H22" i="56"/>
  <c r="H23" i="56" s="1"/>
  <c r="O22" i="56"/>
  <c r="O23" i="56" s="1"/>
  <c r="G22" i="56"/>
  <c r="G23" i="56" s="1"/>
  <c r="C165" i="50"/>
  <c r="D181" i="50"/>
  <c r="D182" i="50"/>
  <c r="F12" i="55"/>
  <c r="E12" i="55"/>
  <c r="C8" i="56"/>
  <c r="D6" i="52"/>
  <c r="E38" i="52" l="1"/>
  <c r="D36" i="54"/>
  <c r="G161" i="50"/>
  <c r="D38" i="52"/>
  <c r="D43" i="52" s="1"/>
  <c r="F157" i="50"/>
  <c r="B159" i="50"/>
  <c r="D159" i="50"/>
  <c r="F156" i="50"/>
  <c r="E36" i="52"/>
  <c r="E37" i="52" s="1"/>
  <c r="D7" i="52"/>
  <c r="D8" i="52"/>
  <c r="J159" i="50" l="1"/>
  <c r="F36" i="54"/>
  <c r="E36" i="54"/>
  <c r="D19" i="54"/>
  <c r="D37" i="54" s="1"/>
  <c r="D38" i="54" s="1"/>
  <c r="D20" i="54"/>
  <c r="D21" i="54" s="1"/>
  <c r="E70" i="52"/>
  <c r="E41" i="52"/>
  <c r="E43" i="52"/>
  <c r="F43" i="52" s="1"/>
  <c r="D41" i="52"/>
  <c r="F161" i="50"/>
  <c r="F162" i="50" s="1"/>
  <c r="F163" i="50" s="1"/>
  <c r="F158" i="50"/>
  <c r="F159" i="50" s="1"/>
  <c r="F164" i="50" s="1"/>
  <c r="D46" i="52"/>
  <c r="G156" i="50"/>
  <c r="F38" i="52"/>
  <c r="D42" i="52"/>
  <c r="E42" i="52"/>
  <c r="D39" i="54" l="1"/>
  <c r="D40" i="54" s="1"/>
  <c r="D22" i="54"/>
  <c r="D23" i="54" s="1"/>
  <c r="E37" i="54"/>
  <c r="F37" i="54" s="1"/>
  <c r="E45" i="52"/>
  <c r="E48" i="52" s="1"/>
  <c r="E46" i="52"/>
  <c r="E44" i="52"/>
  <c r="E47" i="52" s="1"/>
  <c r="F160" i="50"/>
  <c r="F41" i="52"/>
  <c r="D9" i="55" s="1"/>
  <c r="D34" i="55" s="1"/>
  <c r="F42" i="52"/>
  <c r="E9" i="55" s="1"/>
  <c r="E34" i="55" s="1"/>
  <c r="F9" i="55"/>
  <c r="F34" i="55" s="1"/>
  <c r="D45" i="52"/>
  <c r="D44" i="52"/>
  <c r="E38" i="54" l="1"/>
  <c r="E39" i="54" s="1"/>
  <c r="E40" i="54" s="1"/>
  <c r="F46" i="52"/>
  <c r="F10" i="55" s="1"/>
  <c r="E49" i="52"/>
  <c r="E50" i="52"/>
  <c r="E57" i="52" s="1"/>
  <c r="G45" i="52"/>
  <c r="G44" i="52"/>
  <c r="E52" i="52"/>
  <c r="G46" i="52"/>
  <c r="E51" i="52"/>
  <c r="E58" i="52" s="1"/>
  <c r="F44" i="52"/>
  <c r="D10" i="55" s="1"/>
  <c r="F33" i="52"/>
  <c r="G162" i="50"/>
  <c r="G163" i="50" s="1"/>
  <c r="D172" i="50"/>
  <c r="F45" i="52"/>
  <c r="E10" i="55" s="1"/>
  <c r="F34" i="52" l="1"/>
  <c r="D35" i="52"/>
  <c r="F38" i="54"/>
  <c r="F39" i="54" s="1"/>
  <c r="F40" i="54" s="1"/>
  <c r="E59" i="52"/>
  <c r="E64" i="52"/>
  <c r="E63" i="52"/>
  <c r="E65" i="52"/>
  <c r="G159" i="50"/>
  <c r="D13" i="55"/>
  <c r="E13" i="55"/>
  <c r="F13" i="55"/>
  <c r="D173" i="50"/>
  <c r="D64" i="52" l="1"/>
  <c r="D67" i="52" s="1"/>
  <c r="D57" i="52"/>
  <c r="D62" i="52"/>
  <c r="D61" i="52"/>
  <c r="D60" i="52"/>
  <c r="F60" i="52" s="1"/>
  <c r="I20" i="56"/>
  <c r="L19" i="56"/>
  <c r="L21" i="56" s="1"/>
  <c r="L24" i="56" s="1"/>
  <c r="L25" i="56" s="1"/>
  <c r="G20" i="56"/>
  <c r="J19" i="56"/>
  <c r="J21" i="56" s="1"/>
  <c r="J24" i="56" s="1"/>
  <c r="J25" i="56" s="1"/>
  <c r="T20" i="56"/>
  <c r="D20" i="56"/>
  <c r="I19" i="56"/>
  <c r="I21" i="56" s="1"/>
  <c r="I24" i="56" s="1"/>
  <c r="I25" i="56" s="1"/>
  <c r="Q20" i="56"/>
  <c r="T19" i="56"/>
  <c r="T21" i="56" s="1"/>
  <c r="T24" i="56" s="1"/>
  <c r="T25" i="56" s="1"/>
  <c r="D19" i="56"/>
  <c r="H20" i="56"/>
  <c r="K19" i="56"/>
  <c r="K21" i="56" s="1"/>
  <c r="K24" i="56" s="1"/>
  <c r="K25" i="56" s="1"/>
  <c r="P20" i="56"/>
  <c r="S19" i="56"/>
  <c r="S21" i="56" s="1"/>
  <c r="S24" i="56" s="1"/>
  <c r="S25" i="56" s="1"/>
  <c r="C19" i="56"/>
  <c r="C21" i="56" s="1"/>
  <c r="C24" i="56" s="1"/>
  <c r="O20" i="56"/>
  <c r="R19" i="56"/>
  <c r="R21" i="56" s="1"/>
  <c r="R24" i="56" s="1"/>
  <c r="R25" i="56" s="1"/>
  <c r="L20" i="56"/>
  <c r="Q19" i="56"/>
  <c r="Q21" i="56" s="1"/>
  <c r="Q24" i="56" s="1"/>
  <c r="Q25" i="56" s="1"/>
  <c r="G19" i="56"/>
  <c r="E20" i="56"/>
  <c r="R20" i="56"/>
  <c r="M20" i="56"/>
  <c r="F20" i="56"/>
  <c r="E19" i="56"/>
  <c r="N20" i="56"/>
  <c r="F19" i="56"/>
  <c r="F21" i="56" s="1"/>
  <c r="F24" i="56" s="1"/>
  <c r="F25" i="56" s="1"/>
  <c r="N19" i="56"/>
  <c r="N21" i="56" s="1"/>
  <c r="N24" i="56" s="1"/>
  <c r="N25" i="56" s="1"/>
  <c r="M19" i="56"/>
  <c r="M21" i="56" s="1"/>
  <c r="M24" i="56" s="1"/>
  <c r="M25" i="56" s="1"/>
  <c r="H19" i="56"/>
  <c r="H21" i="56" s="1"/>
  <c r="H24" i="56" s="1"/>
  <c r="H25" i="56" s="1"/>
  <c r="K20" i="56"/>
  <c r="O19" i="56"/>
  <c r="O21" i="56" s="1"/>
  <c r="O24" i="56" s="1"/>
  <c r="O25" i="56" s="1"/>
  <c r="S20" i="56"/>
  <c r="P19" i="56"/>
  <c r="P21" i="56" s="1"/>
  <c r="P24" i="56" s="1"/>
  <c r="P25" i="56" s="1"/>
  <c r="J20" i="56"/>
  <c r="D63" i="52"/>
  <c r="D66" i="52" s="1"/>
  <c r="D65" i="52"/>
  <c r="D68" i="52" s="1"/>
  <c r="D59" i="52"/>
  <c r="D58" i="52"/>
  <c r="F58" i="52" s="1"/>
  <c r="D70" i="52"/>
  <c r="G164" i="50"/>
  <c r="G160" i="50"/>
  <c r="F35" i="52"/>
  <c r="D16" i="55" s="1"/>
  <c r="E16" i="55" s="1"/>
  <c r="D174" i="50"/>
  <c r="E174" i="50" s="1"/>
  <c r="D178" i="50" s="1"/>
  <c r="B61" i="50" s="1"/>
  <c r="E173" i="50"/>
  <c r="G21" i="56" l="1"/>
  <c r="G24" i="56" s="1"/>
  <c r="G25" i="56" s="1"/>
  <c r="E21" i="56"/>
  <c r="E24" i="56" s="1"/>
  <c r="E25" i="56" s="1"/>
  <c r="D21" i="56"/>
  <c r="D24" i="56" s="1"/>
  <c r="D25" i="56" s="1"/>
  <c r="F57" i="52"/>
  <c r="F62" i="52"/>
  <c r="F61" i="52"/>
  <c r="F70" i="52"/>
  <c r="F59" i="52"/>
  <c r="F66" i="52"/>
  <c r="D38" i="57" s="1"/>
  <c r="F63" i="52"/>
  <c r="D34" i="57" s="1"/>
  <c r="F67" i="52"/>
  <c r="E38" i="57" s="1"/>
  <c r="F64" i="52"/>
  <c r="F68" i="52"/>
  <c r="F38" i="57" s="1"/>
  <c r="F65" i="52"/>
  <c r="F34" i="57" s="1"/>
  <c r="F16" i="55"/>
  <c r="G70" i="52" l="1"/>
  <c r="H70" i="52" s="1"/>
  <c r="C25" i="56"/>
  <c r="C26" i="56" s="1"/>
  <c r="D18" i="57"/>
  <c r="E34" i="57"/>
  <c r="E35" i="57" s="1"/>
  <c r="F22" i="57"/>
  <c r="F42" i="55" s="1"/>
  <c r="E22" i="57"/>
  <c r="D22" i="57"/>
  <c r="D42" i="55" s="1"/>
  <c r="H84" i="50" s="1"/>
  <c r="F18" i="57"/>
  <c r="F19" i="57" s="1"/>
  <c r="E18" i="57"/>
  <c r="E19" i="57" s="1"/>
  <c r="F35" i="57"/>
  <c r="D35" i="57"/>
  <c r="D37" i="57" s="1"/>
  <c r="H66" i="50" l="1"/>
  <c r="C32" i="56"/>
  <c r="F31" i="54" s="1"/>
  <c r="D19" i="57"/>
  <c r="D21" i="57" s="1"/>
  <c r="D23" i="57" s="1"/>
  <c r="E42" i="55"/>
  <c r="J84" i="50" s="1"/>
  <c r="J89" i="50" s="1"/>
  <c r="L84" i="50"/>
  <c r="L89" i="50" s="1"/>
  <c r="D17" i="55"/>
  <c r="D41" i="55" s="1"/>
  <c r="D45" i="55"/>
  <c r="F21" i="57"/>
  <c r="E21" i="57"/>
  <c r="F17" i="55"/>
  <c r="F41" i="55" s="1"/>
  <c r="E17" i="55"/>
  <c r="E41" i="55" s="1"/>
  <c r="E36" i="57"/>
  <c r="E50" i="55" s="1"/>
  <c r="E37" i="57"/>
  <c r="E39" i="57" s="1"/>
  <c r="E51" i="55" s="1"/>
  <c r="D36" i="57"/>
  <c r="D50" i="55" s="1"/>
  <c r="F36" i="57"/>
  <c r="F50" i="55" s="1"/>
  <c r="F37" i="57"/>
  <c r="F39" i="57" s="1"/>
  <c r="F51" i="55" s="1"/>
  <c r="F19" i="55"/>
  <c r="E19" i="55"/>
  <c r="E20" i="57"/>
  <c r="F20" i="57"/>
  <c r="F41" i="54" l="1"/>
  <c r="F42" i="54" s="1"/>
  <c r="F43" i="54" s="1"/>
  <c r="F26" i="57" s="1"/>
  <c r="D31" i="54"/>
  <c r="D41" i="54" s="1"/>
  <c r="E31" i="54"/>
  <c r="D19" i="55"/>
  <c r="D20" i="57"/>
  <c r="D20" i="55" s="1"/>
  <c r="D21" i="55"/>
  <c r="E21" i="55" s="1"/>
  <c r="D18" i="55"/>
  <c r="D36" i="55"/>
  <c r="D39" i="57"/>
  <c r="D51" i="55" s="1"/>
  <c r="J83" i="50"/>
  <c r="E23" i="57"/>
  <c r="E36" i="55" s="1"/>
  <c r="F23" i="57"/>
  <c r="F36" i="55" s="1"/>
  <c r="F20" i="55"/>
  <c r="E20" i="55"/>
  <c r="L83" i="50"/>
  <c r="H83" i="50"/>
  <c r="E41" i="54" l="1"/>
  <c r="E42" i="54" s="1"/>
  <c r="E43" i="54" s="1"/>
  <c r="E26" i="57" s="1"/>
  <c r="E26" i="55" s="1"/>
  <c r="E43" i="55" s="1"/>
  <c r="D42" i="54"/>
  <c r="D43" i="54" s="1"/>
  <c r="D35" i="55"/>
  <c r="F21" i="55"/>
  <c r="H73" i="50"/>
  <c r="F18" i="55"/>
  <c r="E18" i="55"/>
  <c r="E35" i="55"/>
  <c r="F35" i="55"/>
  <c r="D26" i="57" l="1"/>
  <c r="D26" i="55" s="1"/>
  <c r="H89" i="50"/>
  <c r="E30" i="62" s="1"/>
  <c r="E45" i="55"/>
  <c r="L73" i="50"/>
  <c r="F45" i="55"/>
  <c r="H72" i="50"/>
  <c r="J72" i="50"/>
  <c r="L72" i="50"/>
  <c r="E27" i="57"/>
  <c r="E28" i="57" s="1"/>
  <c r="E29" i="55" s="1"/>
  <c r="E44" i="55"/>
  <c r="J86" i="50"/>
  <c r="D27" i="57" l="1"/>
  <c r="D29" i="57" s="1"/>
  <c r="D27" i="55" s="1"/>
  <c r="D43" i="55"/>
  <c r="F26" i="55"/>
  <c r="F43" i="55" s="1"/>
  <c r="J73" i="50"/>
  <c r="J88" i="50"/>
  <c r="E37" i="55"/>
  <c r="E28" i="55"/>
  <c r="E29" i="57"/>
  <c r="E27" i="55" s="1"/>
  <c r="E38" i="55" s="1"/>
  <c r="F27" i="57"/>
  <c r="F29" i="57" s="1"/>
  <c r="F27" i="55" s="1"/>
  <c r="F38" i="55" s="1"/>
  <c r="L86" i="50" l="1"/>
  <c r="D28" i="55"/>
  <c r="D28" i="57"/>
  <c r="D29" i="55" s="1"/>
  <c r="F44" i="55"/>
  <c r="F28" i="57"/>
  <c r="F29" i="55" s="1"/>
  <c r="E40" i="55"/>
  <c r="L76" i="50"/>
  <c r="J75" i="50"/>
  <c r="E39" i="55"/>
  <c r="J76" i="50"/>
  <c r="F40" i="55"/>
  <c r="F28" i="55"/>
  <c r="D38" i="55"/>
  <c r="L88" i="50" l="1"/>
  <c r="D37" i="55"/>
  <c r="D40" i="55"/>
  <c r="J79" i="50"/>
  <c r="J78" i="50"/>
  <c r="L79" i="50"/>
  <c r="H86" i="50"/>
  <c r="D44" i="55"/>
  <c r="F37" i="55"/>
  <c r="H76" i="50"/>
  <c r="H75" i="50" l="1"/>
  <c r="E47" i="62" s="1"/>
  <c r="D39" i="55"/>
  <c r="E44" i="62"/>
  <c r="L75" i="50"/>
  <c r="H88" i="50"/>
  <c r="E28" i="62" s="1"/>
  <c r="F39" i="55"/>
  <c r="E49" i="62"/>
  <c r="H79" i="50"/>
  <c r="E38" i="62" s="1"/>
  <c r="H78" i="50" l="1"/>
  <c r="E36" i="62" s="1"/>
  <c r="L78" i="50"/>
</calcChain>
</file>

<file path=xl/comments1.xml><?xml version="1.0" encoding="utf-8"?>
<comments xmlns="http://schemas.openxmlformats.org/spreadsheetml/2006/main">
  <authors>
    <author>Michael Crabtree</author>
    <author>Jeanette.Johnson</author>
    <author>Ashara Peiris</author>
    <author>mara</author>
    <author>Brian Allan</author>
  </authors>
  <commentList>
    <comment ref="K29" authorId="0" shapeId="0">
      <text>
        <r>
          <rPr>
            <sz val="9"/>
            <color indexed="81"/>
            <rFont val="Tahoma"/>
            <family val="2"/>
          </rPr>
          <t>This should be the "date of joining" shown on your annual benefit statement. We use this to calculate your service to retirement.</t>
        </r>
      </text>
    </comment>
    <comment ref="K31" authorId="0" shapeId="0">
      <text>
        <r>
          <rPr>
            <sz val="9"/>
            <color indexed="81"/>
            <rFont val="Tahoma"/>
            <family val="2"/>
          </rPr>
          <t xml:space="preserve">If appropriate, choose the section of the scheme you were a member of on 31 March 2015. 
</t>
        </r>
      </text>
    </comment>
    <comment ref="K35" authorId="0" shapeId="0">
      <text>
        <r>
          <rPr>
            <sz val="9"/>
            <color indexed="81"/>
            <rFont val="Tahoma"/>
            <family val="2"/>
          </rPr>
          <t>This input only refers to service  r transferred in to the 1995 or 2008 Sections.</t>
        </r>
      </text>
    </comment>
    <comment ref="M44" authorId="0" shapeId="0">
      <text>
        <r>
          <rPr>
            <sz val="9"/>
            <color indexed="81"/>
            <rFont val="Tahoma"/>
            <family val="2"/>
          </rPr>
          <t>See your annual benefit statement for this information. Also include any transferred-in CARE benefit here.</t>
        </r>
      </text>
    </comment>
    <comment ref="K46" authorId="0" shapeId="0">
      <text>
        <r>
          <rPr>
            <sz val="9"/>
            <color indexed="81"/>
            <rFont val="Tahoma"/>
            <family val="2"/>
          </rPr>
          <t>Use this to input any date at which you wish to see your estimated retirement benefits.</t>
        </r>
      </text>
    </comment>
    <comment ref="K48" authorId="0" shapeId="0">
      <text>
        <r>
          <rPr>
            <sz val="9"/>
            <color indexed="81"/>
            <rFont val="Tahoma"/>
            <family val="2"/>
          </rPr>
          <t>Please select "some part-time" if you currently work part time, if you have worked part time at some point during your career or if you have taken a career break at some point in your career</t>
        </r>
      </text>
    </comment>
    <comment ref="K50" authorId="0" shapeId="0">
      <text>
        <r>
          <rPr>
            <sz val="9"/>
            <color indexed="81"/>
            <rFont val="Tahoma"/>
            <family val="2"/>
          </rPr>
          <t xml:space="preserve">Please input the hours you currently work per week as a percentage of full-time hours. If you currently work full-time, please input 100%.
</t>
        </r>
      </text>
    </comment>
    <comment ref="K56" authorId="0" shapeId="0">
      <text>
        <r>
          <rPr>
            <sz val="9"/>
            <color indexed="81"/>
            <rFont val="Tahoma"/>
            <family val="2"/>
          </rPr>
          <t>Please include transferred-in service in this reckonable service.</t>
        </r>
      </text>
    </comment>
    <comment ref="B156" authorId="1" shapeId="0">
      <text>
        <r>
          <rPr>
            <b/>
            <sz val="9"/>
            <color indexed="81"/>
            <rFont val="Tahoma"/>
            <family val="2"/>
          </rPr>
          <t>Jeanette.Johnson:</t>
        </r>
        <r>
          <rPr>
            <sz val="9"/>
            <color indexed="81"/>
            <rFont val="Tahoma"/>
            <family val="2"/>
          </rPr>
          <t xml:space="preserve">
JJ updated to reflect SC members</t>
        </r>
      </text>
    </comment>
    <comment ref="F157" authorId="2" shapeId="0">
      <text>
        <r>
          <rPr>
            <b/>
            <sz val="9"/>
            <color indexed="81"/>
            <rFont val="Tahoma"/>
            <family val="2"/>
          </rPr>
          <t>Ashara Peiris:</t>
        </r>
        <r>
          <rPr>
            <sz val="9"/>
            <color indexed="81"/>
            <rFont val="Tahoma"/>
            <family val="2"/>
          </rPr>
          <t xml:space="preserve">
if 2015 scheme doesn't work properly but OK</t>
        </r>
      </text>
    </comment>
    <comment ref="G159" authorId="2" shapeId="0">
      <text>
        <r>
          <rPr>
            <b/>
            <sz val="9"/>
            <color indexed="81"/>
            <rFont val="Tahoma"/>
            <family val="2"/>
          </rPr>
          <t>Ashara Peiris:</t>
        </r>
        <r>
          <rPr>
            <sz val="9"/>
            <color indexed="81"/>
            <rFont val="Tahoma"/>
            <family val="2"/>
          </rPr>
          <t xml:space="preserve">
if fully protected then gives error, OK</t>
        </r>
      </text>
    </comment>
    <comment ref="D164" authorId="3" shapeId="0">
      <text>
        <r>
          <rPr>
            <b/>
            <sz val="9"/>
            <color indexed="81"/>
            <rFont val="Tahoma"/>
            <family val="2"/>
          </rPr>
          <t>mara:</t>
        </r>
        <r>
          <rPr>
            <sz val="9"/>
            <color indexed="81"/>
            <rFont val="Tahoma"/>
            <family val="2"/>
          </rPr>
          <t xml:space="preserve">
this date includes transfer in service.</t>
        </r>
      </text>
    </comment>
    <comment ref="B195" authorId="4" shapeId="0">
      <text>
        <r>
          <rPr>
            <b/>
            <sz val="9"/>
            <color indexed="81"/>
            <rFont val="Tahoma"/>
            <family val="2"/>
          </rPr>
          <t>Brian Allan:</t>
        </r>
        <r>
          <rPr>
            <sz val="9"/>
            <color indexed="81"/>
            <rFont val="Tahoma"/>
            <family val="2"/>
          </rPr>
          <t xml:space="preserve">
updated max to 65 to reflect Peter Spreadbury email 14Aug2012</t>
        </r>
      </text>
    </comment>
    <comment ref="B196" authorId="4" shapeId="0">
      <text>
        <r>
          <rPr>
            <b/>
            <sz val="9"/>
            <color indexed="81"/>
            <rFont val="Tahoma"/>
            <family val="2"/>
          </rPr>
          <t>Brian Allan:</t>
        </r>
        <r>
          <rPr>
            <sz val="9"/>
            <color indexed="81"/>
            <rFont val="Tahoma"/>
            <family val="2"/>
          </rPr>
          <t xml:space="preserve">
updated max to 65 to reflect Peter Spreadbury email 14Aug2012</t>
        </r>
      </text>
    </comment>
  </commentList>
</comments>
</file>

<file path=xl/comments2.xml><?xml version="1.0" encoding="utf-8"?>
<comments xmlns="http://schemas.openxmlformats.org/spreadsheetml/2006/main">
  <authors>
    <author>Ashara Peiris</author>
  </authors>
  <commentList>
    <comment ref="F22" authorId="0" shapeId="0">
      <text>
        <r>
          <rPr>
            <b/>
            <sz val="9"/>
            <color indexed="81"/>
            <rFont val="Tahoma"/>
            <family val="2"/>
          </rPr>
          <t>Ashara Peiris:</t>
        </r>
        <r>
          <rPr>
            <sz val="9"/>
            <color indexed="81"/>
            <rFont val="Tahoma"/>
            <family val="2"/>
          </rPr>
          <t xml:space="preserve">
Doesn't actually rely on whether PPS or NPPS</t>
        </r>
      </text>
    </comment>
    <comment ref="D33" authorId="0" shapeId="0">
      <text>
        <r>
          <rPr>
            <b/>
            <sz val="9"/>
            <color indexed="81"/>
            <rFont val="Tahoma"/>
            <family val="2"/>
          </rPr>
          <t>Ashara Peiris:</t>
        </r>
        <r>
          <rPr>
            <sz val="9"/>
            <color indexed="81"/>
            <rFont val="Tahoma"/>
            <family val="2"/>
          </rPr>
          <t xml:space="preserve">
If part time then service
= Past reck service + 
service to protection end date *PTP</t>
        </r>
      </text>
    </comment>
    <comment ref="D34" authorId="0" shapeId="0">
      <text>
        <r>
          <rPr>
            <b/>
            <sz val="9"/>
            <color indexed="81"/>
            <rFont val="Tahoma"/>
            <family val="2"/>
          </rPr>
          <t>Ashara Peiris:</t>
        </r>
        <r>
          <rPr>
            <sz val="9"/>
            <color indexed="81"/>
            <rFont val="Tahoma"/>
            <family val="2"/>
          </rPr>
          <t xml:space="preserve">
If part time then service
= Past reck service + 
service to DOR *PTP</t>
        </r>
      </text>
    </comment>
    <comment ref="G44" authorId="0" shapeId="0">
      <text>
        <r>
          <rPr>
            <b/>
            <sz val="9"/>
            <color indexed="81"/>
            <rFont val="Tahoma"/>
            <family val="2"/>
          </rPr>
          <t>Ashara Peiris:</t>
        </r>
        <r>
          <rPr>
            <sz val="9"/>
            <color indexed="81"/>
            <rFont val="Tahoma"/>
            <family val="2"/>
          </rPr>
          <t xml:space="preserve">
Use these ratios to calculate the nominal pension as ratio will be the same</t>
        </r>
      </text>
    </comment>
    <comment ref="B47" authorId="0" shapeId="0">
      <text>
        <r>
          <rPr>
            <b/>
            <sz val="9"/>
            <color indexed="81"/>
            <rFont val="Tahoma"/>
            <family val="2"/>
          </rPr>
          <t>Ashara Peiris:</t>
        </r>
        <r>
          <rPr>
            <sz val="9"/>
            <color indexed="81"/>
            <rFont val="Tahoma"/>
            <family val="2"/>
          </rPr>
          <t xml:space="preserve">
Pre ERF and LRF</t>
        </r>
      </text>
    </comment>
    <comment ref="B63" authorId="0" shapeId="0">
      <text>
        <r>
          <rPr>
            <b/>
            <sz val="9"/>
            <color indexed="81"/>
            <rFont val="Tahoma"/>
            <family val="2"/>
          </rPr>
          <t>Ashara Peiris:</t>
        </r>
        <r>
          <rPr>
            <sz val="9"/>
            <color indexed="81"/>
            <rFont val="Tahoma"/>
            <family val="2"/>
          </rPr>
          <t xml:space="preserve">
No discounting, just ninal figures</t>
        </r>
      </text>
    </comment>
  </commentList>
</comments>
</file>

<file path=xl/sharedStrings.xml><?xml version="1.0" encoding="utf-8"?>
<sst xmlns="http://schemas.openxmlformats.org/spreadsheetml/2006/main" count="1107" uniqueCount="795">
  <si>
    <t>Version Control</t>
  </si>
  <si>
    <t>Version number</t>
  </si>
  <si>
    <t>Date</t>
  </si>
  <si>
    <t>Comments</t>
  </si>
  <si>
    <t>Sheet</t>
  </si>
  <si>
    <t>Description</t>
  </si>
  <si>
    <t>Checked by</t>
  </si>
  <si>
    <t>Internal or external documents based on this version</t>
  </si>
  <si>
    <t>Paper file</t>
  </si>
  <si>
    <t>eBis code</t>
  </si>
  <si>
    <t>Author or Editor</t>
  </si>
  <si>
    <t>Specification</t>
  </si>
  <si>
    <t>User instructions</t>
  </si>
  <si>
    <t>Explanation</t>
  </si>
  <si>
    <t>1_1</t>
  </si>
  <si>
    <t>External links checked?</t>
  </si>
  <si>
    <t>External links: Links from other workbooks to this workbook</t>
  </si>
  <si>
    <t>&gt; Enter hyperlinks to workbooks here</t>
  </si>
  <si>
    <t>&gt; If necessary, enter instructions on how other users should use or update this workbook here.  Include warnings in particular if the spreadsheet requires Goal Seek or Macros to be rerun if the any of the inputs are changed.</t>
  </si>
  <si>
    <t>Government Actuary's Department</t>
  </si>
  <si>
    <t>Cover</t>
  </si>
  <si>
    <t>Legend</t>
  </si>
  <si>
    <t>Black text</t>
  </si>
  <si>
    <t>Blue text</t>
  </si>
  <si>
    <t>Pink text</t>
  </si>
  <si>
    <t>Grey text</t>
  </si>
  <si>
    <t>Green text</t>
  </si>
  <si>
    <t>Red text</t>
  </si>
  <si>
    <t>Orange background</t>
  </si>
  <si>
    <t>Turquoise background</t>
  </si>
  <si>
    <t>Input data</t>
  </si>
  <si>
    <t>Links from another cell within this workbook</t>
  </si>
  <si>
    <t>Calculations</t>
  </si>
  <si>
    <t>Checks</t>
  </si>
  <si>
    <t>Linked upwards to other workbooks</t>
  </si>
  <si>
    <t>Quoted in external advice</t>
  </si>
  <si>
    <t>File pathname</t>
  </si>
  <si>
    <t>Assumptions</t>
  </si>
  <si>
    <t>Links from another (external) workbook</t>
  </si>
  <si>
    <t>&gt; Enter a brief description of what each sheet actually does here</t>
  </si>
  <si>
    <t>Material assumptions</t>
  </si>
  <si>
    <t>List of workbooks which link into this workbook (nb workbooks which this workbook links to can be viewed by selecting Data&gt;Edit Links):</t>
  </si>
  <si>
    <t xml:space="preserve">Security classification </t>
  </si>
  <si>
    <t>Descriptor</t>
  </si>
  <si>
    <t>UNCLASSIFIED</t>
  </si>
  <si>
    <t>PROTECT</t>
  </si>
  <si>
    <t>RESTRICTED</t>
  </si>
  <si>
    <t>CONFIDENTIAL</t>
  </si>
  <si>
    <t>&lt;No Descriptor&gt;</t>
  </si>
  <si>
    <t>COMMERCIAL in CONFIDENCE</t>
  </si>
  <si>
    <t>CONTRACTS</t>
  </si>
  <si>
    <t>MANAGEMENT</t>
  </si>
  <si>
    <t>PERSONAL</t>
  </si>
  <si>
    <t>POLICY</t>
  </si>
  <si>
    <t>SCHEME MANAGEMENT</t>
  </si>
  <si>
    <t>STAFF</t>
  </si>
  <si>
    <t>&gt; Enter a brief description of any material implicit assumptions used within the workbook (explicit assumptions can be identified by their pink colouring as below)</t>
  </si>
  <si>
    <t>K:\a2clients\Police Pensions\0140-00972 Home Office Police\Cost Ceiling\Pension estimator\[Pension calculator v0.01.xlsm]Version control</t>
  </si>
  <si>
    <t>Michael Crabtree</t>
  </si>
  <si>
    <t>Current schemes</t>
  </si>
  <si>
    <t>Accrual rates</t>
  </si>
  <si>
    <t>CARE</t>
  </si>
  <si>
    <t>Date of Birth</t>
  </si>
  <si>
    <t>Date of end of protection</t>
  </si>
  <si>
    <t>From</t>
  </si>
  <si>
    <t>To</t>
  </si>
  <si>
    <t>years</t>
  </si>
  <si>
    <t>Source:</t>
  </si>
  <si>
    <t>Days in the year</t>
  </si>
  <si>
    <t>days</t>
  </si>
  <si>
    <t>CARE scheme start date</t>
  </si>
  <si>
    <t>months</t>
  </si>
  <si>
    <t>Protection</t>
  </si>
  <si>
    <t>SPA</t>
  </si>
  <si>
    <t>State pension age (CARE only)</t>
  </si>
  <si>
    <t>DoB</t>
  </si>
  <si>
    <t>Protection date</t>
  </si>
  <si>
    <t>Parameters</t>
  </si>
  <si>
    <t>Tapers</t>
  </si>
  <si>
    <t>CARE calcs</t>
  </si>
  <si>
    <t>Protection end date</t>
  </si>
  <si>
    <t>Current scheme</t>
  </si>
  <si>
    <t>Diagnostic summary sheet</t>
  </si>
  <si>
    <t>Chosen retirement date</t>
  </si>
  <si>
    <t>Total service until protection date</t>
  </si>
  <si>
    <t>K:\a2clients\Police Pensions\0140-00972 Home Office Police\Cost Ceiling\Pension estimator\[Pension calculator v0.02.xlsm]Version control</t>
  </si>
  <si>
    <t>Age at protection date</t>
  </si>
  <si>
    <t>Results used</t>
  </si>
  <si>
    <t>K:\a2clients\Police Pensions\0140-00972 Home Office Police\Cost Ceiling\Pension estimator\[Pension calculator v0.03.xlsm]Version control</t>
  </si>
  <si>
    <t>Service at protection date</t>
  </si>
  <si>
    <t>This aims to give an estimate of a police officer's pension at different retirement ages</t>
  </si>
  <si>
    <t>Brian Allan</t>
  </si>
  <si>
    <t>Comments on input output and first stage of PPS/NPPS calcs in my email of 16 Aug 2012 15:30</t>
  </si>
  <si>
    <t>Comments on whole calculator:
pension at retirement continuing in current scheme missing
CARE ERFs incorrect and formula I supplied for CARE does not work for deferred benefits at SPA.
Some tidying of the sheet</t>
  </si>
  <si>
    <t>Pension at retirement ignoring reform missing from output sheet
CARE  formula I supplied for CARE needs a correction which then allows simplification
More results needed on Summary sheet.</t>
  </si>
  <si>
    <t>Yes: Link in Parameters sheet correct</t>
  </si>
  <si>
    <t>K:\a2clients\Police Pensions\0140-00972 Home Office Police\Cost Ceiling\Pension estimator\[Pension calculator v0.04.xlsm]Version control</t>
  </si>
  <si>
    <t>Service</t>
  </si>
  <si>
    <t>Date of retirement</t>
  </si>
  <si>
    <t>Age at retirement</t>
  </si>
  <si>
    <t>Accrual rate</t>
  </si>
  <si>
    <t>Produced inputs / outputs sheet that will be visible to clients and set up calcs for tapering</t>
  </si>
  <si>
    <t>Created subsections for calculating service period and benefits in current and new schemes, noting need to separate them for those retiring before and after protection date, and made a start on producing summary sheet</t>
  </si>
  <si>
    <t>Produced further calcs to look at results if there was no reform and added deferred benefit calcs available at SPA for PPS members who retire before age 55</t>
  </si>
  <si>
    <t>Added results looking at benefits under no reform in outputs, made a correction to new scheme pension formula and put more information in the summary sheet</t>
  </si>
  <si>
    <t>Summary sheet has:
incorrect reference for expected retirement date of retirement and age at retirement
needs service to retirement for NO REFORM
Amended some labelling in PPS and NPPS Calcs</t>
  </si>
  <si>
    <t>K:\a2clients\Police Pensions\0140-00972 Home Office Police\Cost Ceiling\Pension estimator\[Pension calculator v0.05.xlsm]Version control</t>
  </si>
  <si>
    <t>Made further additions and checks to summary sheet in regards to the no reform results and amended cell references</t>
  </si>
  <si>
    <t>Checked and agreed</t>
  </si>
  <si>
    <t>K:\a2clients\Police Pensions\0140-00972 Home Office Police\Cost Ceiling\Pension estimator\[Pension calculator v0.06.xlsm]Version control</t>
  </si>
  <si>
    <t>Age</t>
  </si>
  <si>
    <t>Amended calcs for PPS pensions (to take account of double accrual and limit maximum), updated ERFs to be inputs instead of links and added LRFs for retirement beyond 60</t>
  </si>
  <si>
    <t>Brian Allan 
Sam Watts</t>
  </si>
  <si>
    <t>Max service not applied correctly in benefit calculations or summary accrual calc.
ERFs+LRFs not calculated geometrically (required as compounding) and LRFs not applied correctly. The ERF LRF should be rounded to a single common factor.</t>
  </si>
  <si>
    <t>\\Gad-a2\a2data\a2clients\Police Pensions\0140-00972 Home Office Police\Cost Ceiling\Pension estimator\Pension calculator v0.07.xlsm</t>
  </si>
  <si>
    <t>Mara</t>
  </si>
  <si>
    <t>Reasonableness of inputs - need validation entries to prevent silly entries</t>
  </si>
  <si>
    <t>DOB</t>
  </si>
  <si>
    <t>not allowed after 2015 minus 18</t>
  </si>
  <si>
    <t>DJS</t>
  </si>
  <si>
    <t>not allowed before age 18</t>
  </si>
  <si>
    <t>not allowed after 2015</t>
  </si>
  <si>
    <t>Current pen sal</t>
  </si>
  <si>
    <t>Min 23000, max 140000</t>
  </si>
  <si>
    <t>Ret age</t>
  </si>
  <si>
    <t>sensible versus the PPS closure date? i.e. can't be a post 6/4/2006 joiner in PPS</t>
  </si>
  <si>
    <t>Reckonable service granted for TVIN</t>
  </si>
  <si>
    <t>Check versus age at joining scheme and time prior to this but after age 16</t>
  </si>
  <si>
    <t>min</t>
  </si>
  <si>
    <t>max</t>
  </si>
  <si>
    <t>Retirement age</t>
  </si>
  <si>
    <t>reach 55 years</t>
  </si>
  <si>
    <t>reach 50 years</t>
  </si>
  <si>
    <t>Retirement date</t>
  </si>
  <si>
    <t>Do not delete - calculator validation</t>
  </si>
  <si>
    <t>Age in</t>
  </si>
  <si>
    <t>Included validation, basically message boxes to warn when entries may look incorrect.</t>
  </si>
  <si>
    <t xml:space="preserve">• As asked the checks mostly sequence down the list of inputs, but I still want the tool to reject inputs for the case of someone joining the PPS after 6/4/2006. Can you experiment further with putting this into either or both of the DJS and choice of scheme inputs. At the moment the validation allows you to select PPS except when your DoB implies you would have been too young to join earlier than or at 6/4/2006.
• I like your date precise calculations, but I think C64 should have 25 not 22 in the formula
• Please include transfer in service in your calculations of min PPS retirement age.
</t>
  </si>
  <si>
    <t>Pension calculator v0.08.xlsm</t>
  </si>
  <si>
    <t xml:space="preserve">Mara </t>
  </si>
  <si>
    <t>Amended in accordance with Brian's comments.</t>
  </si>
  <si>
    <t>DJS adjusted for TVIN service</t>
  </si>
  <si>
    <t>Checked changes and made following change:
used the date function to adjust DJS for TV in service to determine range of possible retirement ages</t>
  </si>
  <si>
    <t>Deferred pension decreases (CARE only)</t>
  </si>
  <si>
    <t>Maximum service (years)</t>
  </si>
  <si>
    <t>Changed ERF and LRF factors to be the same, amended accrual formula in summary to take account of maximum service and added an uplift applicable to NPPS members who joined before the NPPS scheme started</t>
  </si>
  <si>
    <t>Checked.
Agree ERF/LRF, summary, PPS max service changes
PPS-&gt;NPPS transfer uplift calcs need to reflect transfer assumed on 6/4/2006, cap on service lookup, correct service lookup column</t>
  </si>
  <si>
    <t>K:\a2clients\Police Pensions\0140-00972 Home Office Police\Cost Ceiling\Pension estimator\[Pension calculator v0.10.xlsm]Version control</t>
  </si>
  <si>
    <t>K:\a2clients\Police Pensions\0140-00972 Home Office Police\Cost Ceiling\Pension estimator\[Pension calculator v0.09.xlsm]Version control</t>
  </si>
  <si>
    <t>Amended uplift formula to take account of NPPS start date for service period, removed circular reference and added a new calc for PPS members choosing to retire before age 55 who want new scheme benefits at 55</t>
  </si>
  <si>
    <t>K:\a2clients\Police Pensions\0140-00972 Home Office Police\Cost Ceiling\Pension estimator\[Pension calculator v0.11.xlsm]Version control</t>
  </si>
  <si>
    <t>Amended years used to apply ERF, added another derefferd pension case for those under 55 and updated summary</t>
  </si>
  <si>
    <t>Checked and agreed the PPS-&gt;NPPS changes.
However the deferred at 55 CARE pension introduced for the HO Q&amp;A doc
SW: use a geometric method for deferred revaluation ie (1/1.0225)^durn</t>
  </si>
  <si>
    <t>K:\a2clients\Police Pensions\0140-00972 Home Office Police\Cost Ceiling\Pension estimator\[Pension calculator v0.12.xlsm]Version control</t>
  </si>
  <si>
    <t>Amended case of those PPS members retiring at 55 who want new scheme benefits at SPA so that LRF is not applied and changed wording used in inputs and outputs as per SW's e-mail on 29/8/12</t>
  </si>
  <si>
    <t>What will you get when you retire?</t>
  </si>
  <si>
    <t>K:\a2clients\Police Pensions\0140-00972 Home Office Police\Cost Ceiling\Pension estimator\[Pension calculator v0.13.xlsm]Version control</t>
  </si>
  <si>
    <t>Added better wording to ? cells in inputs, unlocked inputs, fixed drop down box to not show NPPS twice, changed chosen retirement age to be an integer only, amended expected retirement age so it is greater than current age, inserted new SPA limits and put in an error message for negative results</t>
  </si>
  <si>
    <t>K:\a2clients\Police Pensions\0140-00972 Home Office Police\Cost Ceiling\Pension estimator\[Pension calculator v0.14.xlsm]Version control</t>
  </si>
  <si>
    <t>Rounded results to nearest £100, made sure those joining scheme after protection date don't get protection and added ERF/LRF factors to new scheme benefits for NPPS members</t>
  </si>
  <si>
    <t>Agree change to application of deferred revaluation.
New deferred new scheme benefits at SPA for retirement at 55 incorrect, should be deferred revals to SPA only, no ERF.</t>
  </si>
  <si>
    <t>Deferred revaluation in cell 'CARE calcs'!E54 should be to SPA not 60.
SW email changes faithfully applied</t>
  </si>
  <si>
    <t>SW ? Comments applied accurately
Current date not age should be displayed at the bottom of the input output
Other changes to left done correctly.
Noticed that ERF/LRF are not being applied for NPPS member CARE benefits</t>
  </si>
  <si>
    <t>Checked - one issue: logic for protection for joiners post 1/4/2012 allows the age 45 protection. 
Otherwise ok including fix requested for benefits at SPA for those retiring 55 in my v11 comment above</t>
  </si>
  <si>
    <t>\\Gad-a2\a2data\a2clients\Police Pensions\0140-00972 Home Office Police\Cost Ceiling\Pension estimator\Pension calculator v0.15.xlsm</t>
  </si>
  <si>
    <t>Mara Aleixo</t>
  </si>
  <si>
    <t>age next birthday</t>
  </si>
  <si>
    <t>Understanding the results (Notes and Assumptions)</t>
  </si>
  <si>
    <t>Important information - please read this before you start</t>
  </si>
  <si>
    <t>Amended the protection for members who joinned after 1/4/2012. Amended the results for retirement at age 60 to show as zero if the member has already reached their 60th birthday.Changed the validation to prevent the user entering a retirement age less than their current age.  Hide the formulae in the inputs and outputs spreadsheet. Inserted the caveats and updated the "inputs and outputs" format.</t>
  </si>
  <si>
    <t>\\GAD-A2\A2DATA\a2clients\Police Pensions\0140-00972 Home Office Police\Cost Ceiling\Pension estimator\Pension calculator v0.16.xls</t>
  </si>
  <si>
    <t>Changed some excel functions in order it works in excel 2003. Saved in excel 2003 format.</t>
  </si>
  <si>
    <t>Detailed notes (which explain some of the details of the calculations)</t>
  </si>
  <si>
    <t>\\GAD-A2\A2DATA\a2clients\Police Pensions\0140-00972 Home Office Police\Cost Ceiling\Pension estimator\Pension calculator v0.17.xls</t>
  </si>
  <si>
    <t>Set up different early and late retirement factors. Amended the reduced pension calculations in order to consider diferent factors.</t>
  </si>
  <si>
    <t>Checked and Agreed.</t>
  </si>
  <si>
    <t>more info</t>
  </si>
  <si>
    <t>B: Your benefits</t>
  </si>
  <si>
    <t>\\GAD-A2\A2DATA\a2clients\Police Pensions\0140-00972 Home Office Police\Cost Ceiling\Pension estimator\Pension calculator v0.18.xls</t>
  </si>
  <si>
    <t>Matt Wood</t>
  </si>
  <si>
    <t>Changes to the notes. No changes to calcs.</t>
  </si>
  <si>
    <t>Please enter the following details about yourself</t>
  </si>
  <si>
    <t>1. Your date of birth (dd/mm/yyyy)</t>
  </si>
  <si>
    <t>Checked inputs outputs only. Spell check ok. Corrected date to 4/9/2012 and removed link reference</t>
  </si>
  <si>
    <t>A: Your details</t>
  </si>
  <si>
    <t>not allowed after 2015 minus 19</t>
  </si>
  <si>
    <t>not allowed after DJS minus 18 years</t>
  </si>
  <si>
    <t>combination of the above</t>
  </si>
  <si>
    <t>Including additional validation and changes to note requested by Sara Alderman (HO) 3.9.12. 
Changes are to 'Inputs and Outputs'  and 'Cover' only</t>
  </si>
  <si>
    <t>\\GAD-A2\A2DATA\a2clients\Police Pensions\0140-00972 Home Office Police\Cost Ceiling\Pension estimator\Pension calculator v0.19.xls</t>
  </si>
  <si>
    <t>K:\a2clients\Police Pensions\0140-00972 Home Office Police\Cost Ceiling\Pension estimator\[Pension calculator v0.20.xls]Version control</t>
  </si>
  <si>
    <t>Adjusted DJS</t>
  </si>
  <si>
    <t>Amendment protection calc to include TVin service for those get service taper by adjusting DJS, made some spelling / grammar corrections and put a ceiling of 65 on earliest age benefits can be taken</t>
  </si>
  <si>
    <t>K:\a2clients\Police Pensions\0140-00972 Home Office Police\Cost Ceiling\Pension estimator\[Pension calculator v0.21.xls]Version control</t>
  </si>
  <si>
    <t>See Matts email of 3/9/2012 at 15:48</t>
  </si>
  <si>
    <t>SW</t>
  </si>
  <si>
    <t>K:\a2clients\Police Pensions\0140-00972 Home Office Police\Cost Ceiling\Pension estimator\[Pension calculator v0.22.xls]Version control</t>
  </si>
  <si>
    <t>Full</t>
  </si>
  <si>
    <t>Tapered</t>
  </si>
  <si>
    <t>None</t>
  </si>
  <si>
    <t>Protection type</t>
  </si>
  <si>
    <t>Text to display</t>
  </si>
  <si>
    <t>Made amendment to corner tapering protection date calc to make it more precise and added protection message as output</t>
  </si>
  <si>
    <t>Checked - some formatting/text changes needed
the transferees PPS-&gt;NPPS protection status never uses DJS as these members are necessarily in the NPPS.</t>
  </si>
  <si>
    <t>K:\a2clients\Police Pensions\0140-00972 Home Office Police\Cost Ceiling\Pension estimator\[Pension calculator v0.23.xls]Version control</t>
  </si>
  <si>
    <t>Made some cell modifications and reworded protection messages</t>
  </si>
  <si>
    <t>Checked changes and however testing has identified a case which should be in the corner taper which are classed unprotected (PPS DOB: 01/11/1975 and scheme start date: 01/09/1994 no TVIN) - and vice versa (PPS DOB: 12/10/75 and start scheme: 12/09/94 no TVIN)</t>
  </si>
  <si>
    <t>K:\a2clients\Police Pensions\0140-00972 Home Office Police\Cost Ceiling\Pension estimator\[Pension calculator v0.24.xls]Version control</t>
  </si>
  <si>
    <t>Amended corner tapering calcs, changed message so as not to confuse readers and removed unnecessary cells</t>
  </si>
  <si>
    <t>Plus</t>
  </si>
  <si>
    <t>Amended output comments for SW email 28/9/2012 to Peter Spreadbury re MP comments (emphasis PPS LS by commutation and old and new benefits cumulative)
And other general SW comments of 28/09/2012 10:59</t>
  </si>
  <si>
    <r>
      <t xml:space="preserve">BA discussion today noted that the protection calcs for PPS-&gt;NPPS switchers will be looking up DJS rather than the adjusted DJS.  We should correct this if there is another release (and perhaps in any case) </t>
    </r>
    <r>
      <rPr>
        <sz val="10"/>
        <color indexed="40"/>
        <rFont val="Arial"/>
        <family val="2"/>
      </rPr>
      <t xml:space="preserve"> [SW] This comment is rubbish - there is no service taper for NPPS members.  No amends needed.</t>
    </r>
  </si>
  <si>
    <t>Sam Watts</t>
  </si>
  <si>
    <t>n/a</t>
  </si>
  <si>
    <t>Added "N/A" to F44 of PPS and NPPS calcs tab</t>
  </si>
  <si>
    <t>Checked and amended B47 in 'Inputs…' to reflect 2015 scheme LS always by commutation only</t>
  </si>
  <si>
    <t>K:\a2clients\Police Pensions\0140-00972 Home Office Police\Cost Ceiling\Pension estimator\[Pension calculator v0.25.xls]Version control</t>
  </si>
  <si>
    <t>Amended protection message, corrected bug for members for might choose retirement under 55 and switch from PPS to NPPS and made alignments in input boxes consistent</t>
  </si>
  <si>
    <t>Pension calculator v0.26.xls</t>
  </si>
  <si>
    <t>Dipak Hirani</t>
  </si>
  <si>
    <r>
      <t>Inputs and outputs</t>
    </r>
    <r>
      <rPr>
        <sz val="10"/>
        <rFont val="Arial"/>
        <family val="2"/>
      </rPr>
      <t xml:space="preserve"> - Section A now contains additional input detail sections 7-10, which are required for part time calculations
Formulae in rows 57, 58 have been amended to apply part-time proportion (I36) if member has selected part-time for input 7
Cell C157 contains the calculation for part-time factor
Formulae in rows 54, 55 have been amended to apply part-time factor (C157) if member has selected part-time for input 7</t>
    </r>
  </si>
  <si>
    <t>Table has been created in cells C155-E158 to create part-time factors dependent on retirement age
Formulae in rows 54, 55 have been amended to take account of this new table</t>
  </si>
  <si>
    <t>Louise Fletcher</t>
  </si>
  <si>
    <t>Pension calculator v0.27.xls</t>
  </si>
  <si>
    <t>Formatting changes</t>
  </si>
  <si>
    <t>Service at the benefit statement date on a full time basis</t>
  </si>
  <si>
    <t>Reckonable service for part time member cannot be greater than their full time equivalent service</t>
  </si>
  <si>
    <t>Benefit statement date cannot be greater than today's date</t>
  </si>
  <si>
    <t>Today</t>
  </si>
  <si>
    <t>Dave J</t>
  </si>
  <si>
    <t>Some slight changes needed to main interface. See printout for more details.</t>
  </si>
  <si>
    <t>\\Gad-a2\a2data\a2clients\Police Pensions\0140-00972 Home Office Police\Cost Ceiling\Pension estimator\[Pension calculator v0.28.xls]Version control</t>
  </si>
  <si>
    <t>Added comment to 'employment status' to cover members who have worked part time in the past. Added new protection to 'current part time proportion'. Added commentary to part time inputs, re-worded the explanation of part time treatment.</t>
  </si>
  <si>
    <t>Pension calculator v0.29.xls</t>
  </si>
  <si>
    <t>maximum pension</t>
  </si>
  <si>
    <t>Maximum lump sum</t>
  </si>
  <si>
    <t>Original calculations</t>
  </si>
  <si>
    <t>Happy with these changes to the calculator</t>
  </si>
  <si>
    <t>Removed service cap from calculations, instead applied a cap to pension estimate output on the 'inputs and output' tab. This is so part time benefits aren't capped at a part time ratio</t>
  </si>
  <si>
    <t>Pension calculator v0.30.xls</t>
  </si>
  <si>
    <t>Where part time indicator has been selected, the service uplift has been removed. Maximum pension and lump sum amounts have been rounded.</t>
  </si>
  <si>
    <t xml:space="preserve">Happy with changes. Added 'more info' boxes for PPS-&gt;NPPS members with part time and transferred in service. </t>
  </si>
  <si>
    <t>\\Gad-a2\a2data\a2clients\Police Pensions\0140-00972 Home Office Police\Cost Ceiling\Pension estimator\[Pension calculator v0.31.xls]Version control</t>
  </si>
  <si>
    <t>Amended comments for transferred in service.</t>
  </si>
  <si>
    <t>CARE future service pension</t>
  </si>
  <si>
    <t>Current Date</t>
  </si>
  <si>
    <t>Accrued CARE benefit</t>
  </si>
  <si>
    <t>CPI (%)</t>
  </si>
  <si>
    <t>v0.1</t>
  </si>
  <si>
    <t>Pension calculator Updated v0.1.xls</t>
  </si>
  <si>
    <t>Ashara Peiris</t>
  </si>
  <si>
    <t>Past Service CARE Calcs</t>
  </si>
  <si>
    <t>&gt; Enter worksheet title here</t>
  </si>
  <si>
    <t>Pre 2015 Pension</t>
  </si>
  <si>
    <t>Lump Sum Commutation</t>
  </si>
  <si>
    <t>Max Lump Sum</t>
  </si>
  <si>
    <t>Years</t>
  </si>
  <si>
    <t>Complete months</t>
  </si>
  <si>
    <t>Exact</t>
  </si>
  <si>
    <t>Max Lump Sum Factor</t>
  </si>
  <si>
    <t>Age in years and completed months on day pension commences</t>
  </si>
  <si>
    <t>Age at DPC</t>
  </si>
  <si>
    <t>CARE scheme Commutation Factor</t>
  </si>
  <si>
    <r>
      <t xml:space="preserve">Inputs and outputs 
</t>
    </r>
    <r>
      <rPr>
        <sz val="10"/>
        <rFont val="Arial"/>
        <family val="2"/>
      </rPr>
      <t xml:space="preserve">- Added in question 11 giving the total accrued CARE benefit for each of the past scheme years
- Added in changes to outputs
- Amended cells H154:L155 by allowing it pull through commutable amounts
</t>
    </r>
    <r>
      <rPr>
        <b/>
        <sz val="10"/>
        <rFont val="Arial"/>
        <family val="2"/>
      </rPr>
      <t xml:space="preserve">Parameters </t>
    </r>
    <r>
      <rPr>
        <sz val="10"/>
        <rFont val="Arial"/>
        <family val="2"/>
      </rPr>
      <t xml:space="preserve">- Added in future CARE revaluation G74, but not sure of actual value to use here
</t>
    </r>
    <r>
      <rPr>
        <b/>
        <sz val="10"/>
        <rFont val="Arial"/>
        <family val="2"/>
      </rPr>
      <t xml:space="preserve">Past Service CARE Calcs </t>
    </r>
    <r>
      <rPr>
        <sz val="10"/>
        <rFont val="Arial"/>
        <family val="2"/>
      </rPr>
      <t xml:space="preserve">- Added tab which revalues the past service CARE pension to the start of the current scheme year
</t>
    </r>
    <r>
      <rPr>
        <b/>
        <sz val="10"/>
        <rFont val="Arial"/>
        <family val="2"/>
      </rPr>
      <t xml:space="preserve">CARE Calcs </t>
    </r>
    <r>
      <rPr>
        <sz val="10"/>
        <rFont val="Arial"/>
        <family val="2"/>
      </rPr>
      <t xml:space="preserve">- Added row 27, 35, 43 and 56 which pulls through the past service CARE pension. This pension is added onto the future service CARE pension (which is unchanged from the previous calculator's CARE pension)
</t>
    </r>
    <r>
      <rPr>
        <b/>
        <sz val="10"/>
        <rFont val="Arial"/>
        <family val="2"/>
      </rPr>
      <t>Lump Sum</t>
    </r>
    <r>
      <rPr>
        <sz val="10"/>
        <rFont val="Arial"/>
        <family val="2"/>
      </rPr>
      <t xml:space="preserve"> - calculates the lump sums and maximum amount commutable</t>
    </r>
  </si>
  <si>
    <t>CPI</t>
  </si>
  <si>
    <t>MRae</t>
  </si>
  <si>
    <t>Parameters: changed to add a cpi assumption and a salary increase assumption. CARE calc:check if the ABS accrued CARE already includes revaluation as at the start of the new scheme year. Check if negative cpi is allowed in the CARE active revaluation (I think it is provided the final rate is &gt;= 0).CARE Csalcs - see comments, values have to be in current salary terms. so discounting at salary growth is to be added.</t>
  </si>
  <si>
    <t>Max Commutation</t>
  </si>
  <si>
    <t>Pre 2015</t>
  </si>
  <si>
    <t>Post 2015</t>
  </si>
  <si>
    <t>Commutation Factor</t>
  </si>
  <si>
    <t>Pre-Commutation Pension</t>
  </si>
  <si>
    <t>Post Commutation Pension</t>
  </si>
  <si>
    <t>Pre Commutation Pension</t>
  </si>
  <si>
    <t>Basis 1</t>
  </si>
  <si>
    <t>Basis 2</t>
  </si>
  <si>
    <t>Basis 3</t>
  </si>
  <si>
    <t>CPI + 0%</t>
  </si>
  <si>
    <t>CPI + 1%</t>
  </si>
  <si>
    <t>CPI + 2%</t>
  </si>
  <si>
    <t>Service Period Calcs</t>
  </si>
  <si>
    <t>Pre-2015 Calcs</t>
  </si>
  <si>
    <t>Service for Member</t>
  </si>
  <si>
    <t>Current Salary</t>
  </si>
  <si>
    <t>Salary Calcs</t>
  </si>
  <si>
    <t>Projected Salary</t>
  </si>
  <si>
    <t>Discounted Project Salary</t>
  </si>
  <si>
    <t>No. Months</t>
  </si>
  <si>
    <t>Pre-2015 Schemes Service</t>
  </si>
  <si>
    <t>Retiring Without Any Scheme Reform</t>
  </si>
  <si>
    <t>Retiring Before Protection Ends Or Full Protection</t>
  </si>
  <si>
    <t>Retiring On Or After Protection Ends</t>
  </si>
  <si>
    <t>Retirement at</t>
  </si>
  <si>
    <t>Maximum Amount Commutable</t>
  </si>
  <si>
    <t>v0.5</t>
  </si>
  <si>
    <t>Pension calculator Updated v0.5.xls</t>
  </si>
  <si>
    <r>
      <t xml:space="preserve">Inputs and outputs
</t>
    </r>
    <r>
      <rPr>
        <sz val="10"/>
        <rFont val="Arial"/>
        <family val="2"/>
      </rPr>
      <t xml:space="preserve">- Added question 4 on rank
- Changed way that the outputs are presented, by offering three basis choices. Formulae in these are based on the previous ones, but there have been substantial changes
- Changed cells B138 and B139 to 48 and 65
- Amended formulae in cells C184 to 186
- Removed area below which had projection of results
- Added in ranks and the associated VRAs
</t>
    </r>
    <r>
      <rPr>
        <b/>
        <sz val="10"/>
        <rFont val="Arial"/>
        <family val="2"/>
      </rPr>
      <t xml:space="preserve">Parameters
</t>
    </r>
    <r>
      <rPr>
        <sz val="10"/>
        <rFont val="Arial"/>
        <family val="2"/>
      </rPr>
      <t xml:space="preserve">- Added in CPI assumptions and basis assumptions. If these need to be changed, make the change here.
</t>
    </r>
    <r>
      <rPr>
        <b/>
        <sz val="10"/>
        <rFont val="Arial"/>
        <family val="2"/>
      </rPr>
      <t xml:space="preserve">PPS and NPPS Calcs
</t>
    </r>
    <r>
      <rPr>
        <sz val="10"/>
        <rFont val="Arial"/>
        <family val="2"/>
      </rPr>
      <t xml:space="preserve">- Changed way that the calculations are laid out. Removed calculations for different ages and added in calculations for each of the separate bases
</t>
    </r>
    <r>
      <rPr>
        <b/>
        <sz val="10"/>
        <rFont val="Arial"/>
        <family val="2"/>
      </rPr>
      <t xml:space="preserve">Past service care calcs
</t>
    </r>
    <r>
      <rPr>
        <sz val="10"/>
        <rFont val="Arial"/>
        <family val="2"/>
      </rPr>
      <t xml:space="preserve">- Re-arranged tab and made minor formulae changes to row 16
</t>
    </r>
    <r>
      <rPr>
        <b/>
        <sz val="10"/>
        <rFont val="Arial"/>
        <family val="2"/>
      </rPr>
      <t xml:space="preserve">CARE calcs
</t>
    </r>
    <r>
      <rPr>
        <sz val="10"/>
        <rFont val="Arial"/>
        <family val="2"/>
      </rPr>
      <t xml:space="preserve">- Changed layout of tab
- Made tab only for one retirement age (and SPA for deferred benefits)
- Amended formule for the past service and future service pensions (to account for discounting of CPI)
</t>
    </r>
    <r>
      <rPr>
        <b/>
        <sz val="10"/>
        <rFont val="Arial"/>
        <family val="2"/>
      </rPr>
      <t xml:space="preserve">Lump sum
</t>
    </r>
    <r>
      <rPr>
        <sz val="10"/>
        <rFont val="Arial"/>
        <family val="2"/>
      </rPr>
      <t xml:space="preserve">- Amended tab layout
- Removed different ages and added three bases
- Changed formulae for pension and lump sums
- Updated commutation factors and max lump sum factors
</t>
    </r>
    <r>
      <rPr>
        <b/>
        <sz val="10"/>
        <rFont val="Arial"/>
        <family val="2"/>
      </rPr>
      <t xml:space="preserve">Summary
</t>
    </r>
    <r>
      <rPr>
        <sz val="10"/>
        <rFont val="Arial"/>
        <family val="2"/>
      </rPr>
      <t>- Amended tab layout and setup for three bases</t>
    </r>
  </si>
  <si>
    <t>1 April 2015</t>
  </si>
  <si>
    <t>CARE factor</t>
  </si>
  <si>
    <t>salary</t>
  </si>
  <si>
    <t>Max Commuted</t>
  </si>
  <si>
    <t>Post 2015 at SPA</t>
  </si>
  <si>
    <t>Pre-2015 Calcs Used And Results</t>
  </si>
  <si>
    <t>Chosen ret age</t>
  </si>
  <si>
    <t>v0.6</t>
  </si>
  <si>
    <t>Pension calculator Updated v0.6.xls</t>
  </si>
  <si>
    <t>Michael Rae</t>
  </si>
  <si>
    <r>
      <t xml:space="preserve">Inputs and outputs
</t>
    </r>
    <r>
      <rPr>
        <sz val="10"/>
        <rFont val="Arial"/>
        <family val="2"/>
      </rPr>
      <t xml:space="preserve">- Made part time section disappear if full time
- changed formulae in benefits to pick up different numbers
</t>
    </r>
    <r>
      <rPr>
        <b/>
        <sz val="10"/>
        <rFont val="Arial"/>
        <family val="2"/>
      </rPr>
      <t xml:space="preserve">Parameters
</t>
    </r>
    <r>
      <rPr>
        <sz val="10"/>
        <rFont val="Arial"/>
        <family val="2"/>
      </rPr>
      <t xml:space="preserve">- Changed base CPI to 2%
</t>
    </r>
    <r>
      <rPr>
        <b/>
        <sz val="10"/>
        <rFont val="Arial"/>
        <family val="2"/>
      </rPr>
      <t xml:space="preserve">CARE calcs
</t>
    </r>
    <r>
      <rPr>
        <sz val="10"/>
        <rFont val="Arial"/>
        <family val="2"/>
      </rPr>
      <t>- updated calcs to use three different bases</t>
    </r>
  </si>
  <si>
    <t>v0.7</t>
  </si>
  <si>
    <t>Pension calculator Updated v0.7.xls</t>
  </si>
  <si>
    <r>
      <t xml:space="preserve">Inputs and outputs
</t>
    </r>
    <r>
      <rPr>
        <sz val="10"/>
        <rFont val="Arial"/>
        <family val="2"/>
      </rPr>
      <t xml:space="preserve">- Made DJS question second one and made scheme question third
- changed data validation on the scheme range
- changed formulae in cells B125:126 to show CARE, PPS or NPPS where relevant
- added in lump sums for deferred pension
- added in conditional formatting on outputs and inputs
</t>
    </r>
    <r>
      <rPr>
        <b/>
        <sz val="10"/>
        <rFont val="Arial"/>
        <family val="2"/>
      </rPr>
      <t xml:space="preserve">PPS and NPPS calcs
</t>
    </r>
    <r>
      <rPr>
        <sz val="10"/>
        <rFont val="Arial"/>
        <family val="2"/>
      </rPr>
      <t xml:space="preserve">- changed rows 31:33 and 36:53 to account for CARE only members
</t>
    </r>
    <r>
      <rPr>
        <b/>
        <sz val="10"/>
        <rFont val="Arial"/>
        <family val="2"/>
      </rPr>
      <t xml:space="preserve">CARE calcs
</t>
    </r>
    <r>
      <rPr>
        <sz val="10"/>
        <rFont val="Arial"/>
        <family val="2"/>
      </rPr>
      <t xml:space="preserve">- changed care factor in D8
- updated formulae in rows 18, 19, 24 and 25
</t>
    </r>
    <r>
      <rPr>
        <b/>
        <sz val="10"/>
        <rFont val="Arial"/>
        <family val="2"/>
      </rPr>
      <t xml:space="preserve">Lump sum
</t>
    </r>
    <r>
      <rPr>
        <sz val="10"/>
        <rFont val="Arial"/>
        <family val="2"/>
      </rPr>
      <t xml:space="preserve">- updated rows 26 to 33, so that they pull through the correct pension and lump sums
</t>
    </r>
    <r>
      <rPr>
        <b/>
        <sz val="10"/>
        <rFont val="Arial"/>
        <family val="2"/>
      </rPr>
      <t xml:space="preserve">Summary
</t>
    </r>
    <r>
      <rPr>
        <sz val="10"/>
        <rFont val="Arial"/>
        <family val="2"/>
      </rPr>
      <t>- added in section on pension deferred to SPA</t>
    </r>
  </si>
  <si>
    <t>Corrected the discounting period used throughout to allow for the final fraction as well as the integral years.</t>
  </si>
  <si>
    <t>Amended the future CARE accumulation present value to use the factor (1+s)/(1+revaluation), and to change the discounting from salary to cpi</t>
  </si>
  <si>
    <t>Added the CARE projection on the mid and high salary growth bases</t>
  </si>
  <si>
    <t>Started to amend the results to include lump sum when we defer the CARE benfits to SPA. This requires further work to complete.</t>
  </si>
  <si>
    <t>Note the deferred benefits after dicounting are the same as the benefits at the date of withdrawal because the deferred revaluation rate is simply cpi. I decided to include as a separate calculation to allow for this to change in future.</t>
  </si>
  <si>
    <t>Removed the comments about transition date from the results screen. This is only of interest totapered members who have still to transfer to CARE.</t>
  </si>
  <si>
    <t>Post 2015 pension results</t>
  </si>
  <si>
    <t>Service to Retirement</t>
  </si>
  <si>
    <t>v0.8</t>
  </si>
  <si>
    <t>Pension calculator Updated v0.8.xls</t>
  </si>
  <si>
    <t>Discount factor (1+s)</t>
  </si>
  <si>
    <r>
      <t xml:space="preserve">Inputs and outputs
</t>
    </r>
    <r>
      <rPr>
        <sz val="10"/>
        <rFont val="Arial"/>
        <family val="2"/>
      </rPr>
      <t xml:space="preserve">- amended rows 60:71 by making the deferred numbers appear if the retirement age is under 55 and the non-deferred numbers appear if the retirement age is &gt;=55
- added conditional formatting so that 2015 scheme outputs disappear if member is not eligible for them (i.e. don't enter care scheme due to protection)
</t>
    </r>
    <r>
      <rPr>
        <b/>
        <sz val="10"/>
        <rFont val="Arial"/>
        <family val="2"/>
      </rPr>
      <t xml:space="preserve">PPS and NPPS Calcs
</t>
    </r>
    <r>
      <rPr>
        <sz val="10"/>
        <rFont val="Arial"/>
        <family val="2"/>
      </rPr>
      <t xml:space="preserve">- added in service to retirement (row 34) and amended formulae in rows 37:39 so that it uses this number to project the salary
- deleted no reform calcs
- capped pre 2015 scheme service (row 33) at 30 years for PPS and 35 years for NPPS
- capped retiring without any scheme reform (row 35) at 30 years for PPS and 35 years for NPPS
</t>
    </r>
    <r>
      <rPr>
        <b/>
        <sz val="10"/>
        <rFont val="Arial"/>
        <family val="2"/>
      </rPr>
      <t xml:space="preserve">CARE calcs
</t>
    </r>
    <r>
      <rPr>
        <sz val="10"/>
        <rFont val="Arial"/>
        <family val="2"/>
      </rPr>
      <t xml:space="preserve">-  the deferred until SPA section changed to account for deferred period
- changed formulae for the CARE future service pension in rows 22, 30 and 31
- added in protection status and protection end date (rows 6 and 7) and use these in setting the amount of post 15 service to chosen retirement and SPA (D17 and D18)
- added in if condition in case post 15 service is 0 to rows 19 and 27
</t>
    </r>
    <r>
      <rPr>
        <b/>
        <sz val="10"/>
        <rFont val="Arial"/>
        <family val="2"/>
      </rPr>
      <t xml:space="preserve">Lump sum
</t>
    </r>
    <r>
      <rPr>
        <sz val="10"/>
        <rFont val="Arial"/>
        <family val="2"/>
      </rPr>
      <t xml:space="preserve">- amended formulae in rows 26:33. Sets chosen retirement numbers to 0 if chosen retirement age &lt;55 and sets deferred numbers to 0 if ret age &gt;=55
-amended formula in D12 so that it calculates the reckonable service if the member is full-time, and pulls it from the inputs tab if it is part-time
</t>
    </r>
    <r>
      <rPr>
        <b/>
        <sz val="10"/>
        <rFont val="Arial"/>
        <family val="2"/>
      </rPr>
      <t xml:space="preserve">Summary
</t>
    </r>
    <r>
      <rPr>
        <sz val="10"/>
        <rFont val="Arial"/>
        <family val="2"/>
      </rPr>
      <t>- added additional table which chooses the either the deferred or non-deferred pension amounts based on their chosen retirement age
- deleted no reform results</t>
    </r>
  </si>
  <si>
    <t>v0.9</t>
  </si>
  <si>
    <t>Pension calculator Updated v0.9.xls</t>
  </si>
  <si>
    <t>Exact Age (at start of scheme year)</t>
  </si>
  <si>
    <t>Age Last Birthday (at start of scheme year)</t>
  </si>
  <si>
    <t>checked inputs and outputs changes - ok. Protected members still showing 2015 scheme pension of zero, so ok. Not conditional formatted. PPS and NPPS Calcs: Service to retirement ok. Agree salary caps, as given in valuation report benefit summary. CARE. Deferred to SPA period ok, but move the cqalcs in rows 111  - 112 of the input/output sheet. Agree the allowance for the protection end date in 2015 service. Agree the projection period for deferred to SPA. Agree CARE is being discounted back to today. Agree the service for tapered cases starts from protection end date. CARE accumulation formula is ok, but could be clearer - the effective discount rate is (1+sal)/(1+care_reval)-1. Need to change the max lump sum calcs to use service up to leaving the old schemes.</t>
  </si>
  <si>
    <r>
      <t xml:space="preserve">All sheets
</t>
    </r>
    <r>
      <rPr>
        <sz val="10"/>
        <rFont val="Arial"/>
        <family val="2"/>
      </rPr>
      <t>- Changed previous references to today() to now refer to the start of the scheme year</t>
    </r>
    <r>
      <rPr>
        <b/>
        <sz val="10"/>
        <rFont val="Arial"/>
        <family val="2"/>
      </rPr>
      <t xml:space="preserve">
CARE calcs
</t>
    </r>
    <r>
      <rPr>
        <sz val="10"/>
        <rFont val="Arial"/>
        <family val="2"/>
      </rPr>
      <t xml:space="preserve">- added in extra calculations to account for taper period. Defer their entry into the CARE scheme (but still discount by appropriate amount).
- added if statement to row 22 so that if member is tapered their future service pension is set to 0
- added in tapered calcs for deferred until SPA members (row 35-39)
- added in *(1+cpi)^((today()-DoStartSchYear)/DOY) to rows 22, 26, 34 and 38
</t>
    </r>
    <r>
      <rPr>
        <b/>
        <sz val="10"/>
        <rFont val="Arial"/>
        <family val="2"/>
      </rPr>
      <t xml:space="preserve">PPS and NPPS Calcs
</t>
    </r>
    <r>
      <rPr>
        <sz val="10"/>
        <rFont val="Arial"/>
        <family val="2"/>
      </rPr>
      <t xml:space="preserve">- added in *(1+cpi)^((today()-DoStartSchYear)/DOY) to cells D40:E42
</t>
    </r>
    <r>
      <rPr>
        <b/>
        <sz val="10"/>
        <rFont val="Arial"/>
        <family val="2"/>
      </rPr>
      <t xml:space="preserve">Lump sum
</t>
    </r>
    <r>
      <rPr>
        <sz val="10"/>
        <rFont val="Arial"/>
        <family val="2"/>
      </rPr>
      <t>- D12 changed to look at the correct range. Also accounts for part time service</t>
    </r>
  </si>
  <si>
    <t>agree the changes to use start of scheme year. I agree the allowance for tapering in the service calculations.Agree the lump sum calculations.</t>
  </si>
  <si>
    <t>Due to the complexity and number of the changes we have made to the workbook, sign -ff depends on the satisfactory completion of testing via a testpack with indpendent checks.</t>
  </si>
  <si>
    <t>Salary factor</t>
  </si>
  <si>
    <t>Discounted pension</t>
  </si>
  <si>
    <t>Start of Scheme Year</t>
  </si>
  <si>
    <t>v0.10</t>
  </si>
  <si>
    <t>Pension calculator Updated v0.10.xls</t>
  </si>
  <si>
    <t>CARE revalued to date of retirement</t>
  </si>
  <si>
    <t>Post-Commutation Pension</t>
  </si>
  <si>
    <t>Apply ERF and LRF</t>
  </si>
  <si>
    <t>Final Pension (includes PTP)</t>
  </si>
  <si>
    <r>
      <rPr>
        <b/>
        <sz val="10"/>
        <rFont val="Arial"/>
        <family val="2"/>
      </rPr>
      <t>Parameters</t>
    </r>
    <r>
      <rPr>
        <sz val="10"/>
        <rFont val="Arial"/>
        <family val="2"/>
      </rPr>
      <t xml:space="preserve">
- moved start of scheme year to this tab
- added in a date for current date
- moved VRAs to this tab, corrected the ages and extended the list of possible ranks
</t>
    </r>
    <r>
      <rPr>
        <b/>
        <sz val="10"/>
        <rFont val="Arial"/>
        <family val="2"/>
      </rPr>
      <t xml:space="preserve">Inputs and outputs
</t>
    </r>
    <r>
      <rPr>
        <sz val="10"/>
        <rFont val="Arial"/>
        <family val="2"/>
      </rPr>
      <t xml:space="preserve">- Added formula to cells B46 and B48 so that they are blank if the member is not tapered
- Added conditional formatting to rows 62-64 and 70-71 so that they disappear when the member is fully protected.
- Changed cell B117 which affects minimum DOB and data validation text on DOB changed.
- Changed C125 to be the current date
- Cell B136 changed to 68 and data validation text on retirement age changed
- Updated cells H,J,K 60,63,68 and 71 to pull from summary rather than doing calculations on summary page
</t>
    </r>
    <r>
      <rPr>
        <b/>
        <sz val="10"/>
        <rFont val="Arial"/>
        <family val="2"/>
      </rPr>
      <t xml:space="preserve">PPS and NPPS calcs
</t>
    </r>
    <r>
      <rPr>
        <sz val="10"/>
        <rFont val="Arial"/>
        <family val="2"/>
      </rPr>
      <t xml:space="preserve">- Added in rows 46:48 which apply the past service part time proportion to PPS and NPPS pensions.
- NPPS lump sum calcs then pull through these figures which have the PTP applied (E49:51)
</t>
    </r>
    <r>
      <rPr>
        <b/>
        <sz val="10"/>
        <rFont val="Arial"/>
        <family val="2"/>
      </rPr>
      <t xml:space="preserve">Past service care calcs
</t>
    </r>
    <r>
      <rPr>
        <sz val="10"/>
        <rFont val="Arial"/>
        <family val="2"/>
      </rPr>
      <t xml:space="preserve">- added in row 17 which fully projects the past service CARE benefit to the DoR (uses row 16 which realues it to the start of scheme year)
</t>
    </r>
    <r>
      <rPr>
        <b/>
        <sz val="10"/>
        <rFont val="Arial"/>
        <family val="2"/>
      </rPr>
      <t xml:space="preserve">CARE calcs
</t>
    </r>
    <r>
      <rPr>
        <sz val="10"/>
        <rFont val="Arial"/>
        <family val="2"/>
      </rPr>
      <t xml:space="preserve">- added in row 18 which has the service from the current date to DoR
- method of calculation has been changed significantly
- pension is accrued each year and revalued, but discounting is only applied at the date of first receiving the pension
- no longer need separate calculation methods for &lt;55 and &gt;=55 members
- D30:F30 changed to use SPA
- Row 31 added which applies the future/current PTP to the discounted pension
</t>
    </r>
    <r>
      <rPr>
        <b/>
        <sz val="10"/>
        <rFont val="Arial"/>
        <family val="2"/>
      </rPr>
      <t xml:space="preserve">Lump sum
</t>
    </r>
    <r>
      <rPr>
        <sz val="10"/>
        <rFont val="Arial"/>
        <family val="2"/>
      </rPr>
      <t xml:space="preserve">- D19:F19, D21:F21, D26:F26 and D28:F28 amended so that they pull through the pension with the part time proportion applied to it
</t>
    </r>
    <r>
      <rPr>
        <b/>
        <sz val="10"/>
        <rFont val="Arial"/>
        <family val="2"/>
      </rPr>
      <t xml:space="preserve">Summary
</t>
    </r>
    <r>
      <rPr>
        <sz val="10"/>
        <rFont val="Arial"/>
        <family val="2"/>
      </rPr>
      <t xml:space="preserve">- Post 2015 results have been condensed into a single table
- pre-commutation and post-commutation pension in rows 17, 20, 26 and 29 pull through results from the PTP calcs in the </t>
    </r>
    <r>
      <rPr>
        <b/>
        <sz val="10"/>
        <rFont val="Arial"/>
        <family val="2"/>
      </rPr>
      <t xml:space="preserve">Lump sum </t>
    </r>
    <r>
      <rPr>
        <sz val="10"/>
        <rFont val="Arial"/>
        <family val="2"/>
      </rPr>
      <t>sheet</t>
    </r>
  </si>
  <si>
    <t xml:space="preserve">- This calculator is for guidance purposes only and is an estimate only. It is not intended to provide you with financial advice. If you require financial advice, you should contact an independent financial adviser. </t>
  </si>
  <si>
    <t>- Transitional and tapered protection have been allowed for in the results.</t>
  </si>
  <si>
    <t>v0.11</t>
  </si>
  <si>
    <t>\\Gad-fpt\fpt\NEW DATA\FPT Clients\Police\Scotland\General\Benefits Projection Calculator\Pension calculator Updated v0.11.xls</t>
  </si>
  <si>
    <r>
      <t xml:space="preserve">Checked - one issue: NPPS protection status calc cell applied check on DJS vs protection date in wrong direction. Corrected in this version. </t>
    </r>
    <r>
      <rPr>
        <sz val="10"/>
        <color indexed="10"/>
        <rFont val="Arial"/>
        <family val="2"/>
      </rPr>
      <t xml:space="preserve"> [SAM] This cell is now ok</t>
    </r>
    <r>
      <rPr>
        <sz val="10"/>
        <rFont val="Arial"/>
        <family val="2"/>
      </rPr>
      <t xml:space="preserve">
I have re-run a selection of the PPS and NPPS tests on the calculator successfully.</t>
    </r>
  </si>
  <si>
    <r>
      <t xml:space="preserve">Slightly amended the wording i.r.o lump sum for the PPS members and also added it below the new scheme pension benefits.  Otherwise agreed.
</t>
    </r>
    <r>
      <rPr>
        <sz val="10"/>
        <color indexed="10"/>
        <rFont val="Arial"/>
        <family val="2"/>
      </rPr>
      <t>NPPS cases have problems re the message appearing due to F44 being blank</t>
    </r>
  </si>
  <si>
    <r>
      <t xml:space="preserve">Parameters
</t>
    </r>
    <r>
      <rPr>
        <sz val="10"/>
        <rFont val="Arial"/>
        <family val="2"/>
      </rPr>
      <t>- amended CARE parameter</t>
    </r>
    <r>
      <rPr>
        <b/>
        <sz val="10"/>
        <rFont val="Arial"/>
        <family val="2"/>
      </rPr>
      <t xml:space="preserve">
Past service CARE Calcs
</t>
    </r>
    <r>
      <rPr>
        <sz val="10"/>
        <rFont val="Arial"/>
        <family val="2"/>
      </rPr>
      <t xml:space="preserve">- amended formulae in row 14, to remove one year of revaluation
</t>
    </r>
    <r>
      <rPr>
        <b/>
        <sz val="10"/>
        <rFont val="Arial"/>
        <family val="2"/>
      </rPr>
      <t xml:space="preserve">CARE calcs
</t>
    </r>
    <r>
      <rPr>
        <sz val="10"/>
        <rFont val="Arial"/>
        <family val="2"/>
      </rPr>
      <t xml:space="preserve">- reduced n in row 20 and 24 by one
- added D21*D11^D21 term to the future service pension (row 23)
- added in row 25
- amended rows 26 and 29 to account for the change in methodology
</t>
    </r>
    <r>
      <rPr>
        <b/>
        <sz val="10"/>
        <rFont val="Arial"/>
        <family val="2"/>
      </rPr>
      <t xml:space="preserve">Lump sum
</t>
    </r>
    <r>
      <rPr>
        <sz val="10"/>
        <rFont val="Arial"/>
        <family val="2"/>
      </rPr>
      <t>- amended formula in D15 so that it compares the VRA to the retirement age</t>
    </r>
  </si>
  <si>
    <t>v0.12</t>
  </si>
  <si>
    <t>\\Gad-fpt\fpt\NEW DATA\FPT Clients\Police\Scotland\General\Benefits Projection Calculator\Pension calculator Updated v0.12.xls</t>
  </si>
  <si>
    <t>Length of future taper period</t>
  </si>
  <si>
    <t>Revalued pension missed in taper period</t>
  </si>
  <si>
    <t>mjr</t>
  </si>
  <si>
    <t>All changes checked and agreed.</t>
  </si>
  <si>
    <r>
      <t xml:space="preserve">PPS and NPPS calcs
</t>
    </r>
    <r>
      <rPr>
        <sz val="10"/>
        <rFont val="Arial"/>
        <family val="2"/>
      </rPr>
      <t>- amended service calcs in rows 31-33 and 35 so that if member is part time then their service is dependent on the reckonable service inputted.
- removed rows 46-48 which multiplied the pension by the PTP (as the part time service is now dealt with separately)</t>
    </r>
    <r>
      <rPr>
        <b/>
        <sz val="10"/>
        <rFont val="Arial"/>
        <family val="2"/>
      </rPr>
      <t xml:space="preserve">
Past service CARE Calcs
</t>
    </r>
    <r>
      <rPr>
        <sz val="10"/>
        <rFont val="Arial"/>
        <family val="2"/>
      </rPr>
      <t xml:space="preserve">- Removed rows giving years of revaluation and CARE revalued to start year (as the past service benefits will already be revalued to this date, previously row 14 and 16)
- amended formula in row 16 so that it applies the revaluation directly to the accrued CARE benefit (row 15)
</t>
    </r>
    <r>
      <rPr>
        <b/>
        <sz val="10"/>
        <rFont val="Arial"/>
        <family val="2"/>
      </rPr>
      <t xml:space="preserve">CARE calcs
</t>
    </r>
    <r>
      <rPr>
        <sz val="10"/>
        <rFont val="Arial"/>
        <family val="2"/>
      </rPr>
      <t xml:space="preserve">- added in row 19 which gives the service between start of scheme year and the protection end date
- adjusted calculation in row 29 to included additional deduction of pension in tapered period
- adjusted past service pension by dividing D23 through by the PTP to prevent the PTP from being applied twice
</t>
    </r>
    <r>
      <rPr>
        <b/>
        <sz val="10"/>
        <rFont val="Arial"/>
        <family val="2"/>
      </rPr>
      <t xml:space="preserve">Lump sum
</t>
    </r>
    <r>
      <rPr>
        <sz val="10"/>
        <rFont val="Arial"/>
        <family val="2"/>
      </rPr>
      <t>- amended D12 to pull through the reckonable service if member is PT</t>
    </r>
  </si>
  <si>
    <t>- This calculator will provide an illustration of your pension at a chosen retirement age.</t>
  </si>
  <si>
    <t>v0.13</t>
  </si>
  <si>
    <t>\\Gad-fpt\fpt\NEW DATA\FPT Clients\Police\Scotland\General\Benefits Projection Calculator\Pension calculator Updated v0.13.xlsm</t>
  </si>
  <si>
    <r>
      <t>Inputs and outputs</t>
    </r>
    <r>
      <rPr>
        <sz val="10"/>
        <rFont val="Arial"/>
        <family val="2"/>
      </rPr>
      <t xml:space="preserve">
- amended wording in rows 54 and 55 to make it clear that salary increases are wrt CPI
- amended formulae in rows 60, 63, 70 and 73 so that they have a "pa" concatenated to the end of the number
- in row 66,67,75 and 76 added together the lump sums and the pension amounts if the member has a retirement age &gt;=55. Has conditional formatting to make boxes disappear if they are &lt;55.</t>
    </r>
  </si>
  <si>
    <t>Annual Salary Increase Assumptions</t>
  </si>
  <si>
    <t>v1.0</t>
  </si>
  <si>
    <t>\\Gad-fpt\fpt\NEW DATA\FPT Clients\Police\Scotland\General\Benefits Projection Calculator\Pension calculator Updated v1.0.xlsm</t>
  </si>
  <si>
    <t>2015 Scheme</t>
  </si>
  <si>
    <t>Scheme Conversion</t>
  </si>
  <si>
    <t>Changes agreed from</t>
  </si>
  <si>
    <t>\\Gad-fpt\fpt\NEW DATA\FPT Clients\Police\Scotland\General\Benefits Projection Calculator\161201SPPACalculatorAgreedChanges.docx</t>
  </si>
  <si>
    <t>Retirement Date</t>
  </si>
  <si>
    <t>Ret Age</t>
  </si>
  <si>
    <t>1. Assuming maximum commutation of pension</t>
  </si>
  <si>
    <t>2. Assuming no commutation of pension</t>
  </si>
  <si>
    <t>Total pension</t>
  </si>
  <si>
    <t>ABS Projection</t>
  </si>
  <si>
    <r>
      <t xml:space="preserve">Inputs and outputs
</t>
    </r>
    <r>
      <rPr>
        <sz val="10"/>
        <rFont val="Arial"/>
        <family val="2"/>
      </rPr>
      <t xml:space="preserve">- Changed data validation in I18 so that it doesn't get affected if new rows are entered or deleted on the page
- Changed validation terms to be 1987 scheme, 2006 scheme and 2015 scheme
- "CurrentScheme" variable moved to the </t>
    </r>
    <r>
      <rPr>
        <b/>
        <sz val="10"/>
        <rFont val="Arial"/>
        <family val="2"/>
      </rPr>
      <t xml:space="preserve">Parameters </t>
    </r>
    <r>
      <rPr>
        <sz val="10"/>
        <rFont val="Arial"/>
        <family val="2"/>
      </rPr>
      <t xml:space="preserve">tab
- Updated the comment box for the TV in section
- Minor wording changes in line with document below
- Changed retirement age to be chosen retirement date. This retirement date is then converted into a retirement age on the </t>
    </r>
    <r>
      <rPr>
        <b/>
        <sz val="10"/>
        <rFont val="Arial"/>
        <family val="2"/>
      </rPr>
      <t xml:space="preserve">Paramaters </t>
    </r>
    <r>
      <rPr>
        <sz val="10"/>
        <rFont val="Arial"/>
        <family val="2"/>
      </rPr>
      <t xml:space="preserve">tab
- Wording in benefits section reduced and colour scheme changed to differentiate between the different sections (and conditional formatting updated)
- Added current salary (H49)
- Added in section 3 which recreates the pension at age 60 from the ABS (80:85)
</t>
    </r>
    <r>
      <rPr>
        <b/>
        <sz val="10"/>
        <rFont val="Arial"/>
        <family val="2"/>
      </rPr>
      <t xml:space="preserve">Parameters
</t>
    </r>
    <r>
      <rPr>
        <sz val="10"/>
        <rFont val="Arial"/>
        <family val="2"/>
      </rPr>
      <t xml:space="preserve">- Reordered the ranks into seniority order, and only retained 5 of the ranks (rows 88:89)
- Reassign the current scheme on rows 91:97
- Calculate the chosen retirement age based on the retirement date
- Calculate retirement age based on the retirement date (B99:B102)
</t>
    </r>
    <r>
      <rPr>
        <b/>
        <sz val="10"/>
        <rFont val="Arial"/>
        <family val="2"/>
      </rPr>
      <t xml:space="preserve">PPS and NPPS Calcs
</t>
    </r>
    <r>
      <rPr>
        <sz val="10"/>
        <rFont val="Arial"/>
        <family val="2"/>
      </rPr>
      <t xml:space="preserve">- added in abs projection to 60 (53:69) which works in same way as normal PPS calcs except no discounting or revaluation and projecting to age 60
</t>
    </r>
    <r>
      <rPr>
        <b/>
        <sz val="10"/>
        <rFont val="Arial"/>
        <family val="2"/>
      </rPr>
      <t xml:space="preserve">CARE Calcs ABS
</t>
    </r>
    <r>
      <rPr>
        <sz val="10"/>
        <rFont val="Arial"/>
        <family val="2"/>
      </rPr>
      <t>- added in tab to calculate the projection to 60 without salary increases or revaluation or discounting.</t>
    </r>
  </si>
  <si>
    <t>-The results sections (1) and (2) allow for salary increases, inflation and revaluation of CARE benefits on three different sets of assumptions. The assumed salary increases do not allow for any future promotional salary increases you may receive.</t>
  </si>
  <si>
    <t>- The calculator does not show pension from other sources, for example the state pension or other private arrangements you may have.</t>
  </si>
  <si>
    <t>Your projected benefits under different salary increase assumptions, in current money terms (after adjusting for assumed future inflation).</t>
  </si>
  <si>
    <t>checked all changes. Agreed, subject to testing the ABS projection when we receive test cases from SPPA (today hopefully).</t>
  </si>
  <si>
    <t>v1.1</t>
  </si>
  <si>
    <t>\\Gad-fpt\fpt\NEW DATA\FPT Clients\Police\Scotland\General\Benefits Projection Calculator\Pension calculator Updated v1.1.xlsm</t>
  </si>
  <si>
    <t>Months</t>
  </si>
  <si>
    <t>Days</t>
  </si>
  <si>
    <t>Projected full time salary at retirement</t>
  </si>
  <si>
    <r>
      <t xml:space="preserve">Inputs and outputs 
</t>
    </r>
    <r>
      <rPr>
        <sz val="10"/>
        <rFont val="Arial"/>
        <family val="2"/>
      </rPr>
      <t>- Remove rows between current salary and projected salary at retirement</t>
    </r>
    <r>
      <rPr>
        <b/>
        <sz val="10"/>
        <rFont val="Arial"/>
        <family val="2"/>
      </rPr>
      <t xml:space="preserve">
</t>
    </r>
    <r>
      <rPr>
        <sz val="10"/>
        <rFont val="Arial"/>
        <family val="2"/>
      </rPr>
      <t xml:space="preserve">- Changed conditional formatting in row 76:77 and 82:84
- Deleted the date of benefit statement as not used in the calculations
- Labelled I27 as DoR
- added in NPPS lump sum to the ABS projection
</t>
    </r>
    <r>
      <rPr>
        <b/>
        <sz val="10"/>
        <rFont val="Arial"/>
        <family val="2"/>
      </rPr>
      <t xml:space="preserve">Parameters
</t>
    </r>
    <r>
      <rPr>
        <sz val="10"/>
        <rFont val="Arial"/>
        <family val="2"/>
      </rPr>
      <t xml:space="preserve">- Amended calculation of chosenra so that it is more precise (rows 101:104)
</t>
    </r>
    <r>
      <rPr>
        <b/>
        <sz val="10"/>
        <rFont val="Arial"/>
        <family val="2"/>
      </rPr>
      <t xml:space="preserve">ERF and LRF
</t>
    </r>
    <r>
      <rPr>
        <sz val="10"/>
        <rFont val="Arial"/>
        <family val="2"/>
      </rPr>
      <t xml:space="preserve">- added in the 2015 scheme ERF and LRF
</t>
    </r>
    <r>
      <rPr>
        <b/>
        <sz val="10"/>
        <rFont val="Arial"/>
        <family val="2"/>
      </rPr>
      <t xml:space="preserve">PPS and NPPS calcs
</t>
    </r>
    <r>
      <rPr>
        <sz val="10"/>
        <rFont val="Arial"/>
        <family val="2"/>
      </rPr>
      <t xml:space="preserve">- Changed row 23 to pick up the DoR from the inputs page
- D67 and E67 have had references to DoR changed to D55 and E55 respectively
</t>
    </r>
    <r>
      <rPr>
        <b/>
        <sz val="10"/>
        <rFont val="Arial"/>
        <family val="2"/>
      </rPr>
      <t xml:space="preserve">CARE calcs
</t>
    </r>
    <r>
      <rPr>
        <sz val="10"/>
        <rFont val="Arial"/>
        <family val="2"/>
      </rPr>
      <t xml:space="preserve">- D15, D25 and D26 had references to chosenra removed and replaced with the DoR
- Updated the ERF and LRF calcs using the actual factors (D32:F32)
</t>
    </r>
    <r>
      <rPr>
        <b/>
        <sz val="10"/>
        <rFont val="Arial"/>
        <family val="2"/>
      </rPr>
      <t xml:space="preserve">Summary
</t>
    </r>
    <r>
      <rPr>
        <sz val="10"/>
        <rFont val="Arial"/>
        <family val="2"/>
      </rPr>
      <t>- added in NPPS lump sum to the ABS projection</t>
    </r>
  </si>
  <si>
    <t>Date turned 60</t>
  </si>
  <si>
    <t>ERF</t>
  </si>
  <si>
    <t>Early and Late Retirement Factors</t>
  </si>
  <si>
    <t>v1.2</t>
  </si>
  <si>
    <t>Pension calculator Updated v1.2.xlsm</t>
  </si>
  <si>
    <r>
      <t xml:space="preserve">CARE calcs
</t>
    </r>
    <r>
      <rPr>
        <sz val="10"/>
        <rFont val="Arial"/>
        <family val="2"/>
      </rPr>
      <t>- added in additional proportion of year calc to D21:D22. This is used to weight up the last year of the LRF
- amended formulae in D23:24</t>
    </r>
  </si>
  <si>
    <t>checked and agreed changes, after amending the LRF factor calc for the final fraction of age.</t>
  </si>
  <si>
    <t>v1.3</t>
  </si>
  <si>
    <t>Pension calculator Updated v1.3.xlsm</t>
  </si>
  <si>
    <r>
      <rPr>
        <b/>
        <sz val="10"/>
        <rFont val="Arial"/>
        <family val="2"/>
      </rPr>
      <t xml:space="preserve">MJR change
CARE calcs
</t>
    </r>
    <r>
      <rPr>
        <sz val="10"/>
        <rFont val="Arial"/>
        <family val="2"/>
      </rPr>
      <t xml:space="preserve">- amended LRF calc
</t>
    </r>
    <r>
      <rPr>
        <b/>
        <sz val="10"/>
        <rFont val="Arial"/>
        <family val="2"/>
      </rPr>
      <t xml:space="preserve">AP change:
CARE calcs ABS
</t>
    </r>
    <r>
      <rPr>
        <sz val="10"/>
        <rFont val="Arial"/>
        <family val="2"/>
      </rPr>
      <t>- changed D7 to look at date60 if member is fully protected</t>
    </r>
  </si>
  <si>
    <t>changed cells d23 and 24 in CARE Calcs sheet to use condition '&lt;=60' rather than '&lt;60' to prevent a lookup error. Also removed '-1' from the expression to avoid entering the table at age 59 in error.</t>
  </si>
  <si>
    <t>Agree with changes to calculation</t>
  </si>
  <si>
    <t>v1.4</t>
  </si>
  <si>
    <t>\\Gad-fpt\fpt\NEW DATA\FPT Clients\Police\Scotland\General\Benefits Projection Calculator\Pension calculator Updated v1.4.xlsx</t>
  </si>
  <si>
    <r>
      <t xml:space="preserve">Parameters
</t>
    </r>
    <r>
      <rPr>
        <sz val="10"/>
        <rFont val="Arial"/>
        <family val="2"/>
      </rPr>
      <t>D102 changed so that there is no longer an issue with calculating the number of days past the DoR for edge cases</t>
    </r>
  </si>
  <si>
    <t>Agree</t>
  </si>
  <si>
    <t>Rounded figures</t>
  </si>
  <si>
    <t>Current salary</t>
  </si>
  <si>
    <t>1987 Scheme pension</t>
  </si>
  <si>
    <t>2015 Scheme pension</t>
  </si>
  <si>
    <t>Total lump sum</t>
  </si>
  <si>
    <t>Assuming max commutation</t>
  </si>
  <si>
    <t>Assuming no commutation</t>
  </si>
  <si>
    <t>v1.5</t>
  </si>
  <si>
    <t>\\Gad-fpt\fpt\NEW DATA\FPT Clients\Police\Scotland\General\Benefits Projection Calculator\Pension calculator Updated v1.5.xlsx</t>
  </si>
  <si>
    <t>Lump sum</t>
  </si>
  <si>
    <t>Lump sum underpin date</t>
  </si>
  <si>
    <r>
      <t xml:space="preserve">Inputs and outputs
</t>
    </r>
    <r>
      <rPr>
        <sz val="10"/>
        <rFont val="Arial"/>
        <family val="2"/>
      </rPr>
      <t xml:space="preserve">- updated output fields H47:L81 by pulling through from the summary tab
</t>
    </r>
    <r>
      <rPr>
        <b/>
        <sz val="10"/>
        <rFont val="Arial"/>
        <family val="2"/>
      </rPr>
      <t xml:space="preserve">Parameters
</t>
    </r>
    <r>
      <rPr>
        <sz val="10"/>
        <rFont val="Arial"/>
        <family val="2"/>
      </rPr>
      <t xml:space="preserve">- added lump sum underpin date to B109
</t>
    </r>
    <r>
      <rPr>
        <b/>
        <sz val="10"/>
        <rFont val="Arial"/>
        <family val="2"/>
      </rPr>
      <t xml:space="preserve">Commutation factors
</t>
    </r>
    <r>
      <rPr>
        <sz val="10"/>
        <rFont val="Arial"/>
        <family val="2"/>
      </rPr>
      <t>- added the pre 87 E&amp;W comm factors</t>
    </r>
    <r>
      <rPr>
        <b/>
        <sz val="10"/>
        <rFont val="Arial"/>
        <family val="2"/>
      </rPr>
      <t xml:space="preserve">
CARE calcs
</t>
    </r>
    <r>
      <rPr>
        <sz val="10"/>
        <rFont val="Arial"/>
        <family val="2"/>
      </rPr>
      <t xml:space="preserve">- amended row 39 so that if a member is tapered and their protection end date is after their retirement date then the CARE pension is 0
</t>
    </r>
    <r>
      <rPr>
        <b/>
        <sz val="10"/>
        <rFont val="Arial"/>
        <family val="2"/>
      </rPr>
      <t xml:space="preserve">Lump sum
</t>
    </r>
    <r>
      <rPr>
        <sz val="10"/>
        <rFont val="Arial"/>
        <family val="2"/>
      </rPr>
      <t xml:space="preserve">- calculating underpin of pre 87 commutation factor (D12:D15)
</t>
    </r>
    <r>
      <rPr>
        <b/>
        <sz val="10"/>
        <rFont val="Arial"/>
        <family val="2"/>
      </rPr>
      <t xml:space="preserve">Summary
</t>
    </r>
    <r>
      <rPr>
        <sz val="10"/>
        <rFont val="Arial"/>
        <family val="2"/>
      </rPr>
      <t>- added table of rounded figures (which are pulled through to the inputs/outputs tabs)</t>
    </r>
  </si>
  <si>
    <t>agree changes</t>
  </si>
  <si>
    <t>removed projected salary from inputs and outputs</t>
  </si>
  <si>
    <t>removed results section C from inputs and outputs</t>
  </si>
  <si>
    <t>Changed pre-2015 lump sum calculation to use total service from djs to dor, rather than total pre-2015 scheme service. In lump sum sheet.</t>
  </si>
  <si>
    <t>Pooja V</t>
  </si>
  <si>
    <t>OK</t>
  </si>
  <si>
    <t xml:space="preserve">This has been amended </t>
  </si>
  <si>
    <t>Section 3 deleted ok
Checked that if member retires over age 55 then the total pension and lumpsum figs are shown in section 1 and 2</t>
  </si>
  <si>
    <t>v1.6</t>
  </si>
  <si>
    <t>changed cell d27 in CARE calcs sheet to chosen RA&lt;=60, instead of &lt;60. This prevents a divide by zero error at chosenRA=60</t>
  </si>
  <si>
    <t>changed calculation in F18 of Lump Sum sheet to add on any transferred-in service to the reckonable service.</t>
  </si>
  <si>
    <t>changed all rounding in summary sheet for output to nearest pound, rather than hundred.</t>
  </si>
  <si>
    <t>changed the calculation of reckonable service in cell f18 of the lump sum calcs sheet to use the day before ChosenRA. SPPA feedback said this is what the schemes do - 30 years reckonable service is achieved on ret the day after raching 30 years.</t>
  </si>
  <si>
    <t>Past service from ABS?</t>
  </si>
  <si>
    <t>v1.7</t>
  </si>
  <si>
    <t>changed the inputs sheet to include a check box to indicate whether to approximate past CARE and hide the inputs, or to use the inputs. The past service care calcs sheet was changed to include an if function to select the input or the approximation. The appproximation appears only if the scheme year is prior to the start of current scheme year.</t>
  </si>
  <si>
    <t>Check box ok. Amended conditional formatting so colour matches</t>
  </si>
  <si>
    <t>3. The date you joined the scheme (dd/mm/yyyy)</t>
  </si>
  <si>
    <r>
      <t xml:space="preserve">Most figures ok. ABS projection didn't have this applied (not important as section C on </t>
    </r>
    <r>
      <rPr>
        <b/>
        <sz val="10"/>
        <rFont val="Arial"/>
        <family val="2"/>
      </rPr>
      <t xml:space="preserve">Inputs and outputs </t>
    </r>
    <r>
      <rPr>
        <sz val="10"/>
        <rFont val="Arial"/>
        <family val="2"/>
      </rPr>
      <t>tab has been deleted.</t>
    </r>
  </si>
  <si>
    <t>OK, but need rounding on D18</t>
  </si>
  <si>
    <t>2. Your name (first name and surname)</t>
  </si>
  <si>
    <t>v1.8</t>
  </si>
  <si>
    <r>
      <rPr>
        <b/>
        <sz val="10"/>
        <rFont val="Arial"/>
        <family val="2"/>
      </rPr>
      <t xml:space="preserve">Inputs and outputs
</t>
    </r>
    <r>
      <rPr>
        <sz val="10"/>
        <rFont val="Arial"/>
        <family val="2"/>
      </rPr>
      <t xml:space="preserve">Amended conditional formatting related to checkbox so that colour matches the surrounding area. Added in 'Name' as an input option. 
</t>
    </r>
    <r>
      <rPr>
        <b/>
        <sz val="10"/>
        <rFont val="Arial"/>
        <family val="2"/>
      </rPr>
      <t>Lump sum</t>
    </r>
    <r>
      <rPr>
        <sz val="10"/>
        <rFont val="Arial"/>
        <family val="2"/>
      </rPr>
      <t xml:space="preserve">
Round D18 so that numbers which are essentially full years can be rounded.</t>
    </r>
  </si>
  <si>
    <t>Data filled in</t>
  </si>
  <si>
    <t>Illustration of pension benefits for retirement at</t>
  </si>
  <si>
    <t>Name</t>
  </si>
  <si>
    <t>Date of joining the scheme</t>
  </si>
  <si>
    <t xml:space="preserve">Pensionable Earnings  </t>
  </si>
  <si>
    <t>Your projected benefits in current money terms (after adjusting for assumed future inflation*)</t>
  </si>
  <si>
    <t>Amounts following maximum commutation:</t>
  </si>
  <si>
    <t>Lump Sum</t>
  </si>
  <si>
    <t>* CPI 2%</t>
  </si>
  <si>
    <t xml:space="preserve">This calculator is for guidance purposes only. It is an estimate only and is not a guarantee of future benefits. It is not intended to provide you with financial advice. If you require financial advice, you should contact an independent financial adviser. </t>
  </si>
  <si>
    <t xml:space="preserve">This projection should be read along with the accompanying notes. </t>
  </si>
  <si>
    <t>Pension</t>
  </si>
  <si>
    <t>v1.9</t>
  </si>
  <si>
    <t xml:space="preserve">Printed on </t>
  </si>
  <si>
    <r>
      <t xml:space="preserve">Printable Estimates
</t>
    </r>
    <r>
      <rPr>
        <sz val="10"/>
        <rFont val="Arial"/>
        <family val="2"/>
      </rPr>
      <t>- updated wording in projected benefits to align with Iain Coltman's email
- updated formulae in B27:G52
- updated conditional formatting in B27:G52
- moved some of the wording and caveats around on page
- set a print area</t>
    </r>
  </si>
  <si>
    <t>Tejas</t>
  </si>
  <si>
    <t>Happy with changes.</t>
  </si>
  <si>
    <t>Scottish Fire pension  projection calculator</t>
  </si>
  <si>
    <t>NFPS</t>
  </si>
  <si>
    <t>FPS</t>
  </si>
  <si>
    <t>reach 30 years' FPS service</t>
  </si>
  <si>
    <t>reach 25 years' FPS service</t>
  </si>
  <si>
    <t xml:space="preserve"> min when reach 30 years' FPS service, or 50-55 if get to 25 years total service then, o/w 55.  Max 65</t>
  </si>
  <si>
    <t>NFPS min 55, max 65</t>
  </si>
  <si>
    <t>FPS min when reach 30 years' FPS service, or 50-55 if get to 25 years total service then, o/w 55.  Max 65</t>
  </si>
  <si>
    <t>Age at entry</t>
  </si>
  <si>
    <t>Age @ entry</t>
  </si>
  <si>
    <t>&lt;=55</t>
  </si>
  <si>
    <t>FPS and NFPS calcs</t>
  </si>
  <si>
    <t>Uplift in service applicable to members who were in FPS but then joined NFPS (assumed to be on DJS or shortly afterwards)</t>
  </si>
  <si>
    <t>i.e. applicable to NFPS members who have a DJS of earlier than the NFPS start date</t>
  </si>
  <si>
    <t>Below 50</t>
  </si>
  <si>
    <t>\\gad-fpt\NEW DATA\FPT Clients\Fire\E\Factors\_FACTORS &amp; GUIDANCE IN FORCE\1992 Scheme\Commutation\1992 Scheme (E,W), FPS 2007 (NI) commutation guidance 18March2016.pdf</t>
  </si>
  <si>
    <t>\\gad-fpt\NEW DATA\FPT Clients\Fire\E\Factors\_FACTORS &amp; GUIDANCE IN FORCE\1992 Scheme\Commutation\1992 Scheme (E&amp;W) and FPS 2007 (NI) - Commutation on retirement Factors_18 March 2016.xlsx</t>
  </si>
  <si>
    <t>1992 Scheme Commutation Factors England (may use prior to underpin date)</t>
  </si>
  <si>
    <t>LRF</t>
  </si>
  <si>
    <t>v0.2</t>
  </si>
  <si>
    <r>
      <t xml:space="preserve">Inputs and outputs
</t>
    </r>
    <r>
      <rPr>
        <sz val="10"/>
        <rFont val="Arial"/>
        <family val="2"/>
      </rPr>
      <t xml:space="preserve">- amended schemes B123:B125
- reduced min current pen sal B131
- changed references to "PPS" and "NPPS" to "FPS" and "NFPS"
</t>
    </r>
    <r>
      <rPr>
        <b/>
        <sz val="10"/>
        <rFont val="Arial"/>
        <family val="2"/>
      </rPr>
      <t xml:space="preserve">Parameters
</t>
    </r>
    <r>
      <rPr>
        <sz val="10"/>
        <rFont val="Arial"/>
        <family val="2"/>
      </rPr>
      <t xml:space="preserve">- changed references to "PPS" and "NPPS" to "FPS" and "NFPS"
- updated F16:22
- added in new pension uplift table B59:H104
- deleted lump sum, ERF (CARE) and LRF (CARE) figures as these are not needed
</t>
    </r>
    <r>
      <rPr>
        <b/>
        <sz val="10"/>
        <rFont val="Arial"/>
        <family val="2"/>
      </rPr>
      <t xml:space="preserve">Tapers
</t>
    </r>
    <r>
      <rPr>
        <sz val="10"/>
        <rFont val="Arial"/>
        <family val="2"/>
      </rPr>
      <t xml:space="preserve">- updated tapers
</t>
    </r>
    <r>
      <rPr>
        <b/>
        <sz val="10"/>
        <rFont val="Arial"/>
        <family val="2"/>
      </rPr>
      <t xml:space="preserve">Commutation Factors
</t>
    </r>
    <r>
      <rPr>
        <sz val="10"/>
        <rFont val="Arial"/>
        <family val="2"/>
      </rPr>
      <t xml:space="preserve">- updated commutation factors
</t>
    </r>
    <r>
      <rPr>
        <b/>
        <sz val="10"/>
        <rFont val="Arial"/>
        <family val="2"/>
      </rPr>
      <t xml:space="preserve">ERF and LRF
</t>
    </r>
    <r>
      <rPr>
        <sz val="10"/>
        <rFont val="Arial"/>
        <family val="2"/>
      </rPr>
      <t xml:space="preserve">- updated with new NFPS ERFs
- updated with CARE ERF and LRF
</t>
    </r>
    <r>
      <rPr>
        <b/>
        <sz val="10"/>
        <rFont val="Arial"/>
        <family val="2"/>
      </rPr>
      <t xml:space="preserve">FPS and NFPS Calcs
</t>
    </r>
    <r>
      <rPr>
        <sz val="10"/>
        <rFont val="Arial"/>
        <family val="2"/>
      </rPr>
      <t xml:space="preserve">- changed references to "PPS" and "NPPS" to "FPS" and "NFPS"
- changed formulae in column F to use parameter Sch_FPS
- changed rows 11:15 so it is consistent with old calculator
</t>
    </r>
    <r>
      <rPr>
        <b/>
        <sz val="10"/>
        <rFont val="Arial"/>
        <family val="2"/>
      </rPr>
      <t xml:space="preserve">Lump sum
</t>
    </r>
    <r>
      <rPr>
        <sz val="10"/>
        <rFont val="Arial"/>
        <family val="2"/>
      </rPr>
      <t>- amended D12 and D25:F28</t>
    </r>
  </si>
  <si>
    <t>mjr 8/5/17: ok - cf circ 27/2006</t>
  </si>
  <si>
    <t>Adjusted for any career break to determine protection</t>
  </si>
  <si>
    <r>
      <t xml:space="preserve">- </t>
    </r>
    <r>
      <rPr>
        <b/>
        <sz val="10"/>
        <rFont val="Arial"/>
        <family val="2"/>
      </rPr>
      <t>This calculator is solely for guidance purposes and is an estimate only</t>
    </r>
    <r>
      <rPr>
        <sz val="10"/>
        <rFont val="Arial"/>
        <family val="2"/>
      </rPr>
      <t xml:space="preserve">. It is not intended to provide you with financial advice. If you require financial advice, you should contact an independent financial adviser. </t>
    </r>
  </si>
  <si>
    <t>- The amount of pension you may receive depends on when you retire.</t>
  </si>
  <si>
    <t>- The illustrations do not allow for taxation. Your benefits will be subject to the various tax rates and limits in force when you retire. Further information on taxation is available on the SPPA website. You may wish to seek specialist advice if you think you could be affected.</t>
  </si>
  <si>
    <t>- Your scheme provides survivor benefits payable in the event of your death. These are not shown here. See your scheme guide for details.</t>
  </si>
  <si>
    <t>- The results produced are not formal statement of your entitlements.</t>
  </si>
  <si>
    <t>- This calculator only applies to the scheme in Scotland</t>
  </si>
  <si>
    <t>- Allowing for promotional salary increases would increase the projected benefits.</t>
  </si>
  <si>
    <t>- If you wish to seek financial advice, please contact an authorised independent financial adviser. The results above are not to be considered as financial advice.  SPPA does not accept responsibility for the accuracy of results produced.</t>
  </si>
  <si>
    <t>Annual benefit statement years for drop down</t>
  </si>
  <si>
    <t>mjr: ok checked against factors folder</t>
  </si>
  <si>
    <t>Table 1</t>
  </si>
  <si>
    <t>Table 2</t>
  </si>
  <si>
    <t>full protection</t>
  </si>
  <si>
    <t>Age at protection date in complete months</t>
  </si>
  <si>
    <t>Above cell in complete months</t>
  </si>
  <si>
    <t>full prot</t>
  </si>
  <si>
    <t>Protection status calculations</t>
  </si>
  <si>
    <t>Removed the rank input. Not applicable to Fire. Changed VRA to 55 for all pre-15 service in Lump Sum sheet</t>
  </si>
  <si>
    <t>Changed cell d21 in lump sum calcs. Simpler criteria for the cash lump sum multiple for Fire. Added logical tests</t>
  </si>
  <si>
    <t>Still to reflect the late changes to Police into this version. Also to add another scheme to cater for special firefighters.</t>
  </si>
  <si>
    <t>v0.0</t>
  </si>
  <si>
    <r>
      <rPr>
        <b/>
        <sz val="10"/>
        <rFont val="Arial"/>
        <family val="2"/>
      </rPr>
      <t xml:space="preserve">Inputs and outputs
</t>
    </r>
    <r>
      <rPr>
        <sz val="10"/>
        <rFont val="Arial"/>
        <family val="2"/>
      </rPr>
      <t>- updated B137:138 to account for the correct minimum age
- updated B47 to remove one of the if statements</t>
    </r>
    <r>
      <rPr>
        <b/>
        <sz val="10"/>
        <rFont val="Arial"/>
        <family val="2"/>
      </rPr>
      <t xml:space="preserve">
Commutation Factors</t>
    </r>
    <r>
      <rPr>
        <sz val="10"/>
        <rFont val="Arial"/>
        <family val="2"/>
      </rPr>
      <t xml:space="preserve">
- added in England factors
</t>
    </r>
    <r>
      <rPr>
        <b/>
        <sz val="10"/>
        <rFont val="Arial"/>
        <family val="2"/>
      </rPr>
      <t xml:space="preserve">FPS and NFPS calcs
</t>
    </r>
    <r>
      <rPr>
        <sz val="10"/>
        <rFont val="Arial"/>
        <family val="2"/>
      </rPr>
      <t xml:space="preserve">- updated E34:36 to account for ERF and LRF
- adjusted ABS projection figures so that they have a consistent methodology
</t>
    </r>
    <r>
      <rPr>
        <b/>
        <sz val="10"/>
        <rFont val="Arial"/>
        <family val="2"/>
      </rPr>
      <t xml:space="preserve">CARE Calcs
</t>
    </r>
    <r>
      <rPr>
        <sz val="10"/>
        <rFont val="Arial"/>
        <family val="2"/>
      </rPr>
      <t xml:space="preserve">- removed weighting and recalculated the ERF and LRF (D21:22 and D35:F35)
</t>
    </r>
    <r>
      <rPr>
        <b/>
        <sz val="10"/>
        <rFont val="Arial"/>
        <family val="2"/>
      </rPr>
      <t>Lump sum</t>
    </r>
    <r>
      <rPr>
        <sz val="10"/>
        <rFont val="Arial"/>
        <family val="2"/>
      </rPr>
      <t xml:space="preserve">
- updated D12:D15 to ensure the correct figures are pulled up
- updated D18 so that full time service worked out in one step</t>
    </r>
  </si>
  <si>
    <t>link to FAQs</t>
  </si>
  <si>
    <t>2015 Microsite</t>
  </si>
  <si>
    <t>Scheme Guides</t>
  </si>
  <si>
    <t>Number of years service used in calculating final salary benefits</t>
  </si>
  <si>
    <t>OK, all VRAs on parameter tab changed to 65 and then first of these selected on lump sum sheet</t>
  </si>
  <si>
    <t>Reckonable service to 55</t>
  </si>
  <si>
    <t>&lt;25 at 55?</t>
  </si>
  <si>
    <t>Date 55</t>
  </si>
  <si>
    <r>
      <t xml:space="preserve">Lump sum
</t>
    </r>
    <r>
      <rPr>
        <sz val="10"/>
        <rFont val="Arial"/>
        <family val="2"/>
      </rPr>
      <t>Corrected typo in I22</t>
    </r>
  </si>
  <si>
    <r>
      <t xml:space="preserve">FPS and NFPS calcs
</t>
    </r>
    <r>
      <rPr>
        <sz val="10"/>
        <rFont val="Arial"/>
        <family val="2"/>
      </rPr>
      <t>Added iferror statements to K15,18,22,27 and N15</t>
    </r>
  </si>
  <si>
    <r>
      <t xml:space="preserve">Changes from latest police calculator
</t>
    </r>
    <r>
      <rPr>
        <sz val="10"/>
        <rFont val="Arial"/>
        <family val="2"/>
      </rPr>
      <t>Implemented changes from latest version of calculator</t>
    </r>
  </si>
  <si>
    <r>
      <t xml:space="preserve">Calculator
</t>
    </r>
    <r>
      <rPr>
        <sz val="10"/>
        <rFont val="Arial"/>
        <family val="2"/>
      </rPr>
      <t xml:space="preserve">Added in conditional formatting for part-time and 2015 scheme
Updated conditional formatting in results part as well
Amended formula in B54 to correct numbering of question based on part-time and 2015 scheme membership
Added in reckonable service calcluation F154:157 and amended data validation in B155 to restrict the minimum age to 55 if service &lt; 25
Amend D170 to remove error message
</t>
    </r>
    <r>
      <rPr>
        <b/>
        <sz val="10"/>
        <rFont val="Arial"/>
        <family val="2"/>
      </rPr>
      <t/>
    </r>
  </si>
  <si>
    <t>Pre-15 service used to calculate FS pension</t>
  </si>
  <si>
    <r>
      <t xml:space="preserve">FPS and NFPS calcs
</t>
    </r>
    <r>
      <rPr>
        <sz val="10"/>
        <rFont val="Arial"/>
        <family val="2"/>
      </rPr>
      <t>Changed D23 to include career breaks
Added in service used for pre 15 scheme (row 55)</t>
    </r>
  </si>
  <si>
    <r>
      <rPr>
        <b/>
        <sz val="10"/>
        <rFont val="Arial"/>
        <family val="2"/>
      </rPr>
      <t>Calculator</t>
    </r>
    <r>
      <rPr>
        <sz val="10"/>
        <rFont val="Arial"/>
        <family val="2"/>
      </rPr>
      <t xml:space="preserve">
Added an output (H66) to show the number of years' service used in calculating the final salary benefits</t>
    </r>
  </si>
  <si>
    <r>
      <t xml:space="preserve">Parameters
</t>
    </r>
    <r>
      <rPr>
        <sz val="10"/>
        <rFont val="Arial"/>
        <family val="2"/>
      </rPr>
      <t>Updated DoStartSchemeYear (D98) so if part-time, then 1 april in the year of the ABS date (defaults to calculated value if date not entered).</t>
    </r>
  </si>
  <si>
    <t>2015 scheme start</t>
  </si>
  <si>
    <r>
      <t xml:space="preserve">Past service care calcs
</t>
    </r>
    <r>
      <rPr>
        <sz val="10"/>
        <rFont val="Arial"/>
        <family val="2"/>
      </rPr>
      <t>Updated row 16 so that it correctly deals with the number of days in a year
if the check box on the input screen is ticked and any of the past CARE input cells is blank, replace with the estimated value for that year. Amended row 18 in the past service CARE calcs sheet.</t>
    </r>
  </si>
  <si>
    <r>
      <t xml:space="preserve">Care calcs
</t>
    </r>
    <r>
      <rPr>
        <sz val="10"/>
        <rFont val="Arial"/>
        <family val="2"/>
      </rPr>
      <t>Changed CARE calcs to prevent negative service. Changed CARE Calcs cell d15 to be no less than zero.</t>
    </r>
  </si>
  <si>
    <r>
      <t>Typo in I22, should be &lt;=55 (instead of &lt;=30)
Consider whether to amend reckonable service in this area
Happy with CARE rate</t>
    </r>
    <r>
      <rPr>
        <b/>
        <sz val="10"/>
        <rFont val="Arial"/>
        <family val="2"/>
      </rPr>
      <t xml:space="preserve">
</t>
    </r>
    <r>
      <rPr>
        <sz val="10"/>
        <rFont val="Arial"/>
        <family val="2"/>
      </rPr>
      <t>Happy with tables 1 and 2 of taper, but unsure where tables 3-5 come from
For protection calcs on FPS and NFPS calcs sheet, unsure where I24:J24 needed
Agree with uplift lookup</t>
    </r>
  </si>
  <si>
    <r>
      <t xml:space="preserve">corrected 2015 accrual to 1/61.6 </t>
    </r>
    <r>
      <rPr>
        <b/>
        <sz val="10"/>
        <rFont val="Arial"/>
        <family val="2"/>
      </rPr>
      <t xml:space="preserve"> </t>
    </r>
    <r>
      <rPr>
        <sz val="10"/>
        <rFont val="Arial"/>
        <family val="2"/>
      </rPr>
      <t xml:space="preserve">                                                                 Agree pension uplift factors for 2006 scheme</t>
    </r>
    <r>
      <rPr>
        <b/>
        <sz val="10"/>
        <rFont val="Arial"/>
        <family val="2"/>
      </rPr>
      <t xml:space="preserve">. </t>
    </r>
    <r>
      <rPr>
        <sz val="10"/>
        <rFont val="Arial"/>
        <family val="2"/>
      </rPr>
      <t xml:space="preserve">Corrected the uplift factor lookup in sheet(FPS and NFPS Calcs). It was using service, from d10. I created a lookup column calculation in cell d15.  </t>
    </r>
    <r>
      <rPr>
        <b/>
        <sz val="10"/>
        <rFont val="Arial"/>
        <family val="2"/>
      </rPr>
      <t xml:space="preserve">   </t>
    </r>
    <r>
      <rPr>
        <sz val="10"/>
        <rFont val="Arial"/>
        <family val="2"/>
      </rPr>
      <t xml:space="preserve">                                                              Agree the Fire commutation factors and tables.       Those ERF and LFR figures are not used, so OK.        </t>
    </r>
    <r>
      <rPr>
        <b/>
        <sz val="10"/>
        <rFont val="Arial"/>
        <family val="2"/>
      </rPr>
      <t>I have copied taper tables 1-5 directly from the 2015  Scottish Fire regulations SI 2015/19</t>
    </r>
    <r>
      <rPr>
        <sz val="10"/>
        <rFont val="Arial"/>
        <family val="2"/>
      </rPr>
      <t xml:space="preserve">. We should use these to perform accurate taper calculations.      I agree the ERF and LRF tables for 2007 and 2015 schemes.       I added new calculations in FPS and NFPS calcs to determine the protection status and taper end date if applicable. </t>
    </r>
    <r>
      <rPr>
        <b/>
        <sz val="10"/>
        <rFont val="Arial"/>
        <family val="2"/>
      </rPr>
      <t xml:space="preserve">  </t>
    </r>
    <r>
      <rPr>
        <sz val="10"/>
        <rFont val="Arial"/>
        <family val="2"/>
      </rPr>
      <t>rows11:15 ok.</t>
    </r>
  </si>
  <si>
    <t>MJR</t>
  </si>
  <si>
    <t>changed calculator/b158 to have min age of 50 in for FPS instead of 48.</t>
  </si>
  <si>
    <t>Inputs and outputs - change to cells b137:138 is actually b158:159. agreed.           I agree commutation factors.        Check the erf application. Default age of 48 in the formula in cell is wrong.        We need validation on FPS retirement date to check 25 years service condition is met. Use the service in D28 for this validation. This will only work after all the service parameters have been input, including part-time details, so may not be possible. Needs thought. Also affects Police.</t>
  </si>
  <si>
    <t>erf lookup function is ok.</t>
  </si>
  <si>
    <t>Validation of chosen ret date is not right for FPS ages &lt; 55. Needs to use fully calculated service, allowing for part-time, career break etc. The correct calculation result is inFPS and NFPS calcs, cell D28. Need to replicate this in the validation.</t>
  </si>
  <si>
    <t>age at start of sch year</t>
  </si>
  <si>
    <t>service at start of sch year</t>
  </si>
  <si>
    <t>Full protection</t>
  </si>
  <si>
    <t>years to reach 25</t>
  </si>
  <si>
    <t>date reach 25</t>
  </si>
  <si>
    <t>age reach 25</t>
  </si>
  <si>
    <t>protection</t>
  </si>
  <si>
    <t>Validation</t>
  </si>
  <si>
    <t>On after taper end date</t>
  </si>
  <si>
    <t>Short-term adjustment</t>
  </si>
  <si>
    <t>ok</t>
  </si>
  <si>
    <t>changed the retirement date validation to account for the 25 year service criterion. See row 8s above for description.</t>
  </si>
  <si>
    <t>career break input  only to be enabled if member has service before 1/4/2015, and was part-time. This is needed for the protection calcs.</t>
  </si>
  <si>
    <t>OK AP 27/06/2017</t>
  </si>
  <si>
    <t>Check</t>
  </si>
  <si>
    <t>I can't see this. D159 uses min(55,age next birthday)</t>
  </si>
  <si>
    <r>
      <t xml:space="preserve">Calculator
</t>
    </r>
    <r>
      <rPr>
        <sz val="10"/>
        <rFont val="Arial"/>
        <family val="2"/>
      </rPr>
      <t xml:space="preserve">Amended formula in B54 and B57 and extended conditional formatting so that career break disappears when member is full time or only part of the 2015 scheme
Data validation OK
</t>
    </r>
    <r>
      <rPr>
        <b/>
        <sz val="10"/>
        <rFont val="Arial"/>
        <family val="2"/>
      </rPr>
      <t xml:space="preserve">FPS and NFPS calcs
</t>
    </r>
    <r>
      <rPr>
        <sz val="10"/>
        <rFont val="Arial"/>
        <family val="2"/>
      </rPr>
      <t>Updated M13:14 with correct formula</t>
    </r>
  </si>
  <si>
    <t>27/619</t>
  </si>
  <si>
    <r>
      <rPr>
        <b/>
        <sz val="10"/>
        <rFont val="Arial"/>
        <family val="2"/>
      </rPr>
      <t>Calculator</t>
    </r>
    <r>
      <rPr>
        <sz val="10"/>
        <rFont val="Arial"/>
        <family val="2"/>
      </rPr>
      <t xml:space="preserve">
F:G158 OK
</t>
    </r>
    <r>
      <rPr>
        <b/>
        <sz val="10"/>
        <rFont val="Arial"/>
        <family val="2"/>
      </rPr>
      <t xml:space="preserve">FPS and NFPS calcs
</t>
    </r>
    <r>
      <rPr>
        <sz val="10"/>
        <rFont val="Arial"/>
        <family val="2"/>
      </rPr>
      <t xml:space="preserve">Taper 2 incorrect, should look aat DOB not D9 </t>
    </r>
  </si>
  <si>
    <t>mjr: for Fire this is NAE assumption. Using 3% exactly causes error.</t>
  </si>
  <si>
    <t>michael rae</t>
  </si>
  <si>
    <t>Changed the in service revaluation from 4% to 3%</t>
  </si>
  <si>
    <t>age reach 30</t>
  </si>
  <si>
    <t>date reach 30</t>
  </si>
  <si>
    <t>years to reach 30</t>
  </si>
  <si>
    <t>if reach 25 years service after end of taper, put age 55. The member can always retire at 55.</t>
  </si>
  <si>
    <t>Changed the validation of retirment date to allow for 30 years service. See rows 155 -163 in calculator sheet.</t>
  </si>
  <si>
    <t>2008 Scheme</t>
  </si>
  <si>
    <t>1995 Scheme</t>
  </si>
  <si>
    <t>1995 Section</t>
  </si>
  <si>
    <t>2008 Section</t>
  </si>
  <si>
    <t>2008 Section start date</t>
  </si>
  <si>
    <t>Service between 2008 Section start date and protection date</t>
  </si>
  <si>
    <t>Delete?</t>
  </si>
  <si>
    <t>2008 Scheme Commutation Factor</t>
  </si>
  <si>
    <t>1995 Scheme Commutation Factors Scotland</t>
  </si>
  <si>
    <t>1995 Scheme Commutation Factor</t>
  </si>
  <si>
    <t>TABLE ERF1</t>
  </si>
  <si>
    <t>BENEFITS PAYABLE TO THE MEMBER ON VOLUNTARY EARLY RETIREMENT (WITH ACTUARIAL REDUCTION)</t>
  </si>
  <si>
    <t>MEMBERS OF 1995 SECTION (RELATIVE TO PENSION AGE OF 60)</t>
  </si>
  <si>
    <t>Age: complete months</t>
  </si>
  <si>
    <t>PENSION FACTORS</t>
  </si>
  <si>
    <t>TABLE ERF2</t>
  </si>
  <si>
    <t>MEMBERS OF 1995 or 2008 SECTION (RELATIVE TO PENSION AGE OF 65)</t>
  </si>
  <si>
    <t>Complete Years</t>
  </si>
  <si>
    <t>Complete Years:</t>
  </si>
  <si>
    <t>TABLE ERF7</t>
  </si>
  <si>
    <t>AGE: complete months</t>
  </si>
  <si>
    <t>LUMP SUM FACTORS</t>
  </si>
  <si>
    <t> Complete Years:</t>
  </si>
  <si>
    <r>
      <t> </t>
    </r>
    <r>
      <rPr>
        <b/>
        <sz val="8"/>
        <rFont val="Arial"/>
        <family val="2"/>
      </rPr>
      <t>Complete Years:</t>
    </r>
  </si>
  <si>
    <t>TABLE LRF1</t>
  </si>
  <si>
    <t>BENEFITS PAYABLE TO THE MEMBER ON LATE RETIREMENT (WITH ACTUARIAL UPLIFT)</t>
  </si>
  <si>
    <t>MEMBERS OF 2008 SECTION (RELATIVE TO PENSION AGE OF 65)</t>
  </si>
  <si>
    <t>TABLE LRF2</t>
  </si>
  <si>
    <t xml:space="preserve">MEMBERS OF 2008 SECTION – PURCHASED NPA 65 ADDITIONAL PENSION CONTRACTS EXERCISED BEFORE 1 APRIL 2011 </t>
  </si>
  <si>
    <t>Age at 2008 Section start</t>
  </si>
  <si>
    <t>Service at 2008 Section start date</t>
  </si>
  <si>
    <t>Revaluation Rate - CPI + 1.5%</t>
  </si>
  <si>
    <t xml:space="preserve">TABLE ERF1 </t>
  </si>
  <si>
    <t>FACTORS APPLICABLE TO MAIN SCHEME PENSION AND ADDITIONAL PENSION</t>
  </si>
  <si>
    <t>Time to NPA: Months</t>
  </si>
  <si>
    <t xml:space="preserve">  Notes: </t>
  </si>
  <si>
    <t>(1) NPA should be substituted for RRA where appropriate</t>
  </si>
  <si>
    <t xml:space="preserve">             </t>
  </si>
  <si>
    <t>(2) AP should be pro-rated to take account of unpaid contributions at date of retirement. Any paid up AP entitlement should include PI to DOR</t>
  </si>
  <si>
    <t xml:space="preserve">(3) The appropriate factor is based on the period between DOR and NPA (or RRA) in years and months, rounded up to the next higher month.  </t>
  </si>
  <si>
    <t xml:space="preserve">TABLE LRF1 </t>
  </si>
  <si>
    <t>FACTORS APPLICABLE TO MAIN SCHEME PENSION FOR MEMBERS RETIRING FROM ACTIVE SERVICE</t>
  </si>
  <si>
    <t>Time after NPA: Months</t>
  </si>
  <si>
    <t>Years:</t>
  </si>
  <si>
    <t xml:space="preserve">Notes: </t>
  </si>
  <si>
    <t xml:space="preserve">(2) The appropriate factor is based on the period between DOR and NPA (or RRA) in years and complete months.  </t>
  </si>
  <si>
    <t xml:space="preserve">TABLE LRF2 </t>
  </si>
  <si>
    <t xml:space="preserve">           </t>
  </si>
  <si>
    <t xml:space="preserve">(2) AP entitlement should include PI to DOR </t>
  </si>
  <si>
    <t xml:space="preserve">(3) The appropriate factor is based on the period between DOR and NPA (or RRA) in years and complete months.  </t>
  </si>
  <si>
    <t>SPA Date</t>
  </si>
  <si>
    <t>NHS CARE scheme ERF lookup function</t>
  </si>
  <si>
    <t>NHS CARE scheme LRF lookup function</t>
  </si>
  <si>
    <t>DoR + Years</t>
  </si>
  <si>
    <t>DoR + Years + Months</t>
  </si>
  <si>
    <t>DoR + Years + Months + Days</t>
  </si>
  <si>
    <t>Time from retirement date to SPA in years, months and days.</t>
  </si>
  <si>
    <t>Time from SPA to retirement date in years, months and days.</t>
  </si>
  <si>
    <t>Time from SPA to retirement date "in complete years and months".</t>
  </si>
  <si>
    <t>Time from retirement date to SPA "rounded up to the next higher month".</t>
  </si>
  <si>
    <t>SPA + Years</t>
  </si>
  <si>
    <t>SPA + Years + Months</t>
  </si>
  <si>
    <t>SPA + Years + Months + Days</t>
  </si>
  <si>
    <t>N/A</t>
  </si>
  <si>
    <t>For Additional Pension:</t>
  </si>
  <si>
    <t>The NHS Pension Scheme allows for part of your pension to be exchanged for a lump sum at retirement. This is called commutation.</t>
  </si>
  <si>
    <t>age &gt;= 50 on protection date</t>
  </si>
  <si>
    <t>In service on protection date</t>
  </si>
  <si>
    <t>In service</t>
  </si>
  <si>
    <t>age &gt;= 55</t>
  </si>
  <si>
    <t>https://www.nhsbsa.nhs.uk/sites/default/files/2017-05/Tapered%20Protection%20calculator%20%28V3%29%2005.2017.pdf</t>
  </si>
  <si>
    <t>1995 Section - NPA60</t>
  </si>
  <si>
    <t>2008 Section - NPA65</t>
  </si>
  <si>
    <t>NPA</t>
  </si>
  <si>
    <t>Age at 2012</t>
  </si>
  <si>
    <t>NPA - Age at 2012</t>
  </si>
  <si>
    <t>NPA - Age &lt; 10</t>
  </si>
  <si>
    <t>10 &lt;= NPA - Age &lt;= 13.5</t>
  </si>
  <si>
    <t>NPA - Age &gt; 13.5</t>
  </si>
  <si>
    <t>Pre-2015 Calcs - Nominal</t>
  </si>
  <si>
    <t>ERF/LRF</t>
  </si>
  <si>
    <t>Age at Retirement less NPA</t>
  </si>
  <si>
    <t>\\Gad-nhsaf\nhsaf\A4\Data\A4 NHS\Scotland\2014\2015 Factor review\Final Guidance and Factors\2015 scheme guidance\ERLR\Scotland - 2015 Scheme - ERLR.xlsx</t>
  </si>
  <si>
    <t>\\Gad-nhsaf\nhsaf\A4\Data\A4 NHS\Scotland\2014\2015 Factor review\Final Guidance and Factors\Existing schemes guidance\ER_LR\Scotland - 19952008 Scheme - ERLR.xlsx</t>
  </si>
  <si>
    <t>NHS SUPERANNUATION SCHEME SCOTLAND: ACTUARIAL FACTORS</t>
  </si>
  <si>
    <t>NHS SUPERANNUATION SCHEME SCOTLAND (2015): ACTUARIAL FACTORS</t>
  </si>
  <si>
    <t>FACTORS APPLICABLE FOR ADDITIONAL PENSION AND PENSION DEBITS FOR MEMBERS RETIRING FROM ACTIVE SERVICE</t>
  </si>
  <si>
    <t>Max Commutation lump sum</t>
  </si>
  <si>
    <t>Lump Sum ERF (1995 Section only)</t>
  </si>
  <si>
    <t>Pre NPA service</t>
  </si>
  <si>
    <t>Post NPA service</t>
  </si>
  <si>
    <t>Age at entry exact</t>
  </si>
  <si>
    <t>Age at protection date end - NPA 65</t>
  </si>
  <si>
    <t>Pre and Post NPA Pension (used for NPA 65)</t>
  </si>
  <si>
    <t>5. Are you a Special Class member?</t>
  </si>
  <si>
    <t>7. Your pensionable earnings (full time equivalent at the start of the current scheme year)</t>
  </si>
  <si>
    <t>9. Retirement date for illustration (dd/mm/yyyy)</t>
  </si>
  <si>
    <t>11. Your current part-time proportion (entered as percentage e.g. 50%)</t>
  </si>
  <si>
    <t>12. The end date of your current annual benefit statement</t>
  </si>
  <si>
    <t>13. The reckonable service on your latest benefit statement</t>
  </si>
  <si>
    <t>Special Class Member</t>
  </si>
  <si>
    <t>Yes</t>
  </si>
  <si>
    <t>No</t>
  </si>
  <si>
    <t>1995 Section - NPA55</t>
  </si>
  <si>
    <t>Scottish NHS Pension Scheme Calculator</t>
  </si>
  <si>
    <t>Date reached SPA</t>
  </si>
  <si>
    <t>Nominal</t>
  </si>
  <si>
    <t>Non-Commutation lump sum</t>
  </si>
  <si>
    <t>1995 Scheme Lump Sum Factor</t>
  </si>
  <si>
    <t>Assuming max commutation - nominal</t>
  </si>
  <si>
    <t>Assuming no commutation - nominal</t>
  </si>
  <si>
    <t>NHS Pension Scheme (Scotland)</t>
  </si>
  <si>
    <t>JJ: OK 15/08/2017</t>
  </si>
  <si>
    <t>OK - being picked up from correct place</t>
  </si>
  <si>
    <t>JJ: Updated 15/5/2017</t>
  </si>
  <si>
    <t>Non Comm LS - CPI + 0%</t>
  </si>
  <si>
    <t>Non Comm LS - CPI + 1%</t>
  </si>
  <si>
    <t>Non Comm LS - CPI + 2%</t>
  </si>
  <si>
    <t>Non-Commutation Lump Sum</t>
  </si>
  <si>
    <t>Period to discount for inflation</t>
  </si>
  <si>
    <t>JJ: Removed 15/8/2016; not used</t>
  </si>
  <si>
    <t>JJ: Updated to pick up comm LS + non-comm LS</t>
  </si>
  <si>
    <t>JJ: Updated formula picking up NPPS as condition for non com 95 LS; pick up non-comm LS from LS tab</t>
  </si>
  <si>
    <t>JJ Updated to pick up 95 LS</t>
  </si>
  <si>
    <t>Start Date of Year</t>
  </si>
  <si>
    <t>End Date of Year</t>
  </si>
  <si>
    <t>is today greater than the end of year?</t>
  </si>
  <si>
    <t>did 2015 scheme service startbefore the end of the year?</t>
  </si>
  <si>
    <t>service during year part 1</t>
  </si>
  <si>
    <t>service during year part 2</t>
  </si>
  <si>
    <t>JJ Updated 29/8/17 - in line with Police</t>
  </si>
  <si>
    <t>No years to wind back current salary</t>
  </si>
  <si>
    <t>Wound back salary</t>
  </si>
  <si>
    <t>Sum</t>
  </si>
  <si>
    <t>Input accrued CARE</t>
  </si>
  <si>
    <t>As at date</t>
  </si>
  <si>
    <t>revalued to date of ret</t>
  </si>
  <si>
    <t>Accrued Care from ABS?</t>
  </si>
  <si>
    <t>accrued benefit to use</t>
  </si>
  <si>
    <t>The end date of your current annual benefit statement</t>
  </si>
  <si>
    <t xml:space="preserve"> 31 March</t>
  </si>
  <si>
    <t>JJ updated 29/8/2017 - remove allowance for ERF for SC members</t>
  </si>
  <si>
    <t>JJ updated - remove 29/8/2017</t>
  </si>
  <si>
    <t>sensible versus the 1995 section closure date? i.e. can't be a post 6/4/2006 joiner in FPS</t>
  </si>
  <si>
    <t>sensible versus the 1995 section closure date? i.e. can't be a post 6/4/2006 joiner in NHS. (unless you're a choice optant, that this calculator doesn’t allow for)</t>
  </si>
  <si>
    <t>2008 &amp; 2015</t>
  </si>
  <si>
    <t>1995 Special Class Scheme</t>
  </si>
  <si>
    <t>JJ Updated 29/8/2017 - update to only apply LRF to 08 pension accrued after NPA</t>
  </si>
  <si>
    <t>Final Salary / Pre NPA Pension - CPI + 0%</t>
  </si>
  <si>
    <t>Final Salary /Post NPA Pension - CPI + 0%</t>
  </si>
  <si>
    <t>Final Salary / Pre NPA Pension - CPI + 1%</t>
  </si>
  <si>
    <t>Final Salary / Pre NPA Pension - CPI + 2%</t>
  </si>
  <si>
    <t>Final Salary /Post NPA Pension - CPI + 1%</t>
  </si>
  <si>
    <t>Final Salary / Post NPA Pension - CPI + 2%</t>
  </si>
  <si>
    <t>JJ updated 29/8/2016</t>
  </si>
  <si>
    <t>JJ added - 29/8/2017 - not calculating Pre NPA final salary service correctly</t>
  </si>
  <si>
    <t>career break not applicable for nhs protection</t>
  </si>
  <si>
    <t xml:space="preserve">CARE Revaluation </t>
  </si>
  <si>
    <t xml:space="preserve">- If you are a special class officer in the 1995 section,  you may be entitled to retire at age 55. </t>
  </si>
  <si>
    <t>Warnings</t>
  </si>
  <si>
    <t>- The 2015 scheme is a Career Average Revalued Earnings (CARE) scheme with an accrual rate of 1/54 and revaluation for active members before retirement in line with the change in CPI plus 1.5%</t>
  </si>
  <si>
    <r>
      <t xml:space="preserve">JJ updated 15/08/2017; </t>
    </r>
    <r>
      <rPr>
        <sz val="10"/>
        <color rgb="FF7030A0"/>
        <rFont val="Arial"/>
        <family val="2"/>
      </rPr>
      <t>Updated to remove ERF for LS if over SPA 5/9/2017</t>
    </r>
  </si>
  <si>
    <t>JJ updated 5/9/2017: for consistency but not applied, see rows 59-61 below</t>
  </si>
  <si>
    <t>Date joined/join CARE</t>
  </si>
  <si>
    <t>start of projection</t>
  </si>
  <si>
    <t>projection term</t>
  </si>
  <si>
    <t>CARE projection term</t>
  </si>
  <si>
    <t>SPA to DoR</t>
  </si>
  <si>
    <t>total CARE membership</t>
  </si>
  <si>
    <t>remaining taper period</t>
  </si>
  <si>
    <t>integer part of total projection</t>
  </si>
  <si>
    <t>remainder part of total projection</t>
  </si>
  <si>
    <t>integer part of taper deduction</t>
  </si>
  <si>
    <t>remainder part of taper projection</t>
  </si>
  <si>
    <t>CARE past service pension (before ERF and LRF)</t>
  </si>
  <si>
    <t>low</t>
  </si>
  <si>
    <t>medium</t>
  </si>
  <si>
    <t>high</t>
  </si>
  <si>
    <t>Pension over entire period (including taper and ERF/LRF)</t>
  </si>
  <si>
    <t>this may be before transfer into CARE</t>
  </si>
  <si>
    <t>the general method is to project care from the start of the current scheme year, then subtract off what would be accrued during the remaining part of the taper in that period, revalued to the DoR.</t>
  </si>
  <si>
    <t>total</t>
  </si>
  <si>
    <t>from joining CARE</t>
  </si>
  <si>
    <t>Protection Status</t>
  </si>
  <si>
    <t>Date Protection Date ends</t>
  </si>
  <si>
    <t>JJ added 7/9/2017 - to allow protected/ tapered members</t>
  </si>
  <si>
    <t>mjr: changed to max years early 12 to avoid error through going off table. Very unusual to have NPA &gt; 67 and SC member, so approximation ok</t>
  </si>
  <si>
    <t>JJ updated 13/9/2017 to reflect 45 years max service</t>
  </si>
  <si>
    <t xml:space="preserve">    (This will be shown on your annual benefit statement)</t>
  </si>
  <si>
    <t>6. Please enter any service credited from a transfer in (final salary scheme only)</t>
  </si>
  <si>
    <r>
      <t xml:space="preserve">8. </t>
    </r>
    <r>
      <rPr>
        <b/>
        <sz val="11"/>
        <rFont val="Arial"/>
        <family val="2"/>
      </rPr>
      <t>This question is for</t>
    </r>
    <r>
      <rPr>
        <sz val="11"/>
        <rFont val="Arial"/>
        <family val="2"/>
      </rPr>
      <t xml:space="preserve"> </t>
    </r>
    <r>
      <rPr>
        <b/>
        <sz val="11"/>
        <rFont val="Arial"/>
        <family val="2"/>
      </rPr>
      <t>2015 scheme members only</t>
    </r>
  </si>
  <si>
    <t>Always full-time</t>
  </si>
  <si>
    <t>Some part-time</t>
  </si>
  <si>
    <t>10. Have you had any periods of part-time working (choose from the list in the box)?</t>
  </si>
  <si>
    <t>If you have selected 'some part-time', please fill in the section below</t>
  </si>
  <si>
    <t>Changed q9 on  input of part-time to ask if member has ever had period of part-time working, changed the wordings in the dropo-down, and amended all dependent cells to refer to "some part-time"</t>
  </si>
  <si>
    <t>changed the validation on salary to set minimum at £1000 following request from SPPA.</t>
  </si>
  <si>
    <t xml:space="preserve">JJ </t>
  </si>
  <si>
    <t>OK. Updated link to MICROSITE (was in error).</t>
  </si>
  <si>
    <t>OK. Removed upper band too.</t>
  </si>
  <si>
    <t>JJ edit 30/10/2017 (superseded: JJ added 7/9/2017 - to allow protected/ tapered members)</t>
  </si>
  <si>
    <t>Active at 2012</t>
  </si>
  <si>
    <t>JJ added 30/10/2017 - added condition that members were present at 2012 for tapering</t>
  </si>
  <si>
    <t>JJ</t>
  </si>
  <si>
    <t>Updated protection status in CARE calcs and adjusted protection status to allow for condition that the member must have been present  at 2012</t>
  </si>
  <si>
    <t>mjr: ok</t>
  </si>
  <si>
    <t>- Please read the Notes for further details an limitations on the results produced</t>
  </si>
  <si>
    <t>- The results shown are only estimates, based on your what you input and other assumptions.</t>
  </si>
  <si>
    <t xml:space="preserve">2% </t>
  </si>
  <si>
    <t xml:space="preserve">3% </t>
  </si>
  <si>
    <t xml:space="preserve">4% </t>
  </si>
  <si>
    <t>plus</t>
  </si>
  <si>
    <t>- The results sections (1) and (2) shows the amount of your projected pension at today's monetary value (after adjusting for assumed future inflation).</t>
  </si>
  <si>
    <t>-For members with tapered protection, the Result Section shows the date of entry to the 2015 scheme. If no date is present, your date of entry would have been 1 April 2015, or your date of first enrolling into the scheme if after.</t>
  </si>
  <si>
    <t>- It is assumed that you will remain in active service until your selected retirement date, and that you will retire on normal terms (i.e. you are not retiring on the grounds of ill-health).</t>
  </si>
  <si>
    <t xml:space="preserve">- Normal Pension Age in the 2015 Scheme is State Pension Age (SPa). Where your selected retirement age is not SPa, the amount of 2015 Scheme pension shown includes actuarial adjustments for the earlier or later start of payments. These actuarial adjustments are those currently in effect. However, they will be reviewed periodically, and may increase or decrease. Your benefits at retirement will depend on the actuarial adjustment factors in effect at that time. If you have chosen to buy-out the reduction, that will not be shown here.  </t>
  </si>
  <si>
    <t>The calculator does not provide an illustration for retirement on The grounds of ill-health, for which you should contact SPPA.</t>
  </si>
  <si>
    <t>- The results shown are estimated, using a given set of assumptions.  Using different assumptions in the calculations could produce different results.</t>
  </si>
  <si>
    <t>- The calculator use factors currently in effect. These factors are reviewed periodically. When you actually retire, the scheme factors in force at the time will be used, if appropriate. This may produce different results, other things being equal, to those illustrated here.</t>
  </si>
  <si>
    <t>- If future experience differs from the assumptions used, the pension you will receive at retirement will be different from those shown.</t>
  </si>
  <si>
    <t>- The 2015 scheme active member  in-service revaluation has been set at 3.5% in all cases.</t>
  </si>
  <si>
    <t>- Long-term CPI has been assumed to be 2.0% per year. The calculator presents three sets of results, by using long-term pay increases by (i) 0.0%, (ii) 1.0% and (iii) 2.0% on top of CPI each year. However, if the selected retirement date is before 1/4/2020, the lowest rate of pay increases has been set to 1% (CPI – 1%).</t>
  </si>
  <si>
    <t>IC</t>
  </si>
  <si>
    <t>Misc text changes</t>
  </si>
  <si>
    <r>
      <t xml:space="preserve">- When you retire you may be able to choose to convert some of your pension to receive a lump sum (or additional lump sum for 1995 Section members). This is known as </t>
    </r>
    <r>
      <rPr>
        <b/>
        <sz val="10"/>
        <rFont val="Arial"/>
        <family val="2"/>
      </rPr>
      <t>Commutation</t>
    </r>
    <r>
      <rPr>
        <sz val="10"/>
        <rFont val="Arial"/>
        <family val="2"/>
      </rPr>
      <t>. The Results Sections show (1) the effect of commuting your pension to maximise the lump sum, and (2) the amount without any commutation.</t>
    </r>
  </si>
  <si>
    <t>- The results do not include any money purchase Additional Voluntary Contributions (AVCs) benefits, added pension that you may have purchased, pension debits or other special arrangements within the schemes. If your 2015 pension includes transferred-in benefits, for simplicity this projection has revalued them at the same rate as NHS scheme benefits. A different rate of revaluation may apply to transferred-in benefits in practice.</t>
  </si>
  <si>
    <t>Fixed bug reported by SPPA. Prevent having CARE start date after DoR. Changed cell d12 in CARE calcs sheet.</t>
  </si>
  <si>
    <t>mjr 15/5/18: restricted date joined CARE to be lte DoR.JJ added 7/9/2017 - to allow protected/ tapered members</t>
  </si>
  <si>
    <t>Jj 16/5/2015</t>
  </si>
  <si>
    <t>OK. Agree change to cell D12</t>
  </si>
  <si>
    <t xml:space="preserve">    Do you know your CARE pension to date? </t>
  </si>
  <si>
    <t>Changed Year parameter in cell B139 in Calculator sheet from YEAR-65 to YEAR -75
Changed more info notes in Q3,4 and 6 for clarity. Changed reference in Q8 from "accrued pension to date" to "CARE pension to date" in line with text on member ABS.</t>
  </si>
  <si>
    <t>Dob not before 75 years ago</t>
  </si>
  <si>
    <t>OK. Allows for members aged up to 75 at start of scheme year. Also changed the start date of the SPA lookup table to allow for members up to 75. See cell d27 in Parameters sheet.</t>
  </si>
  <si>
    <t>changed validation on max reckonable service to 50. This allows for transferred in service, rather than restricting to actual membership.</t>
  </si>
  <si>
    <t>Apply future part-time fraction to future pension</t>
  </si>
  <si>
    <t>JFF 22/10/20: removed multiplication of PTP here (has been added to future pension only)</t>
  </si>
  <si>
    <t xml:space="preserve">JFF 22/10/20: changed to sum future service once PTP has been applied. </t>
  </si>
  <si>
    <t>JF</t>
  </si>
  <si>
    <t>JF 22/10/20: inserted new line to hold future service CARE pension reduced by current part-time fraction</t>
  </si>
  <si>
    <t>Updated the CARE calcs sheet to only apply PTP to future service and remove any places where it was applied to past service (specifics of changes are noted on the CARE sheet next to changes)</t>
  </si>
  <si>
    <t>D Hirani</t>
  </si>
  <si>
    <r>
      <t xml:space="preserve">Okay. Have checked that PTP applies to future CARE. For past service: if ABS then just takes input value, if no ABS then assume past service all FT
Recommend making this explicit in guidance tab row 19, I have added </t>
    </r>
    <r>
      <rPr>
        <i/>
        <sz val="10"/>
        <rFont val="Arial"/>
        <family val="2"/>
      </rPr>
      <t>“If you do not have your benefit statement, the calculator will assume you have worked full-time up until the start of the scheme year and will then assume you work your current part-time hours until retirement”</t>
    </r>
  </si>
  <si>
    <t>- If you indicated you have worked part time, the calculator has allowed for part-time hours worked up to your most recent benefit statement. It has also assumed you have worked your current part-time hours since then and will continue to do so until retirement. If you do not have your benefit statement, the calculator will assume you have worked full-time up until the start of the scheme year and will then assume you work your current part-time hours until retirement. However, it is not currently possible to input two separate concurrent employements</t>
  </si>
  <si>
    <t xml:space="preserve">- If you indicated you have periods of part time working, and you have input your accrued CARE benefit from your annual benefit statement, the total benefits quoted at retirement in this calculator will:
      - allow for your actual part-time hours up to your most recent benefit statement 
      - assume you have worked your current part-time hours since the date of your most recent benefit statement to the current date
      - assume that you will continue to work your current part-time hours from the current date until retirement. 
If you indicated you have periods of part time working but you have not input your accrued CARE benefit from your annual benefit statement, the benefits quoted at retirement in this calculator will:
      - assume you have worked full-time up until the start of the current scheme year
      - assume that you will work your current part-time hours until retirement. </t>
  </si>
  <si>
    <t>- This calculator makes no allowance for HM Treasury's proposed remedy to remove the unlawful discrimination arising from the transitional protection awarded to members as part of the reform of the public sector pension schemes in 2015, known as the McCloud and Sargeant cases. Therefore, for members who are eligible for remedy (those who joined the scheme on or before 31 March 2012 and remained in service on or after 31 March 2015), this calculator may not provide a correct benefit projection. In particular, the benefits accrued during the proposed remedy period of 1 April 2015 to 31 March 2022, may not be based on the scheme benefit structure you ultimately receive at your retirement. 
For members who are not in scope for remedy, the calculator will continue to produce suitable estimates based on the current benefits in the NHS (Scotland) Pension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</si>
</sst>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0.00_-;\-&quot;£&quot;* #,##0.00_-;_-&quot;£&quot;* &quot;-&quot;??_-;_-@_-"/>
    <numFmt numFmtId="43" formatCode="_-* #,##0.00_-;\-* #,##0.00_-;_-* &quot;-&quot;??_-;_-@_-"/>
    <numFmt numFmtId="164" formatCode="&quot;£&quot;#,##0"/>
    <numFmt numFmtId="165" formatCode="_-[$£-809]* #,##0_-;\-[$£-809]* #,##0_-;_-[$£-809]* &quot;-&quot;??_-;_-@_-"/>
    <numFmt numFmtId="166" formatCode="0.000"/>
    <numFmt numFmtId="167" formatCode="0.0000"/>
    <numFmt numFmtId="168" formatCode="0.0%"/>
    <numFmt numFmtId="169" formatCode="#,##0.000"/>
    <numFmt numFmtId="170" formatCode="[$-809]dd\ mmmm\ yyyy;@"/>
    <numFmt numFmtId="171" formatCode="#,##0.0000"/>
    <numFmt numFmtId="172" formatCode="0.0"/>
    <numFmt numFmtId="173" formatCode="0.0000000"/>
    <numFmt numFmtId="174" formatCode="0.00000000"/>
    <numFmt numFmtId="175" formatCode="dd/mm/yyyy;@"/>
    <numFmt numFmtId="176" formatCode="0.000000"/>
    <numFmt numFmtId="177" formatCode="0.000%"/>
    <numFmt numFmtId="178" formatCode="[$-F800]dddd\,\ mmmm\ dd\,\ yyyy"/>
    <numFmt numFmtId="179" formatCode="_-* #,##0.0000_-;\-* #,##0.0000_-;_-* &quot;-&quot;??_-;_-@_-"/>
    <numFmt numFmtId="180" formatCode="_-* #,##0_-;\-* #,##0_-;_-* &quot;-&quot;??_-;_-@_-"/>
    <numFmt numFmtId="181" formatCode="_-&quot;£&quot;* #,##0_-;\-&quot;£&quot;* #,##0_-;_-&quot;£&quot;* &quot;-&quot;??_-;_-@_-"/>
  </numFmts>
  <fonts count="84" x14ac:knownFonts="1">
    <font>
      <sz val="10"/>
      <name val="Arial"/>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10"/>
      <color indexed="14"/>
      <name val="Arial"/>
      <family val="2"/>
    </font>
    <font>
      <sz val="10"/>
      <color indexed="23"/>
      <name val="Arial"/>
      <family val="2"/>
    </font>
    <font>
      <sz val="10"/>
      <color indexed="17"/>
      <name val="Arial"/>
      <family val="2"/>
    </font>
    <font>
      <sz val="10"/>
      <color indexed="10"/>
      <name val="Arial"/>
      <family val="2"/>
    </font>
    <font>
      <sz val="10"/>
      <name val="Arial"/>
      <family val="2"/>
    </font>
    <font>
      <sz val="11"/>
      <name val="Calibri"/>
      <family val="2"/>
    </font>
    <font>
      <sz val="9"/>
      <color indexed="81"/>
      <name val="Tahoma"/>
      <family val="2"/>
    </font>
    <font>
      <b/>
      <sz val="9"/>
      <color indexed="81"/>
      <name val="Tahoma"/>
      <family val="2"/>
    </font>
    <font>
      <b/>
      <i/>
      <sz val="10"/>
      <name val="Arial"/>
      <family val="2"/>
    </font>
    <font>
      <sz val="10"/>
      <name val="Arial"/>
      <family val="2"/>
    </font>
    <font>
      <sz val="10"/>
      <name val="Arial"/>
      <family val="2"/>
    </font>
    <font>
      <sz val="10"/>
      <name val="Calibri"/>
      <family val="2"/>
    </font>
    <font>
      <sz val="10"/>
      <name val="Arial"/>
      <family val="2"/>
    </font>
    <font>
      <sz val="10"/>
      <color indexed="14"/>
      <name val="Arial"/>
      <family val="2"/>
    </font>
    <font>
      <sz val="10"/>
      <color indexed="8"/>
      <name val="Arial"/>
      <family val="2"/>
    </font>
    <font>
      <sz val="10"/>
      <color indexed="23"/>
      <name val="Arial"/>
      <family val="2"/>
    </font>
    <font>
      <b/>
      <sz val="10"/>
      <color indexed="23"/>
      <name val="Arial"/>
      <family val="2"/>
    </font>
    <font>
      <sz val="11"/>
      <name val="Calibri"/>
      <family val="2"/>
    </font>
    <font>
      <b/>
      <u/>
      <sz val="18"/>
      <name val="Calibri"/>
      <family val="2"/>
    </font>
    <font>
      <b/>
      <sz val="10"/>
      <name val="Calibri"/>
      <family val="2"/>
    </font>
    <font>
      <b/>
      <sz val="11"/>
      <name val="Calibri"/>
      <family val="2"/>
    </font>
    <font>
      <b/>
      <sz val="12"/>
      <name val="Calibri"/>
      <family val="2"/>
    </font>
    <font>
      <sz val="10"/>
      <name val="Calibri"/>
      <family val="2"/>
    </font>
    <font>
      <sz val="8"/>
      <name val="Arial"/>
      <family val="2"/>
    </font>
    <font>
      <sz val="10"/>
      <color indexed="40"/>
      <name val="Arial"/>
      <family val="2"/>
    </font>
    <font>
      <u/>
      <sz val="10"/>
      <color theme="10"/>
      <name val="Arial"/>
      <family val="2"/>
    </font>
    <font>
      <sz val="10"/>
      <color rgb="FFFF00FF"/>
      <name val="Arial"/>
      <family val="2"/>
    </font>
    <font>
      <b/>
      <sz val="12"/>
      <color theme="0"/>
      <name val="Arial"/>
      <family val="2"/>
    </font>
    <font>
      <sz val="10"/>
      <color rgb="FF0000FF"/>
      <name val="Arial"/>
      <family val="2"/>
    </font>
    <font>
      <sz val="10"/>
      <color rgb="FF000000"/>
      <name val="Arial"/>
      <family val="2"/>
    </font>
    <font>
      <sz val="10"/>
      <color rgb="FFFF33CC"/>
      <name val="Arial"/>
      <family val="2"/>
    </font>
    <font>
      <sz val="10"/>
      <color rgb="FFFF0000"/>
      <name val="Arial"/>
      <family val="2"/>
    </font>
    <font>
      <sz val="10"/>
      <color rgb="FF00B050"/>
      <name val="Arial"/>
      <family val="2"/>
    </font>
    <font>
      <b/>
      <sz val="10"/>
      <color rgb="FFFF0000"/>
      <name val="Arial"/>
      <family val="2"/>
    </font>
    <font>
      <b/>
      <sz val="16"/>
      <color rgb="FF002060"/>
      <name val="Arial"/>
      <family val="2"/>
    </font>
    <font>
      <sz val="16"/>
      <color rgb="FF002060"/>
      <name val="Arial"/>
      <family val="2"/>
    </font>
    <font>
      <sz val="10"/>
      <color rgb="FF002060"/>
      <name val="Arial"/>
      <family val="2"/>
    </font>
    <font>
      <sz val="12"/>
      <color rgb="FF002060"/>
      <name val="Arial"/>
      <family val="2"/>
    </font>
    <font>
      <b/>
      <sz val="12"/>
      <color rgb="FF002060"/>
      <name val="Arial"/>
      <family val="2"/>
    </font>
    <font>
      <b/>
      <sz val="11"/>
      <color rgb="FF002060"/>
      <name val="Arial"/>
      <family val="2"/>
    </font>
    <font>
      <b/>
      <sz val="10"/>
      <color rgb="FF002060"/>
      <name val="Arial"/>
      <family val="2"/>
    </font>
    <font>
      <b/>
      <sz val="12"/>
      <color rgb="FFFF0000"/>
      <name val="Arial"/>
      <family val="2"/>
    </font>
    <font>
      <sz val="10"/>
      <color theme="1"/>
      <name val="Arial"/>
      <family val="2"/>
    </font>
    <font>
      <b/>
      <sz val="10"/>
      <color theme="1"/>
      <name val="Arial"/>
      <family val="2"/>
    </font>
    <font>
      <b/>
      <sz val="18"/>
      <name val="Arial"/>
      <family val="2"/>
    </font>
    <font>
      <b/>
      <sz val="16"/>
      <name val="Arial"/>
      <family val="2"/>
    </font>
    <font>
      <sz val="16"/>
      <name val="Arial"/>
      <family val="2"/>
    </font>
    <font>
      <sz val="11"/>
      <name val="Arial"/>
      <family val="2"/>
    </font>
    <font>
      <sz val="11"/>
      <color theme="0"/>
      <name val="Arial"/>
      <family val="2"/>
    </font>
    <font>
      <b/>
      <sz val="11"/>
      <name val="Arial"/>
      <family val="2"/>
    </font>
    <font>
      <b/>
      <u/>
      <sz val="18"/>
      <name val="Arial"/>
      <family val="2"/>
    </font>
    <font>
      <b/>
      <sz val="12"/>
      <name val="Arial"/>
      <family val="2"/>
    </font>
    <font>
      <b/>
      <sz val="10"/>
      <color rgb="FF000000"/>
      <name val="Arial"/>
      <family val="2"/>
    </font>
    <font>
      <i/>
      <sz val="8"/>
      <color rgb="FF000000"/>
      <name val="Arial"/>
      <family val="2"/>
    </font>
    <font>
      <sz val="8"/>
      <color rgb="FF494949"/>
      <name val="Arial"/>
      <family val="2"/>
    </font>
    <font>
      <b/>
      <sz val="8"/>
      <color rgb="FF000000"/>
      <name val="Arial"/>
      <family val="2"/>
    </font>
    <font>
      <sz val="14"/>
      <name val="Arial"/>
      <family val="2"/>
    </font>
    <font>
      <b/>
      <u/>
      <sz val="18"/>
      <color theme="0"/>
      <name val="Arial"/>
      <family val="2"/>
    </font>
    <font>
      <sz val="15"/>
      <color rgb="FFFF0000"/>
      <name val="Arial"/>
      <family val="2"/>
    </font>
    <font>
      <sz val="10"/>
      <color theme="5" tint="0.79998168889431442"/>
      <name val="Arial"/>
      <family val="2"/>
    </font>
    <font>
      <b/>
      <sz val="8"/>
      <name val="Arial"/>
      <family val="2"/>
    </font>
    <font>
      <b/>
      <sz val="9"/>
      <color theme="1"/>
      <name val="Arial"/>
      <family val="2"/>
    </font>
    <font>
      <sz val="11"/>
      <color theme="1"/>
      <name val="Arial"/>
      <family val="2"/>
    </font>
    <font>
      <sz val="10"/>
      <color theme="0" tint="-0.499984740745262"/>
      <name val="Arial"/>
      <family val="2"/>
    </font>
    <font>
      <b/>
      <u/>
      <sz val="10"/>
      <name val="Arial"/>
      <family val="2"/>
    </font>
    <font>
      <sz val="8"/>
      <color rgb="FF0000FF"/>
      <name val="Arial"/>
      <family val="2"/>
    </font>
    <font>
      <sz val="10"/>
      <color theme="1"/>
      <name val="Calibri"/>
      <family val="2"/>
      <scheme val="minor"/>
    </font>
    <font>
      <b/>
      <sz val="10"/>
      <color theme="1"/>
      <name val="Calibri"/>
      <family val="2"/>
      <scheme val="minor"/>
    </font>
    <font>
      <i/>
      <sz val="10"/>
      <name val="Arial"/>
      <family val="2"/>
    </font>
    <font>
      <i/>
      <sz val="10"/>
      <color rgb="FFFF0000"/>
      <name val="Arial"/>
      <family val="2"/>
    </font>
    <font>
      <i/>
      <sz val="10"/>
      <color theme="0" tint="-0.499984740745262"/>
      <name val="Arial"/>
      <family val="2"/>
    </font>
    <font>
      <sz val="8"/>
      <color rgb="FFFF0000"/>
      <name val="Arial"/>
      <family val="2"/>
    </font>
    <font>
      <sz val="11"/>
      <color rgb="FFFF0000"/>
      <name val="Calibri"/>
      <family val="2"/>
    </font>
    <font>
      <b/>
      <i/>
      <sz val="10"/>
      <color rgb="FFFF0000"/>
      <name val="Arial"/>
      <family val="2"/>
    </font>
    <font>
      <sz val="10"/>
      <color rgb="FF7030A0"/>
      <name val="Arial"/>
      <family val="2"/>
    </font>
    <font>
      <sz val="8"/>
      <color rgb="FF00B050"/>
      <name val="Arial"/>
      <family val="2"/>
    </font>
    <font>
      <b/>
      <sz val="13"/>
      <name val="Arial"/>
      <family val="2"/>
    </font>
  </fonts>
  <fills count="22">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indexed="53"/>
        <bgColor indexed="64"/>
      </patternFill>
    </fill>
    <fill>
      <patternFill patternType="solid">
        <fgColor indexed="15"/>
        <bgColor indexed="64"/>
      </patternFill>
    </fill>
    <fill>
      <patternFill patternType="solid">
        <fgColor indexed="13"/>
        <bgColor indexed="64"/>
      </patternFill>
    </fill>
    <fill>
      <patternFill patternType="solid">
        <fgColor rgb="FFBACCCF"/>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theme="0"/>
      </patternFill>
    </fill>
    <fill>
      <patternFill patternType="solid">
        <fgColor theme="0" tint="-0.499984740745262"/>
        <bgColor indexed="64"/>
      </patternFill>
    </fill>
    <fill>
      <patternFill patternType="solid">
        <fgColor rgb="FFFFFFFF"/>
        <bgColor indexed="64"/>
      </patternFill>
    </fill>
    <fill>
      <patternFill patternType="solid">
        <fgColor theme="3" tint="-0.249977111117893"/>
        <bgColor indexed="64"/>
      </patternFill>
    </fill>
    <fill>
      <patternFill patternType="solid">
        <fgColor rgb="FF80808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7C80"/>
        <bgColor indexed="64"/>
      </patternFill>
    </fill>
  </fills>
  <borders count="50">
    <border>
      <left/>
      <right/>
      <top/>
      <bottom/>
      <diagonal/>
    </border>
    <border>
      <left/>
      <right/>
      <top/>
      <bottom style="thin">
        <color indexed="9"/>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medium">
        <color rgb="FF000000"/>
      </left>
      <right style="medium">
        <color rgb="FFFFFFFF"/>
      </right>
      <top style="medium">
        <color rgb="FF000000"/>
      </top>
      <bottom/>
      <diagonal/>
    </border>
    <border>
      <left style="medium">
        <color rgb="FF000000"/>
      </left>
      <right style="medium">
        <color rgb="FFFFFFFF"/>
      </right>
      <top style="medium">
        <color rgb="FFD3D3D3"/>
      </top>
      <bottom/>
      <diagonal/>
    </border>
    <border>
      <left style="medium">
        <color rgb="FFFFFFFF"/>
      </left>
      <right style="medium">
        <color rgb="FFFFFFFF"/>
      </right>
      <top style="medium">
        <color rgb="FF000000"/>
      </top>
      <bottom/>
      <diagonal/>
    </border>
    <border>
      <left style="medium">
        <color rgb="FFFFFFFF"/>
      </left>
      <right/>
      <top style="medium">
        <color rgb="FFD3D3D3"/>
      </top>
      <bottom style="medium">
        <color rgb="FF000000"/>
      </bottom>
      <diagonal/>
    </border>
    <border>
      <left/>
      <right style="medium">
        <color rgb="FF000000"/>
      </right>
      <top style="medium">
        <color rgb="FFD3D3D3"/>
      </top>
      <bottom style="medium">
        <color rgb="FF000000"/>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rgb="FFFFFFFF"/>
      </left>
      <right/>
      <top style="medium">
        <color rgb="FF000000"/>
      </top>
      <bottom/>
      <diagonal/>
    </border>
    <border>
      <left/>
      <right style="medium">
        <color rgb="FFFFFFFF"/>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s>
  <cellStyleXfs count="9">
    <xf numFmtId="0" fontId="0" fillId="0" borderId="0"/>
    <xf numFmtId="43" fontId="16" fillId="0" borderId="0" applyFont="0" applyFill="0" applyBorder="0" applyAlignment="0" applyProtection="0"/>
    <xf numFmtId="44" fontId="17" fillId="0" borderId="0" applyFont="0" applyFill="0" applyBorder="0" applyAlignment="0" applyProtection="0"/>
    <xf numFmtId="0" fontId="32" fillId="0" borderId="0" applyNumberFormat="0" applyFill="0" applyBorder="0" applyAlignment="0" applyProtection="0">
      <alignment vertical="top"/>
      <protection locked="0"/>
    </xf>
    <xf numFmtId="9" fontId="19"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82">
    <xf numFmtId="0" fontId="0" fillId="0" borderId="0" xfId="0"/>
    <xf numFmtId="0" fontId="3" fillId="0" borderId="0" xfId="0" applyFont="1"/>
    <xf numFmtId="0" fontId="1" fillId="0" borderId="0" xfId="0" applyFont="1" applyAlignment="1">
      <alignment vertical="top" wrapText="1"/>
    </xf>
    <xf numFmtId="0" fontId="0" fillId="0" borderId="0" xfId="0" applyAlignment="1">
      <alignment vertical="top"/>
    </xf>
    <xf numFmtId="0" fontId="4" fillId="2" borderId="1" xfId="0" applyFont="1" applyFill="1" applyBorder="1" applyAlignment="1" applyProtection="1"/>
    <xf numFmtId="0" fontId="5" fillId="3" borderId="2" xfId="0" applyFont="1" applyFill="1" applyBorder="1" applyAlignment="1" applyProtection="1"/>
    <xf numFmtId="0" fontId="6" fillId="3" borderId="0" xfId="0" applyFont="1" applyFill="1" applyAlignment="1" applyProtection="1"/>
    <xf numFmtId="0" fontId="2" fillId="0" borderId="0" xfId="0" applyFont="1"/>
    <xf numFmtId="14" fontId="0" fillId="0" borderId="0" xfId="0" applyNumberFormat="1"/>
    <xf numFmtId="0" fontId="0" fillId="0" borderId="0" xfId="0" applyBorder="1"/>
    <xf numFmtId="0" fontId="3" fillId="0" borderId="0" xfId="0" applyFont="1" applyAlignment="1">
      <alignment horizontal="center" wrapText="1"/>
    </xf>
    <xf numFmtId="0" fontId="0" fillId="3" borderId="0" xfId="0" applyFill="1"/>
    <xf numFmtId="0" fontId="0" fillId="2" borderId="1" xfId="0" applyFill="1" applyBorder="1"/>
    <xf numFmtId="0" fontId="4" fillId="2" borderId="1" xfId="0" applyFont="1" applyFill="1" applyBorder="1"/>
    <xf numFmtId="0" fontId="6" fillId="3" borderId="0" xfId="0" applyFont="1" applyFill="1"/>
    <xf numFmtId="0" fontId="3" fillId="0" borderId="0" xfId="0" applyFont="1" applyAlignment="1">
      <alignment vertical="top" wrapText="1"/>
    </xf>
    <xf numFmtId="0" fontId="3" fillId="0" borderId="0" xfId="0" applyFont="1" applyBorder="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 fillId="0" borderId="0" xfId="0" applyFont="1" applyFill="1" applyAlignment="1">
      <alignment vertical="top"/>
    </xf>
    <xf numFmtId="0" fontId="11" fillId="0" borderId="0" xfId="0" applyFont="1" applyAlignment="1">
      <alignment vertical="top"/>
    </xf>
    <xf numFmtId="0" fontId="11" fillId="4" borderId="0" xfId="0" applyFont="1" applyFill="1" applyAlignment="1">
      <alignment vertical="top"/>
    </xf>
    <xf numFmtId="0" fontId="11" fillId="5" borderId="0" xfId="0" applyFont="1" applyFill="1" applyAlignment="1">
      <alignment vertical="top"/>
    </xf>
    <xf numFmtId="0" fontId="1" fillId="0" borderId="0" xfId="0" applyFont="1" applyBorder="1"/>
    <xf numFmtId="0" fontId="1" fillId="0" borderId="0" xfId="0" applyFont="1" applyFill="1" applyBorder="1"/>
    <xf numFmtId="0" fontId="5" fillId="3" borderId="0" xfId="0" applyFont="1" applyFill="1"/>
    <xf numFmtId="14" fontId="1" fillId="0" borderId="0" xfId="0" applyNumberFormat="1" applyFont="1" applyAlignment="1">
      <alignment vertical="top" wrapText="1"/>
    </xf>
    <xf numFmtId="0" fontId="1" fillId="0" borderId="0" xfId="0" applyFont="1"/>
    <xf numFmtId="0" fontId="1" fillId="0" borderId="3" xfId="0" applyFont="1" applyBorder="1"/>
    <xf numFmtId="0" fontId="3" fillId="2" borderId="1" xfId="0" applyFont="1" applyFill="1" applyBorder="1"/>
    <xf numFmtId="0" fontId="3" fillId="3" borderId="0" xfId="0" applyFont="1" applyFill="1"/>
    <xf numFmtId="0" fontId="20" fillId="0" borderId="0" xfId="0" applyFont="1"/>
    <xf numFmtId="14" fontId="20" fillId="0" borderId="0" xfId="0" applyNumberFormat="1" applyFont="1"/>
    <xf numFmtId="0" fontId="32" fillId="0" borderId="0" xfId="3" applyAlignment="1" applyProtection="1"/>
    <xf numFmtId="0" fontId="20" fillId="0" borderId="0" xfId="0" applyNumberFormat="1" applyFont="1"/>
    <xf numFmtId="44" fontId="0" fillId="0" borderId="0" xfId="0" applyNumberFormat="1"/>
    <xf numFmtId="0" fontId="32" fillId="0" borderId="0" xfId="3" applyAlignment="1" applyProtection="1">
      <alignment vertical="top" wrapText="1"/>
    </xf>
    <xf numFmtId="0" fontId="0" fillId="0" borderId="0" xfId="0" applyAlignment="1">
      <alignment wrapText="1"/>
    </xf>
    <xf numFmtId="0" fontId="3" fillId="0" borderId="0" xfId="0" applyFont="1" applyAlignment="1">
      <alignment wrapText="1"/>
    </xf>
    <xf numFmtId="14" fontId="0" fillId="0" borderId="14" xfId="0" applyNumberFormat="1" applyBorder="1"/>
    <xf numFmtId="14" fontId="0" fillId="0" borderId="15" xfId="0" applyNumberFormat="1" applyBorder="1"/>
    <xf numFmtId="14" fontId="0" fillId="0" borderId="16" xfId="0" applyNumberFormat="1" applyBorder="1"/>
    <xf numFmtId="14" fontId="1" fillId="0" borderId="19" xfId="0" applyNumberFormat="1" applyFont="1" applyBorder="1"/>
    <xf numFmtId="14" fontId="0" fillId="0" borderId="20" xfId="0" applyNumberFormat="1" applyBorder="1"/>
    <xf numFmtId="0" fontId="0" fillId="0" borderId="21" xfId="0" applyBorder="1"/>
    <xf numFmtId="0" fontId="0" fillId="0" borderId="0" xfId="0" applyProtection="1">
      <protection hidden="1"/>
    </xf>
    <xf numFmtId="0" fontId="1" fillId="0" borderId="0" xfId="0" applyFont="1" applyProtection="1">
      <protection hidden="1"/>
    </xf>
    <xf numFmtId="0" fontId="3" fillId="0" borderId="0" xfId="0" applyFont="1" applyProtection="1">
      <protection hidden="1"/>
    </xf>
    <xf numFmtId="14" fontId="0" fillId="0" borderId="0" xfId="0" applyNumberFormat="1" applyProtection="1">
      <protection hidden="1"/>
    </xf>
    <xf numFmtId="0" fontId="20" fillId="0" borderId="0" xfId="0" applyFont="1" applyProtection="1">
      <protection hidden="1"/>
    </xf>
    <xf numFmtId="0" fontId="1" fillId="6" borderId="0" xfId="0" applyFont="1" applyFill="1" applyProtection="1">
      <protection hidden="1"/>
    </xf>
    <xf numFmtId="0" fontId="0" fillId="6" borderId="0" xfId="0" applyFill="1" applyProtection="1">
      <protection hidden="1"/>
    </xf>
    <xf numFmtId="14" fontId="1" fillId="0" borderId="0" xfId="0" applyNumberFormat="1" applyFont="1" applyProtection="1">
      <protection hidden="1"/>
    </xf>
    <xf numFmtId="0" fontId="1" fillId="0" borderId="0" xfId="0" applyFont="1" applyFill="1" applyProtection="1">
      <protection hidden="1"/>
    </xf>
    <xf numFmtId="43" fontId="1" fillId="0" borderId="0" xfId="1" applyFont="1" applyProtection="1">
      <protection hidden="1"/>
    </xf>
    <xf numFmtId="0" fontId="1" fillId="0" borderId="0" xfId="0" applyFont="1" applyAlignment="1" applyProtection="1">
      <alignment horizontal="right"/>
      <protection hidden="1"/>
    </xf>
    <xf numFmtId="2" fontId="1" fillId="0" borderId="0" xfId="0" applyNumberFormat="1" applyFont="1" applyProtection="1">
      <protection hidden="1"/>
    </xf>
    <xf numFmtId="0" fontId="23" fillId="0" borderId="0" xfId="0" applyFont="1" applyProtection="1">
      <protection hidden="1"/>
    </xf>
    <xf numFmtId="0" fontId="22"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protection hidden="1"/>
    </xf>
    <xf numFmtId="14" fontId="1" fillId="0" borderId="0" xfId="0" applyNumberFormat="1" applyFont="1"/>
    <xf numFmtId="0" fontId="8" fillId="0" borderId="0" xfId="0" applyFont="1" applyProtection="1">
      <protection hidden="1"/>
    </xf>
    <xf numFmtId="1" fontId="1" fillId="0" borderId="0" xfId="0" applyNumberFormat="1" applyFont="1" applyProtection="1">
      <protection hidden="1"/>
    </xf>
    <xf numFmtId="0" fontId="32" fillId="0" borderId="0" xfId="3" applyAlignment="1" applyProtection="1">
      <alignment wrapText="1"/>
    </xf>
    <xf numFmtId="14" fontId="33" fillId="0" borderId="0" xfId="0" applyNumberFormat="1" applyFont="1"/>
    <xf numFmtId="2" fontId="0" fillId="0" borderId="0" xfId="0" applyNumberFormat="1"/>
    <xf numFmtId="167" fontId="0" fillId="0" borderId="0" xfId="0" applyNumberFormat="1"/>
    <xf numFmtId="0" fontId="1" fillId="0" borderId="17" xfId="0" applyFont="1" applyBorder="1"/>
    <xf numFmtId="0" fontId="0" fillId="0" borderId="17" xfId="0" applyBorder="1"/>
    <xf numFmtId="0" fontId="32" fillId="0" borderId="17" xfId="3" applyBorder="1" applyAlignment="1" applyProtection="1"/>
    <xf numFmtId="14" fontId="0" fillId="0" borderId="17" xfId="0" applyNumberFormat="1" applyBorder="1"/>
    <xf numFmtId="0" fontId="3" fillId="0" borderId="17" xfId="0" applyFont="1" applyBorder="1" applyAlignment="1">
      <alignment wrapText="1"/>
    </xf>
    <xf numFmtId="0" fontId="34" fillId="3" borderId="0" xfId="0" applyFont="1" applyFill="1"/>
    <xf numFmtId="0" fontId="34" fillId="3" borderId="0" xfId="0" applyFont="1" applyFill="1" applyAlignment="1" applyProtection="1"/>
    <xf numFmtId="0" fontId="35" fillId="0" borderId="0" xfId="0" applyFont="1" applyAlignment="1">
      <alignment vertical="top"/>
    </xf>
    <xf numFmtId="3" fontId="0" fillId="0" borderId="0" xfId="0" applyNumberFormat="1"/>
    <xf numFmtId="0" fontId="33" fillId="0" borderId="0" xfId="0" applyFont="1"/>
    <xf numFmtId="2" fontId="0" fillId="0" borderId="0" xfId="0" applyNumberFormat="1" applyBorder="1"/>
    <xf numFmtId="2" fontId="0" fillId="0" borderId="23" xfId="0" applyNumberFormat="1" applyBorder="1"/>
    <xf numFmtId="0" fontId="37" fillId="0" borderId="0" xfId="0" applyFont="1"/>
    <xf numFmtId="0" fontId="38" fillId="0" borderId="0" xfId="0" applyFont="1"/>
    <xf numFmtId="0" fontId="1" fillId="0" borderId="17" xfId="0" applyFont="1" applyBorder="1" applyAlignment="1">
      <alignment vertical="top" wrapText="1"/>
    </xf>
    <xf numFmtId="0" fontId="1" fillId="0" borderId="17" xfId="0" applyFont="1" applyBorder="1" applyAlignment="1">
      <alignment vertical="top"/>
    </xf>
    <xf numFmtId="14" fontId="0" fillId="0" borderId="17" xfId="0" applyNumberFormat="1" applyBorder="1" applyAlignment="1">
      <alignment vertical="top"/>
    </xf>
    <xf numFmtId="1" fontId="0" fillId="0" borderId="0" xfId="0" applyNumberFormat="1" applyProtection="1">
      <protection hidden="1"/>
    </xf>
    <xf numFmtId="0" fontId="1" fillId="7" borderId="0" xfId="0" applyFont="1" applyFill="1" applyProtection="1">
      <protection hidden="1"/>
    </xf>
    <xf numFmtId="14" fontId="1" fillId="7" borderId="0" xfId="0" applyNumberFormat="1" applyFont="1" applyFill="1" applyProtection="1">
      <protection hidden="1"/>
    </xf>
    <xf numFmtId="4" fontId="0" fillId="0" borderId="0" xfId="0" applyNumberFormat="1"/>
    <xf numFmtId="4" fontId="0" fillId="0" borderId="0" xfId="0" applyNumberFormat="1" applyAlignment="1">
      <alignment horizontal="right"/>
    </xf>
    <xf numFmtId="4" fontId="22" fillId="0" borderId="0" xfId="0" applyNumberFormat="1" applyFont="1"/>
    <xf numFmtId="0" fontId="3" fillId="0" borderId="22" xfId="0" applyFont="1" applyBorder="1"/>
    <xf numFmtId="3" fontId="0" fillId="0" borderId="23" xfId="0" applyNumberFormat="1" applyBorder="1"/>
    <xf numFmtId="4" fontId="0" fillId="0" borderId="23" xfId="0" applyNumberFormat="1" applyBorder="1"/>
    <xf numFmtId="4" fontId="0" fillId="0" borderId="5" xfId="0" applyNumberFormat="1" applyBorder="1"/>
    <xf numFmtId="0" fontId="3" fillId="0" borderId="25" xfId="0" applyFont="1" applyBorder="1"/>
    <xf numFmtId="0" fontId="3" fillId="0" borderId="12" xfId="0" applyFont="1" applyBorder="1"/>
    <xf numFmtId="0" fontId="3" fillId="0" borderId="4" xfId="0" applyFont="1" applyBorder="1"/>
    <xf numFmtId="0" fontId="0" fillId="0" borderId="4" xfId="0" applyBorder="1"/>
    <xf numFmtId="0" fontId="3" fillId="0" borderId="0" xfId="0" applyFont="1" applyFill="1" applyBorder="1"/>
    <xf numFmtId="0" fontId="3" fillId="0" borderId="26" xfId="0" applyFont="1" applyBorder="1"/>
    <xf numFmtId="0" fontId="3" fillId="0" borderId="27" xfId="0" applyFont="1" applyBorder="1"/>
    <xf numFmtId="0" fontId="0" fillId="0" borderId="23" xfId="0" applyBorder="1"/>
    <xf numFmtId="0" fontId="3" fillId="0" borderId="12" xfId="0" applyFont="1" applyFill="1" applyBorder="1"/>
    <xf numFmtId="0" fontId="3" fillId="0" borderId="4" xfId="0" applyFont="1" applyFill="1" applyBorder="1"/>
    <xf numFmtId="0" fontId="0" fillId="0" borderId="25" xfId="0" applyBorder="1"/>
    <xf numFmtId="3" fontId="0" fillId="0" borderId="0" xfId="0" applyNumberFormat="1" applyBorder="1"/>
    <xf numFmtId="3" fontId="1" fillId="0" borderId="0" xfId="0" applyNumberFormat="1" applyFont="1" applyBorder="1"/>
    <xf numFmtId="0" fontId="0" fillId="0" borderId="8" xfId="0" applyBorder="1"/>
    <xf numFmtId="0" fontId="3" fillId="0" borderId="10" xfId="0" applyFont="1" applyBorder="1"/>
    <xf numFmtId="0" fontId="3" fillId="0" borderId="9" xfId="0" applyFont="1" applyBorder="1"/>
    <xf numFmtId="0" fontId="3" fillId="0" borderId="8" xfId="0" applyFont="1" applyBorder="1"/>
    <xf numFmtId="3" fontId="0" fillId="0" borderId="28" xfId="0" applyNumberFormat="1" applyBorder="1"/>
    <xf numFmtId="4" fontId="0" fillId="0" borderId="7" xfId="0" applyNumberFormat="1" applyBorder="1"/>
    <xf numFmtId="3" fontId="0" fillId="0" borderId="6" xfId="0" applyNumberFormat="1" applyBorder="1"/>
    <xf numFmtId="0" fontId="3" fillId="0" borderId="11" xfId="0" applyFont="1" applyBorder="1"/>
    <xf numFmtId="3" fontId="1" fillId="0" borderId="28" xfId="0" applyNumberFormat="1" applyFont="1" applyBorder="1"/>
    <xf numFmtId="3" fontId="1" fillId="0" borderId="7" xfId="0" applyNumberFormat="1" applyFont="1" applyBorder="1"/>
    <xf numFmtId="0" fontId="0" fillId="0" borderId="26" xfId="0" applyBorder="1"/>
    <xf numFmtId="10" fontId="37" fillId="0" borderId="0" xfId="0" applyNumberFormat="1" applyFont="1"/>
    <xf numFmtId="168" fontId="37" fillId="0" borderId="0" xfId="4" applyNumberFormat="1" applyFont="1"/>
    <xf numFmtId="14" fontId="0" fillId="0" borderId="27" xfId="0" applyNumberFormat="1" applyBorder="1"/>
    <xf numFmtId="14" fontId="0" fillId="0" borderId="22" xfId="0" applyNumberFormat="1" applyBorder="1"/>
    <xf numFmtId="0" fontId="0" fillId="0" borderId="28" xfId="0" applyBorder="1"/>
    <xf numFmtId="167" fontId="0" fillId="0" borderId="28" xfId="0" applyNumberFormat="1" applyBorder="1"/>
    <xf numFmtId="167" fontId="0" fillId="0" borderId="0" xfId="0" applyNumberFormat="1" applyBorder="1"/>
    <xf numFmtId="167" fontId="0" fillId="0" borderId="23" xfId="0" applyNumberFormat="1" applyBorder="1"/>
    <xf numFmtId="4" fontId="0" fillId="0" borderId="0" xfId="0" applyNumberFormat="1" applyBorder="1" applyAlignment="1">
      <alignment horizontal="right"/>
    </xf>
    <xf numFmtId="4" fontId="0" fillId="0" borderId="28" xfId="0" applyNumberFormat="1" applyBorder="1"/>
    <xf numFmtId="4" fontId="0" fillId="0" borderId="0" xfId="0" applyNumberFormat="1" applyBorder="1"/>
    <xf numFmtId="0" fontId="3" fillId="0" borderId="23" xfId="0" applyFont="1" applyBorder="1"/>
    <xf numFmtId="0" fontId="3" fillId="0" borderId="5" xfId="0" applyFont="1" applyBorder="1"/>
    <xf numFmtId="167" fontId="0" fillId="0" borderId="7" xfId="0" applyNumberFormat="1" applyBorder="1"/>
    <xf numFmtId="4" fontId="0" fillId="0" borderId="22" xfId="0" applyNumberFormat="1" applyBorder="1"/>
    <xf numFmtId="4" fontId="0" fillId="0" borderId="26" xfId="0" applyNumberFormat="1" applyBorder="1"/>
    <xf numFmtId="4" fontId="0" fillId="0" borderId="27" xfId="0" applyNumberFormat="1" applyBorder="1"/>
    <xf numFmtId="4" fontId="0" fillId="0" borderId="6" xfId="0" applyNumberFormat="1" applyBorder="1"/>
    <xf numFmtId="0" fontId="3" fillId="0" borderId="29" xfId="0" applyFont="1" applyBorder="1"/>
    <xf numFmtId="4" fontId="0" fillId="0" borderId="30" xfId="0" applyNumberFormat="1" applyBorder="1"/>
    <xf numFmtId="4" fontId="0" fillId="0" borderId="17" xfId="0" applyNumberFormat="1" applyBorder="1"/>
    <xf numFmtId="4" fontId="0" fillId="0" borderId="31" xfId="0" applyNumberFormat="1" applyBorder="1"/>
    <xf numFmtId="0" fontId="3" fillId="0" borderId="32" xfId="0" applyFont="1" applyBorder="1"/>
    <xf numFmtId="4" fontId="0" fillId="0" borderId="33" xfId="0" applyNumberFormat="1" applyBorder="1"/>
    <xf numFmtId="4" fontId="0" fillId="0" borderId="18" xfId="0" applyNumberFormat="1" applyBorder="1"/>
    <xf numFmtId="4" fontId="0" fillId="0" borderId="34" xfId="0" applyNumberFormat="1" applyBorder="1"/>
    <xf numFmtId="3" fontId="0" fillId="0" borderId="5" xfId="0" applyNumberFormat="1" applyBorder="1"/>
    <xf numFmtId="0" fontId="1" fillId="0" borderId="12" xfId="0" applyFont="1" applyBorder="1"/>
    <xf numFmtId="14" fontId="0" fillId="0" borderId="25" xfId="0" applyNumberFormat="1" applyBorder="1"/>
    <xf numFmtId="10" fontId="1" fillId="0" borderId="12" xfId="4" applyNumberFormat="1" applyFont="1" applyBorder="1"/>
    <xf numFmtId="14" fontId="0" fillId="0" borderId="0" xfId="0" applyNumberFormat="1" applyBorder="1"/>
    <xf numFmtId="44" fontId="0" fillId="0" borderId="0" xfId="0" applyNumberFormat="1" applyBorder="1"/>
    <xf numFmtId="44" fontId="0" fillId="0" borderId="23" xfId="0" applyNumberFormat="1" applyBorder="1"/>
    <xf numFmtId="44" fontId="0" fillId="0" borderId="6" xfId="0" applyNumberFormat="1" applyBorder="1"/>
    <xf numFmtId="44" fontId="0" fillId="0" borderId="5" xfId="0" applyNumberFormat="1" applyBorder="1"/>
    <xf numFmtId="14" fontId="0" fillId="0" borderId="26" xfId="0" applyNumberFormat="1" applyBorder="1"/>
    <xf numFmtId="14" fontId="0" fillId="0" borderId="6" xfId="0" applyNumberFormat="1" applyBorder="1"/>
    <xf numFmtId="14" fontId="0" fillId="0" borderId="5" xfId="0" applyNumberFormat="1" applyBorder="1"/>
    <xf numFmtId="167" fontId="0" fillId="0" borderId="0" xfId="0" applyNumberFormat="1" applyBorder="1" applyAlignment="1">
      <alignment horizontal="right"/>
    </xf>
    <xf numFmtId="44" fontId="0" fillId="0" borderId="26" xfId="0" applyNumberFormat="1" applyBorder="1"/>
    <xf numFmtId="44" fontId="0" fillId="0" borderId="27" xfId="0" applyNumberFormat="1" applyBorder="1"/>
    <xf numFmtId="44" fontId="1" fillId="0" borderId="0" xfId="0" applyNumberFormat="1" applyFont="1" applyBorder="1"/>
    <xf numFmtId="44" fontId="1" fillId="0" borderId="23" xfId="0" applyNumberFormat="1" applyFont="1" applyBorder="1"/>
    <xf numFmtId="0" fontId="0" fillId="0" borderId="0" xfId="0" applyNumberFormat="1" applyBorder="1"/>
    <xf numFmtId="0" fontId="0" fillId="0" borderId="23" xfId="0" applyNumberFormat="1" applyBorder="1"/>
    <xf numFmtId="0" fontId="1" fillId="0" borderId="6" xfId="0" applyNumberFormat="1" applyFont="1" applyBorder="1"/>
    <xf numFmtId="0" fontId="1" fillId="0" borderId="5" xfId="0" applyNumberFormat="1" applyFont="1" applyBorder="1"/>
    <xf numFmtId="14" fontId="0" fillId="0" borderId="0" xfId="0" applyNumberFormat="1" applyAlignment="1">
      <alignment vertical="top"/>
    </xf>
    <xf numFmtId="170" fontId="1" fillId="0" borderId="0" xfId="0" quotePrefix="1" applyNumberFormat="1" applyFont="1" applyAlignment="1" applyProtection="1">
      <alignment horizontal="left" vertical="top"/>
      <protection hidden="1"/>
    </xf>
    <xf numFmtId="0" fontId="39" fillId="0" borderId="0" xfId="0" applyFont="1"/>
    <xf numFmtId="44" fontId="0" fillId="0" borderId="28" xfId="0" applyNumberFormat="1" applyBorder="1"/>
    <xf numFmtId="44" fontId="0" fillId="0" borderId="7" xfId="0" applyNumberFormat="1" applyBorder="1"/>
    <xf numFmtId="0" fontId="3" fillId="0" borderId="25" xfId="0" applyFont="1" applyFill="1" applyBorder="1"/>
    <xf numFmtId="1" fontId="0" fillId="0" borderId="22" xfId="0" applyNumberFormat="1" applyBorder="1"/>
    <xf numFmtId="1" fontId="0" fillId="0" borderId="26" xfId="0" applyNumberFormat="1" applyBorder="1"/>
    <xf numFmtId="1" fontId="0" fillId="0" borderId="27" xfId="0" applyNumberFormat="1" applyBorder="1"/>
    <xf numFmtId="0" fontId="15" fillId="0" borderId="0" xfId="0" applyFont="1" applyBorder="1" applyAlignment="1">
      <alignment horizontal="center" vertical="center" wrapText="1"/>
    </xf>
    <xf numFmtId="4" fontId="1" fillId="0" borderId="0" xfId="0" applyNumberFormat="1" applyFont="1" applyBorder="1"/>
    <xf numFmtId="0" fontId="0" fillId="0" borderId="27" xfId="0" applyBorder="1"/>
    <xf numFmtId="14" fontId="0" fillId="0" borderId="4" xfId="0" applyNumberFormat="1" applyBorder="1"/>
    <xf numFmtId="0" fontId="1" fillId="0" borderId="0" xfId="0" applyFont="1" applyAlignment="1">
      <alignment wrapText="1"/>
    </xf>
    <xf numFmtId="14" fontId="38" fillId="0" borderId="0" xfId="0" applyNumberFormat="1" applyFont="1" applyProtection="1">
      <protection hidden="1"/>
    </xf>
    <xf numFmtId="14" fontId="37" fillId="0" borderId="0" xfId="0" applyNumberFormat="1" applyFont="1"/>
    <xf numFmtId="0" fontId="1" fillId="0" borderId="4" xfId="0" applyFont="1" applyFill="1" applyBorder="1"/>
    <xf numFmtId="1" fontId="0" fillId="0" borderId="0" xfId="0" applyNumberFormat="1" applyBorder="1"/>
    <xf numFmtId="1" fontId="0" fillId="0" borderId="23" xfId="0" applyNumberFormat="1" applyBorder="1"/>
    <xf numFmtId="1" fontId="0" fillId="0" borderId="28" xfId="0" applyNumberFormat="1" applyBorder="1"/>
    <xf numFmtId="0" fontId="33" fillId="0" borderId="5" xfId="0" applyFont="1" applyBorder="1"/>
    <xf numFmtId="0" fontId="33" fillId="0" borderId="23" xfId="0" applyFont="1" applyBorder="1"/>
    <xf numFmtId="0" fontId="18" fillId="0" borderId="0" xfId="0" quotePrefix="1" applyFont="1" applyFill="1" applyAlignment="1" applyProtection="1">
      <alignment vertical="center" wrapText="1"/>
      <protection hidden="1"/>
    </xf>
    <xf numFmtId="169" fontId="0" fillId="0" borderId="0" xfId="0" applyNumberFormat="1"/>
    <xf numFmtId="1" fontId="0" fillId="0" borderId="0" xfId="0" applyNumberFormat="1"/>
    <xf numFmtId="0" fontId="28" fillId="8" borderId="0" xfId="0" applyFont="1" applyFill="1" applyBorder="1"/>
    <xf numFmtId="49" fontId="29" fillId="8" borderId="0" xfId="0" applyNumberFormat="1" applyFont="1" applyFill="1" applyBorder="1" applyAlignment="1">
      <alignment horizontal="left"/>
    </xf>
    <xf numFmtId="49" fontId="29" fillId="8" borderId="0" xfId="0" quotePrefix="1" applyNumberFormat="1" applyFont="1" applyFill="1" applyBorder="1" applyAlignment="1">
      <alignment horizontal="left" vertical="center"/>
    </xf>
    <xf numFmtId="49" fontId="29" fillId="8" borderId="0" xfId="0" applyNumberFormat="1" applyFont="1" applyFill="1" applyBorder="1" applyAlignment="1">
      <alignment vertical="center" wrapText="1"/>
    </xf>
    <xf numFmtId="49" fontId="26" fillId="8" borderId="0" xfId="0" applyNumberFormat="1" applyFont="1" applyFill="1" applyBorder="1" applyAlignment="1">
      <alignment vertical="center"/>
    </xf>
    <xf numFmtId="49" fontId="29" fillId="8" borderId="0" xfId="0" applyNumberFormat="1" applyFont="1" applyFill="1" applyBorder="1" applyAlignment="1">
      <alignment vertical="center"/>
    </xf>
    <xf numFmtId="14" fontId="3" fillId="0" borderId="0" xfId="0" applyNumberFormat="1" applyFont="1" applyProtection="1">
      <protection hidden="1"/>
    </xf>
    <xf numFmtId="0" fontId="0" fillId="0" borderId="0" xfId="0" applyBorder="1" applyProtection="1">
      <protection hidden="1"/>
    </xf>
    <xf numFmtId="0" fontId="3" fillId="0" borderId="0" xfId="0" applyFont="1" applyFill="1" applyBorder="1" applyAlignment="1">
      <alignment wrapText="1"/>
    </xf>
    <xf numFmtId="173" fontId="1" fillId="0" borderId="0" xfId="0" applyNumberFormat="1" applyFont="1" applyProtection="1">
      <protection hidden="1"/>
    </xf>
    <xf numFmtId="174" fontId="1" fillId="0" borderId="0" xfId="0" applyNumberFormat="1" applyFont="1" applyProtection="1">
      <protection hidden="1"/>
    </xf>
    <xf numFmtId="3" fontId="0" fillId="0" borderId="26" xfId="0" applyNumberFormat="1" applyBorder="1"/>
    <xf numFmtId="3" fontId="0" fillId="0" borderId="27" xfId="0" applyNumberFormat="1" applyBorder="1"/>
    <xf numFmtId="0" fontId="1" fillId="9" borderId="0" xfId="5" applyFill="1"/>
    <xf numFmtId="0" fontId="43" fillId="9" borderId="0" xfId="5" applyFont="1" applyFill="1"/>
    <xf numFmtId="0" fontId="43" fillId="9" borderId="22" xfId="5" applyFont="1" applyFill="1" applyBorder="1"/>
    <xf numFmtId="0" fontId="43" fillId="9" borderId="26" xfId="5" applyFont="1" applyFill="1" applyBorder="1"/>
    <xf numFmtId="0" fontId="43" fillId="9" borderId="27" xfId="5" applyFont="1" applyFill="1" applyBorder="1"/>
    <xf numFmtId="0" fontId="43" fillId="9" borderId="23" xfId="5" applyFont="1" applyFill="1" applyBorder="1"/>
    <xf numFmtId="0" fontId="43" fillId="0" borderId="23" xfId="5" applyFont="1" applyBorder="1" applyAlignment="1"/>
    <xf numFmtId="0" fontId="43" fillId="9" borderId="5" xfId="5" applyFont="1" applyFill="1" applyBorder="1"/>
    <xf numFmtId="0" fontId="43" fillId="9" borderId="0" xfId="5" applyFont="1" applyFill="1" applyBorder="1"/>
    <xf numFmtId="0" fontId="46" fillId="9" borderId="26" xfId="5" applyFont="1" applyFill="1" applyBorder="1" applyAlignment="1" applyProtection="1">
      <alignment vertical="center"/>
      <protection hidden="1"/>
    </xf>
    <xf numFmtId="14" fontId="43" fillId="9" borderId="0" xfId="5" applyNumberFormat="1" applyFont="1" applyFill="1"/>
    <xf numFmtId="0" fontId="47" fillId="9" borderId="0" xfId="5" applyFont="1" applyFill="1"/>
    <xf numFmtId="0" fontId="45" fillId="9" borderId="0" xfId="5" applyFont="1" applyFill="1" applyBorder="1" applyAlignment="1" applyProtection="1">
      <alignment vertical="center" wrapText="1"/>
      <protection hidden="1"/>
    </xf>
    <xf numFmtId="0" fontId="43" fillId="9" borderId="0" xfId="5" applyFont="1" applyFill="1" applyBorder="1" applyAlignment="1" applyProtection="1">
      <alignment vertical="center" wrapText="1"/>
      <protection hidden="1"/>
    </xf>
    <xf numFmtId="49" fontId="47" fillId="9" borderId="0" xfId="5" quotePrefix="1" applyNumberFormat="1" applyFont="1" applyFill="1" applyBorder="1" applyAlignment="1">
      <alignment horizontal="left" vertical="center" wrapText="1"/>
    </xf>
    <xf numFmtId="0" fontId="1" fillId="0" borderId="18" xfId="0" applyFont="1" applyBorder="1"/>
    <xf numFmtId="0" fontId="0" fillId="0" borderId="18" xfId="0" applyBorder="1"/>
    <xf numFmtId="14" fontId="0" fillId="0" borderId="18" xfId="0" applyNumberFormat="1" applyBorder="1"/>
    <xf numFmtId="0" fontId="3" fillId="0" borderId="18" xfId="0" applyFont="1" applyBorder="1" applyAlignment="1">
      <alignment wrapText="1"/>
    </xf>
    <xf numFmtId="0" fontId="7" fillId="0" borderId="0" xfId="0" applyFont="1"/>
    <xf numFmtId="0" fontId="1" fillId="0" borderId="12" xfId="0" applyFont="1" applyFill="1" applyBorder="1"/>
    <xf numFmtId="14" fontId="0" fillId="0" borderId="7" xfId="0" applyNumberFormat="1" applyBorder="1"/>
    <xf numFmtId="0" fontId="3" fillId="10" borderId="4" xfId="0" applyFont="1" applyFill="1" applyBorder="1"/>
    <xf numFmtId="4" fontId="0" fillId="10" borderId="5" xfId="0" applyNumberFormat="1" applyFill="1" applyBorder="1"/>
    <xf numFmtId="0" fontId="3" fillId="10" borderId="12" xfId="0" applyFont="1" applyFill="1" applyBorder="1"/>
    <xf numFmtId="2" fontId="20" fillId="0" borderId="0" xfId="0" applyNumberFormat="1" applyFont="1"/>
    <xf numFmtId="1" fontId="33" fillId="0" borderId="0" xfId="0" applyNumberFormat="1" applyFont="1" applyFill="1" applyBorder="1" applyAlignment="1">
      <alignment horizontal="right" vertical="center"/>
    </xf>
    <xf numFmtId="3" fontId="1" fillId="0" borderId="22" xfId="0" applyNumberFormat="1" applyFont="1" applyBorder="1"/>
    <xf numFmtId="3" fontId="1" fillId="0" borderId="23" xfId="0" applyNumberFormat="1" applyFont="1" applyBorder="1"/>
    <xf numFmtId="3" fontId="1" fillId="0" borderId="5" xfId="0" applyNumberFormat="1" applyFont="1" applyBorder="1"/>
    <xf numFmtId="3" fontId="1" fillId="0" borderId="6" xfId="0" applyNumberFormat="1" applyFont="1" applyBorder="1"/>
    <xf numFmtId="0" fontId="1" fillId="0" borderId="28" xfId="0" applyFont="1" applyBorder="1"/>
    <xf numFmtId="4" fontId="0" fillId="0" borderId="5" xfId="0" applyNumberFormat="1" applyFill="1" applyBorder="1"/>
    <xf numFmtId="0" fontId="1" fillId="0" borderId="0" xfId="0" applyFont="1" applyFill="1" applyBorder="1" applyAlignment="1">
      <alignment wrapText="1"/>
    </xf>
    <xf numFmtId="0" fontId="0" fillId="9" borderId="0" xfId="0" applyFill="1" applyProtection="1">
      <protection hidden="1"/>
    </xf>
    <xf numFmtId="0" fontId="0" fillId="0" borderId="17" xfId="0" applyBorder="1" applyProtection="1">
      <protection hidden="1"/>
    </xf>
    <xf numFmtId="0" fontId="0" fillId="0" borderId="36" xfId="0" applyBorder="1" applyProtection="1">
      <protection hidden="1"/>
    </xf>
    <xf numFmtId="0" fontId="0" fillId="0" borderId="13" xfId="0" applyBorder="1" applyProtection="1">
      <protection hidden="1"/>
    </xf>
    <xf numFmtId="0" fontId="0" fillId="9" borderId="13" xfId="0" applyFill="1" applyBorder="1" applyProtection="1">
      <protection hidden="1"/>
    </xf>
    <xf numFmtId="0" fontId="1" fillId="9" borderId="0" xfId="0" applyFont="1" applyFill="1" applyProtection="1">
      <protection hidden="1"/>
    </xf>
    <xf numFmtId="0" fontId="0" fillId="9" borderId="37" xfId="0" applyFill="1" applyBorder="1" applyProtection="1">
      <protection hidden="1"/>
    </xf>
    <xf numFmtId="0" fontId="26" fillId="11" borderId="3" xfId="0" applyFont="1" applyFill="1" applyBorder="1" applyAlignment="1" applyProtection="1">
      <alignment horizontal="center"/>
    </xf>
    <xf numFmtId="0" fontId="27" fillId="9" borderId="0" xfId="5" applyFont="1" applyFill="1" applyBorder="1" applyProtection="1">
      <protection hidden="1"/>
    </xf>
    <xf numFmtId="0" fontId="12" fillId="9" borderId="0" xfId="5" applyFont="1" applyFill="1" applyBorder="1" applyProtection="1">
      <protection hidden="1"/>
    </xf>
    <xf numFmtId="0" fontId="1" fillId="9" borderId="0" xfId="5" applyFill="1" applyBorder="1" applyProtection="1">
      <protection hidden="1"/>
    </xf>
    <xf numFmtId="0" fontId="1" fillId="0" borderId="0" xfId="5" applyFill="1" applyBorder="1" applyProtection="1">
      <protection hidden="1"/>
    </xf>
    <xf numFmtId="0" fontId="1" fillId="0" borderId="0" xfId="5" applyBorder="1"/>
    <xf numFmtId="0" fontId="3" fillId="9" borderId="0" xfId="5" applyFont="1" applyFill="1" applyBorder="1"/>
    <xf numFmtId="0" fontId="1" fillId="0" borderId="0" xfId="5" applyFont="1" applyFill="1" applyBorder="1" applyProtection="1">
      <protection hidden="1"/>
    </xf>
    <xf numFmtId="49" fontId="1" fillId="9" borderId="0" xfId="5" applyNumberFormat="1" applyFont="1" applyFill="1" applyBorder="1" applyAlignment="1">
      <alignment horizontal="left"/>
    </xf>
    <xf numFmtId="0" fontId="1" fillId="0" borderId="0" xfId="5" quotePrefix="1" applyFont="1" applyFill="1" applyBorder="1" applyAlignment="1" applyProtection="1">
      <alignment vertical="center" wrapText="1"/>
      <protection hidden="1"/>
    </xf>
    <xf numFmtId="0" fontId="1" fillId="0" borderId="0" xfId="5" applyFont="1" applyFill="1" applyBorder="1" applyAlignment="1" applyProtection="1">
      <alignment wrapText="1"/>
      <protection hidden="1"/>
    </xf>
    <xf numFmtId="0" fontId="1" fillId="0" borderId="0" xfId="5" applyBorder="1" applyAlignment="1">
      <alignment wrapText="1"/>
    </xf>
    <xf numFmtId="49" fontId="3" fillId="9" borderId="0" xfId="5" applyNumberFormat="1" applyFont="1" applyFill="1" applyBorder="1" applyAlignment="1">
      <alignment vertical="center"/>
    </xf>
    <xf numFmtId="49" fontId="1" fillId="9" borderId="0" xfId="5" applyNumberFormat="1" applyFont="1" applyFill="1" applyBorder="1" applyAlignment="1">
      <alignment vertical="center"/>
    </xf>
    <xf numFmtId="0" fontId="1" fillId="0" borderId="0" xfId="5" applyFill="1" applyBorder="1"/>
    <xf numFmtId="14" fontId="55" fillId="13" borderId="3" xfId="0" applyNumberFormat="1" applyFont="1" applyFill="1" applyBorder="1" applyAlignment="1" applyProtection="1">
      <alignment horizontal="right"/>
      <protection locked="0"/>
    </xf>
    <xf numFmtId="0" fontId="55" fillId="13" borderId="3" xfId="0" applyNumberFormat="1" applyFont="1" applyFill="1" applyBorder="1" applyProtection="1">
      <protection locked="0"/>
    </xf>
    <xf numFmtId="165" fontId="55" fillId="13" borderId="3" xfId="0" applyNumberFormat="1" applyFont="1" applyFill="1" applyBorder="1" applyProtection="1">
      <protection locked="0"/>
    </xf>
    <xf numFmtId="10" fontId="55" fillId="13" borderId="3" xfId="0" applyNumberFormat="1" applyFont="1" applyFill="1" applyBorder="1" applyProtection="1">
      <protection locked="0"/>
    </xf>
    <xf numFmtId="0" fontId="1" fillId="9" borderId="0" xfId="0" applyFont="1" applyFill="1" applyBorder="1" applyProtection="1">
      <protection hidden="1"/>
    </xf>
    <xf numFmtId="0" fontId="0" fillId="9" borderId="0" xfId="0" applyFill="1" applyBorder="1" applyProtection="1">
      <protection hidden="1"/>
    </xf>
    <xf numFmtId="0" fontId="1" fillId="0" borderId="14" xfId="0" applyFont="1" applyBorder="1" applyProtection="1">
      <protection hidden="1"/>
    </xf>
    <xf numFmtId="0" fontId="1" fillId="0" borderId="15" xfId="0" applyFont="1" applyBorder="1" applyProtection="1">
      <protection hidden="1"/>
    </xf>
    <xf numFmtId="0" fontId="58" fillId="8" borderId="0" xfId="0" applyFont="1" applyFill="1" applyBorder="1"/>
    <xf numFmtId="49" fontId="1" fillId="8" borderId="0" xfId="0" quotePrefix="1" applyNumberFormat="1" applyFont="1" applyFill="1" applyBorder="1" applyAlignment="1">
      <alignment horizontal="left" vertical="center"/>
    </xf>
    <xf numFmtId="49" fontId="1" fillId="8" borderId="0" xfId="0" applyNumberFormat="1" applyFont="1" applyFill="1" applyBorder="1" applyAlignment="1">
      <alignment vertical="center" wrapText="1"/>
    </xf>
    <xf numFmtId="0" fontId="59" fillId="14" borderId="39" xfId="0" applyFont="1" applyFill="1" applyBorder="1" applyAlignment="1">
      <alignment horizontal="center" wrapText="1"/>
    </xf>
    <xf numFmtId="14" fontId="61" fillId="14" borderId="39" xfId="0" applyNumberFormat="1" applyFont="1" applyFill="1" applyBorder="1" applyAlignment="1">
      <alignment horizontal="center" wrapText="1"/>
    </xf>
    <xf numFmtId="0" fontId="59" fillId="14" borderId="40" xfId="0" applyFont="1" applyFill="1" applyBorder="1" applyAlignment="1">
      <alignment horizontal="center" vertical="top" wrapText="1"/>
    </xf>
    <xf numFmtId="0" fontId="59" fillId="14" borderId="41" xfId="0" applyFont="1" applyFill="1" applyBorder="1" applyAlignment="1">
      <alignment horizontal="center" wrapText="1"/>
    </xf>
    <xf numFmtId="0" fontId="60" fillId="14" borderId="39" xfId="0" applyFont="1" applyFill="1" applyBorder="1" applyAlignment="1">
      <alignment horizontal="center" vertical="top" wrapText="1"/>
    </xf>
    <xf numFmtId="14" fontId="61" fillId="14" borderId="41" xfId="0" applyNumberFormat="1" applyFont="1" applyFill="1" applyBorder="1" applyAlignment="1">
      <alignment horizontal="center" wrapText="1"/>
    </xf>
    <xf numFmtId="0" fontId="62" fillId="0" borderId="0" xfId="0" applyFont="1" applyAlignment="1">
      <alignment horizontal="left" vertical="center"/>
    </xf>
    <xf numFmtId="0" fontId="1" fillId="0" borderId="0" xfId="0" applyFont="1" applyBorder="1" applyAlignment="1">
      <alignment horizontal="center"/>
    </xf>
    <xf numFmtId="0" fontId="59" fillId="14" borderId="39" xfId="0" applyFont="1" applyFill="1" applyBorder="1" applyAlignment="1">
      <alignment horizontal="left" wrapText="1"/>
    </xf>
    <xf numFmtId="0" fontId="59" fillId="14" borderId="40" xfId="0" applyFont="1" applyFill="1" applyBorder="1" applyAlignment="1">
      <alignment horizontal="left" vertical="top" wrapText="1"/>
    </xf>
    <xf numFmtId="0" fontId="59" fillId="14" borderId="41" xfId="0" applyFont="1" applyFill="1" applyBorder="1" applyAlignment="1">
      <alignment horizontal="left" wrapText="1"/>
    </xf>
    <xf numFmtId="0" fontId="60" fillId="14" borderId="39" xfId="0" applyFont="1" applyFill="1" applyBorder="1" applyAlignment="1">
      <alignment horizontal="left" vertical="top" wrapText="1"/>
    </xf>
    <xf numFmtId="0" fontId="1" fillId="0" borderId="7" xfId="0" applyFont="1" applyFill="1" applyBorder="1"/>
    <xf numFmtId="0" fontId="1" fillId="0" borderId="22" xfId="0" applyFont="1" applyBorder="1"/>
    <xf numFmtId="0" fontId="1" fillId="0" borderId="28" xfId="0" applyFont="1" applyFill="1" applyBorder="1"/>
    <xf numFmtId="166" fontId="0" fillId="0" borderId="25" xfId="0" applyNumberFormat="1" applyBorder="1"/>
    <xf numFmtId="166" fontId="0" fillId="0" borderId="12" xfId="0" applyNumberFormat="1" applyBorder="1"/>
    <xf numFmtId="0" fontId="0" fillId="0" borderId="12" xfId="0" applyBorder="1"/>
    <xf numFmtId="0" fontId="0" fillId="0" borderId="36" xfId="0" applyBorder="1"/>
    <xf numFmtId="0" fontId="0" fillId="0" borderId="13" xfId="0" applyBorder="1"/>
    <xf numFmtId="0" fontId="0" fillId="0" borderId="37" xfId="0" applyBorder="1"/>
    <xf numFmtId="0" fontId="0" fillId="0" borderId="15" xfId="0" applyBorder="1"/>
    <xf numFmtId="0" fontId="1" fillId="0" borderId="35" xfId="0" applyFont="1" applyBorder="1"/>
    <xf numFmtId="0" fontId="1" fillId="0" borderId="44" xfId="0" applyFont="1" applyBorder="1"/>
    <xf numFmtId="0" fontId="0" fillId="0" borderId="24" xfId="0" applyBorder="1"/>
    <xf numFmtId="0" fontId="0" fillId="0" borderId="44" xfId="0" applyBorder="1"/>
    <xf numFmtId="0" fontId="0" fillId="0" borderId="35" xfId="0" applyBorder="1"/>
    <xf numFmtId="0" fontId="0" fillId="0" borderId="16" xfId="0" applyBorder="1"/>
    <xf numFmtId="0" fontId="0" fillId="0" borderId="19" xfId="0" applyBorder="1"/>
    <xf numFmtId="0" fontId="1" fillId="0" borderId="11" xfId="0" applyFont="1" applyFill="1" applyBorder="1"/>
    <xf numFmtId="0" fontId="1" fillId="0" borderId="8" xfId="0" applyFont="1" applyBorder="1"/>
    <xf numFmtId="0" fontId="1" fillId="0" borderId="45" xfId="0" applyFont="1" applyBorder="1"/>
    <xf numFmtId="0" fontId="3" fillId="0" borderId="9" xfId="0" applyNumberFormat="1" applyFont="1" applyBorder="1"/>
    <xf numFmtId="0" fontId="1" fillId="0" borderId="0" xfId="0" applyFont="1" applyFill="1" applyBorder="1" applyProtection="1">
      <protection hidden="1"/>
    </xf>
    <xf numFmtId="0" fontId="54" fillId="0" borderId="0" xfId="0" applyFont="1" applyFill="1" applyBorder="1" applyAlignment="1" applyProtection="1">
      <alignment horizontal="left"/>
      <protection hidden="1"/>
    </xf>
    <xf numFmtId="0" fontId="54" fillId="12" borderId="15" xfId="0" applyFont="1" applyFill="1" applyBorder="1" applyProtection="1"/>
    <xf numFmtId="0" fontId="24" fillId="9" borderId="0" xfId="0" applyFont="1" applyFill="1" applyProtection="1">
      <protection hidden="1"/>
    </xf>
    <xf numFmtId="0" fontId="56" fillId="9" borderId="0" xfId="0" applyFont="1" applyFill="1" applyBorder="1" applyProtection="1">
      <protection hidden="1"/>
    </xf>
    <xf numFmtId="0" fontId="27" fillId="9" borderId="0" xfId="0" applyFont="1" applyFill="1" applyBorder="1" applyProtection="1">
      <protection hidden="1"/>
    </xf>
    <xf numFmtId="0" fontId="12" fillId="9" borderId="0" xfId="0" applyFont="1" applyFill="1" applyBorder="1" applyProtection="1">
      <protection hidden="1"/>
    </xf>
    <xf numFmtId="0" fontId="54" fillId="9" borderId="15" xfId="0" applyFont="1" applyFill="1" applyBorder="1" applyProtection="1">
      <protection hidden="1"/>
    </xf>
    <xf numFmtId="0" fontId="56" fillId="9" borderId="16" xfId="0" applyFont="1" applyFill="1" applyBorder="1" applyProtection="1">
      <protection hidden="1"/>
    </xf>
    <xf numFmtId="0" fontId="0" fillId="9" borderId="18" xfId="0" applyFill="1" applyBorder="1" applyProtection="1">
      <protection hidden="1"/>
    </xf>
    <xf numFmtId="0" fontId="54" fillId="9" borderId="15" xfId="0" applyFont="1" applyFill="1" applyBorder="1" applyAlignment="1" applyProtection="1">
      <alignment vertical="center"/>
      <protection hidden="1"/>
    </xf>
    <xf numFmtId="0" fontId="54" fillId="9" borderId="0" xfId="0" applyFont="1" applyFill="1" applyBorder="1" applyProtection="1">
      <protection hidden="1"/>
    </xf>
    <xf numFmtId="164" fontId="56" fillId="9" borderId="0" xfId="0" applyNumberFormat="1" applyFont="1" applyFill="1" applyBorder="1" applyAlignment="1" applyProtection="1">
      <alignment horizontal="center"/>
      <protection hidden="1"/>
    </xf>
    <xf numFmtId="168" fontId="54" fillId="9" borderId="0" xfId="4" quotePrefix="1" applyNumberFormat="1" applyFont="1" applyFill="1" applyBorder="1" applyAlignment="1" applyProtection="1">
      <alignment horizontal="center" vertical="center"/>
      <protection hidden="1"/>
    </xf>
    <xf numFmtId="168" fontId="54" fillId="9" borderId="0" xfId="4" applyNumberFormat="1" applyFont="1" applyFill="1" applyBorder="1" applyAlignment="1" applyProtection="1">
      <alignment horizontal="center" vertical="center"/>
      <protection hidden="1"/>
    </xf>
    <xf numFmtId="164" fontId="54" fillId="9" borderId="0" xfId="0" applyNumberFormat="1" applyFont="1" applyFill="1" applyBorder="1" applyAlignment="1" applyProtection="1">
      <alignment horizontal="center"/>
      <protection hidden="1"/>
    </xf>
    <xf numFmtId="0" fontId="54" fillId="9" borderId="0" xfId="0" applyFont="1" applyFill="1" applyBorder="1" applyAlignment="1" applyProtection="1">
      <alignment horizontal="center" vertical="center"/>
      <protection hidden="1"/>
    </xf>
    <xf numFmtId="0" fontId="54" fillId="9" borderId="18" xfId="0" applyFont="1" applyFill="1" applyBorder="1" applyProtection="1">
      <protection hidden="1"/>
    </xf>
    <xf numFmtId="0" fontId="56" fillId="9" borderId="18" xfId="0" applyFont="1" applyFill="1" applyBorder="1" applyProtection="1">
      <protection hidden="1"/>
    </xf>
    <xf numFmtId="0" fontId="1" fillId="9" borderId="18" xfId="0" applyFont="1" applyFill="1" applyBorder="1" applyProtection="1">
      <protection hidden="1"/>
    </xf>
    <xf numFmtId="0" fontId="38" fillId="9" borderId="0" xfId="0" applyFont="1" applyFill="1" applyBorder="1" applyProtection="1">
      <protection hidden="1"/>
    </xf>
    <xf numFmtId="0" fontId="65" fillId="9" borderId="0" xfId="0" applyFont="1" applyFill="1" applyBorder="1" applyProtection="1">
      <protection hidden="1"/>
    </xf>
    <xf numFmtId="0" fontId="3" fillId="9" borderId="0" xfId="0" applyFont="1" applyFill="1" applyBorder="1" applyProtection="1">
      <protection hidden="1"/>
    </xf>
    <xf numFmtId="0" fontId="0" fillId="9" borderId="17" xfId="0" applyFill="1" applyBorder="1" applyProtection="1">
      <protection hidden="1"/>
    </xf>
    <xf numFmtId="0" fontId="0" fillId="9" borderId="36" xfId="0" applyFill="1" applyBorder="1" applyProtection="1">
      <protection hidden="1"/>
    </xf>
    <xf numFmtId="0" fontId="57" fillId="9" borderId="14" xfId="0" applyFont="1" applyFill="1" applyBorder="1" applyProtection="1"/>
    <xf numFmtId="0" fontId="25" fillId="9" borderId="17" xfId="0" applyFont="1" applyFill="1" applyBorder="1" applyProtection="1"/>
    <xf numFmtId="0" fontId="3" fillId="9" borderId="17" xfId="0" applyFont="1" applyFill="1" applyBorder="1" applyProtection="1">
      <protection hidden="1"/>
    </xf>
    <xf numFmtId="0" fontId="3" fillId="9" borderId="15" xfId="0" applyFont="1" applyFill="1" applyBorder="1" applyProtection="1">
      <protection hidden="1"/>
    </xf>
    <xf numFmtId="0" fontId="54" fillId="9" borderId="15" xfId="0" applyFont="1" applyFill="1" applyBorder="1" applyProtection="1"/>
    <xf numFmtId="0" fontId="24" fillId="9" borderId="0" xfId="0" applyFont="1" applyFill="1" applyBorder="1" applyProtection="1"/>
    <xf numFmtId="2" fontId="0" fillId="9" borderId="0" xfId="0" applyNumberFormat="1" applyFill="1" applyBorder="1" applyProtection="1">
      <protection hidden="1"/>
    </xf>
    <xf numFmtId="0" fontId="12" fillId="9" borderId="0" xfId="0" applyFont="1" applyFill="1" applyBorder="1" applyProtection="1"/>
    <xf numFmtId="0" fontId="54" fillId="9" borderId="0" xfId="0" applyFont="1" applyFill="1" applyBorder="1" applyAlignment="1" applyProtection="1">
      <alignment horizontal="left"/>
      <protection hidden="1"/>
    </xf>
    <xf numFmtId="0" fontId="54" fillId="9" borderId="0" xfId="2" applyNumberFormat="1" applyFont="1" applyFill="1" applyBorder="1" applyProtection="1">
      <protection locked="0"/>
    </xf>
    <xf numFmtId="0" fontId="12" fillId="9" borderId="0" xfId="2" applyNumberFormat="1" applyFont="1" applyFill="1" applyBorder="1" applyProtection="1">
      <protection locked="0"/>
    </xf>
    <xf numFmtId="0" fontId="12" fillId="9" borderId="0" xfId="0" quotePrefix="1" applyFont="1" applyFill="1" applyBorder="1" applyAlignment="1" applyProtection="1">
      <alignment horizontal="right"/>
    </xf>
    <xf numFmtId="0" fontId="38" fillId="9" borderId="13" xfId="0" applyFont="1" applyFill="1" applyBorder="1" applyProtection="1">
      <protection hidden="1"/>
    </xf>
    <xf numFmtId="0" fontId="0" fillId="9" borderId="0" xfId="0" applyFill="1" applyBorder="1" applyAlignment="1" applyProtection="1">
      <alignment horizontal="center"/>
      <protection hidden="1"/>
    </xf>
    <xf numFmtId="10" fontId="54" fillId="9" borderId="0" xfId="0" applyNumberFormat="1" applyFont="1" applyFill="1" applyBorder="1" applyProtection="1">
      <protection locked="0"/>
    </xf>
    <xf numFmtId="0" fontId="26" fillId="9" borderId="0" xfId="0" applyFont="1" applyFill="1" applyBorder="1" applyAlignment="1" applyProtection="1">
      <alignment horizontal="center"/>
    </xf>
    <xf numFmtId="0" fontId="54" fillId="9" borderId="16" xfId="0" applyFont="1" applyFill="1" applyBorder="1" applyProtection="1"/>
    <xf numFmtId="0" fontId="24" fillId="9" borderId="18" xfId="0" applyFont="1" applyFill="1" applyBorder="1" applyProtection="1"/>
    <xf numFmtId="0" fontId="24" fillId="9" borderId="18" xfId="2" applyNumberFormat="1" applyFont="1" applyFill="1" applyBorder="1" applyProtection="1">
      <protection locked="0"/>
    </xf>
    <xf numFmtId="0" fontId="0" fillId="9" borderId="18" xfId="0" applyFill="1" applyBorder="1" applyAlignment="1" applyProtection="1">
      <alignment horizontal="center"/>
      <protection hidden="1"/>
    </xf>
    <xf numFmtId="0" fontId="57" fillId="9" borderId="14" xfId="0" applyFont="1" applyFill="1" applyBorder="1" applyProtection="1">
      <protection hidden="1"/>
    </xf>
    <xf numFmtId="0" fontId="57" fillId="9" borderId="15" xfId="0" applyFont="1" applyFill="1" applyBorder="1" applyProtection="1">
      <protection hidden="1"/>
    </xf>
    <xf numFmtId="0" fontId="1" fillId="9" borderId="13" xfId="0" applyFont="1" applyFill="1" applyBorder="1" applyProtection="1">
      <protection hidden="1"/>
    </xf>
    <xf numFmtId="0" fontId="63" fillId="9" borderId="15" xfId="0" applyFont="1" applyFill="1" applyBorder="1" applyProtection="1">
      <protection hidden="1"/>
    </xf>
    <xf numFmtId="0" fontId="1" fillId="9" borderId="37" xfId="0" applyFont="1" applyFill="1" applyBorder="1" applyProtection="1">
      <protection hidden="1"/>
    </xf>
    <xf numFmtId="0" fontId="0" fillId="9" borderId="0" xfId="0" applyFill="1" applyAlignment="1" applyProtection="1">
      <alignment wrapText="1"/>
      <protection hidden="1"/>
    </xf>
    <xf numFmtId="14" fontId="38" fillId="0" borderId="0" xfId="0" applyNumberFormat="1" applyFont="1" applyBorder="1" applyAlignment="1">
      <alignment horizontal="left"/>
    </xf>
    <xf numFmtId="0" fontId="1" fillId="0" borderId="14" xfId="0" applyFont="1" applyBorder="1"/>
    <xf numFmtId="0" fontId="0" fillId="0" borderId="0" xfId="0" applyFill="1"/>
    <xf numFmtId="14" fontId="21" fillId="0" borderId="0" xfId="0" applyNumberFormat="1" applyFont="1" applyBorder="1" applyAlignment="1">
      <alignment horizontal="right"/>
    </xf>
    <xf numFmtId="0" fontId="1" fillId="0" borderId="12" xfId="0" applyFont="1" applyFill="1" applyBorder="1" applyAlignment="1">
      <alignment wrapText="1"/>
    </xf>
    <xf numFmtId="0" fontId="56" fillId="0" borderId="15" xfId="0" applyFont="1" applyFill="1" applyBorder="1" applyProtection="1">
      <protection hidden="1"/>
    </xf>
    <xf numFmtId="175" fontId="55" fillId="13" borderId="3" xfId="0" applyNumberFormat="1" applyFont="1" applyFill="1" applyBorder="1" applyProtection="1">
      <protection locked="0"/>
    </xf>
    <xf numFmtId="175" fontId="0" fillId="9" borderId="0" xfId="0" applyNumberFormat="1" applyFill="1" applyBorder="1" applyProtection="1">
      <protection hidden="1"/>
    </xf>
    <xf numFmtId="175" fontId="55" fillId="16" borderId="3" xfId="0" applyNumberFormat="1" applyFont="1" applyFill="1" applyBorder="1" applyProtection="1">
      <protection locked="0"/>
    </xf>
    <xf numFmtId="175" fontId="1" fillId="0" borderId="0" xfId="0" applyNumberFormat="1" applyFont="1" applyProtection="1">
      <protection hidden="1"/>
    </xf>
    <xf numFmtId="175" fontId="0" fillId="0" borderId="0" xfId="0" applyNumberFormat="1" applyProtection="1">
      <protection hidden="1"/>
    </xf>
    <xf numFmtId="0" fontId="41" fillId="9" borderId="0" xfId="5" applyFont="1" applyFill="1" applyAlignment="1"/>
    <xf numFmtId="0" fontId="42" fillId="0" borderId="0" xfId="5" applyFont="1" applyAlignment="1"/>
    <xf numFmtId="176" fontId="0" fillId="0" borderId="0" xfId="0" applyNumberFormat="1" applyProtection="1">
      <protection hidden="1"/>
    </xf>
    <xf numFmtId="0" fontId="0" fillId="17" borderId="22" xfId="0" applyFill="1" applyBorder="1"/>
    <xf numFmtId="0" fontId="3" fillId="17" borderId="25" xfId="0" applyFont="1" applyFill="1" applyBorder="1"/>
    <xf numFmtId="0" fontId="3" fillId="17" borderId="11" xfId="0" applyFont="1" applyFill="1" applyBorder="1" applyAlignment="1">
      <alignment horizontal="center"/>
    </xf>
    <xf numFmtId="0" fontId="3" fillId="17" borderId="10" xfId="0" applyFont="1" applyFill="1" applyBorder="1" applyAlignment="1">
      <alignment horizontal="center"/>
    </xf>
    <xf numFmtId="0" fontId="3" fillId="17" borderId="9" xfId="0" applyFont="1" applyFill="1" applyBorder="1" applyAlignment="1">
      <alignment horizontal="center"/>
    </xf>
    <xf numFmtId="0" fontId="1" fillId="17" borderId="12" xfId="0" applyFont="1" applyFill="1" applyBorder="1"/>
    <xf numFmtId="9" fontId="0" fillId="17" borderId="28" xfId="0" applyNumberFormat="1" applyFill="1" applyBorder="1"/>
    <xf numFmtId="0" fontId="0" fillId="17" borderId="12" xfId="0" applyFill="1" applyBorder="1"/>
    <xf numFmtId="0" fontId="0" fillId="17" borderId="4" xfId="0" applyFill="1" applyBorder="1"/>
    <xf numFmtId="0" fontId="1" fillId="17" borderId="0" xfId="0" applyFont="1" applyFill="1"/>
    <xf numFmtId="0" fontId="66" fillId="0" borderId="0" xfId="0" applyFont="1"/>
    <xf numFmtId="0" fontId="3" fillId="17" borderId="0" xfId="0" applyFont="1" applyFill="1"/>
    <xf numFmtId="0" fontId="0" fillId="17" borderId="0" xfId="0" applyFill="1"/>
    <xf numFmtId="0" fontId="35" fillId="17" borderId="0" xfId="0" applyFont="1" applyFill="1" applyProtection="1">
      <protection hidden="1"/>
    </xf>
    <xf numFmtId="0" fontId="35" fillId="17" borderId="0" xfId="0" applyFont="1" applyFill="1"/>
    <xf numFmtId="0" fontId="32" fillId="17" borderId="0" xfId="3" applyFill="1" applyAlignment="1" applyProtection="1"/>
    <xf numFmtId="0" fontId="3" fillId="17" borderId="8" xfId="0" applyFont="1" applyFill="1" applyBorder="1" applyAlignment="1">
      <alignment horizontal="center" vertical="center"/>
    </xf>
    <xf numFmtId="0" fontId="3" fillId="17" borderId="9" xfId="0" applyFont="1" applyFill="1" applyBorder="1" applyAlignment="1">
      <alignment horizontal="center" vertical="center"/>
    </xf>
    <xf numFmtId="0" fontId="1" fillId="17" borderId="4" xfId="0" applyFont="1" applyFill="1" applyBorder="1" applyAlignment="1">
      <alignment horizontal="center" vertical="center"/>
    </xf>
    <xf numFmtId="172" fontId="36" fillId="17" borderId="7" xfId="0" applyNumberFormat="1" applyFont="1" applyFill="1" applyBorder="1" applyAlignment="1">
      <alignment horizontal="center" vertical="center"/>
    </xf>
    <xf numFmtId="2" fontId="0" fillId="17" borderId="10" xfId="0" applyNumberFormat="1" applyFill="1" applyBorder="1"/>
    <xf numFmtId="2" fontId="0" fillId="17" borderId="9" xfId="0" applyNumberFormat="1" applyFill="1" applyBorder="1"/>
    <xf numFmtId="172" fontId="36" fillId="17" borderId="4" xfId="0" applyNumberFormat="1" applyFont="1" applyFill="1" applyBorder="1" applyAlignment="1">
      <alignment horizontal="center" vertical="center"/>
    </xf>
    <xf numFmtId="172" fontId="36" fillId="17" borderId="5" xfId="0" applyNumberFormat="1" applyFont="1" applyFill="1" applyBorder="1" applyAlignment="1">
      <alignment horizontal="center" vertical="center"/>
    </xf>
    <xf numFmtId="1" fontId="33" fillId="17" borderId="0" xfId="0" applyNumberFormat="1" applyFont="1" applyFill="1" applyBorder="1" applyAlignment="1">
      <alignment horizontal="right" vertical="center"/>
    </xf>
    <xf numFmtId="2" fontId="0" fillId="17" borderId="11" xfId="0" applyNumberFormat="1" applyFill="1" applyBorder="1"/>
    <xf numFmtId="0" fontId="3" fillId="0" borderId="0" xfId="5" applyFont="1"/>
    <xf numFmtId="0" fontId="1" fillId="0" borderId="0" xfId="5"/>
    <xf numFmtId="0" fontId="3" fillId="0" borderId="0" xfId="5" applyFont="1" applyAlignment="1">
      <alignment horizontal="left"/>
    </xf>
    <xf numFmtId="166" fontId="67" fillId="0" borderId="8" xfId="5" applyNumberFormat="1" applyFont="1" applyBorder="1" applyAlignment="1">
      <alignment horizontal="right"/>
    </xf>
    <xf numFmtId="1" fontId="1" fillId="0" borderId="9" xfId="5" applyNumberFormat="1" applyFont="1" applyBorder="1" applyAlignment="1">
      <alignment horizontal="right"/>
    </xf>
    <xf numFmtId="1" fontId="1" fillId="0" borderId="4" xfId="5" applyNumberFormat="1" applyFont="1" applyBorder="1" applyAlignment="1">
      <alignment horizontal="right"/>
    </xf>
    <xf numFmtId="166" fontId="12" fillId="0" borderId="5" xfId="5" applyNumberFormat="1" applyFont="1" applyBorder="1" applyAlignment="1">
      <alignment horizontal="right"/>
    </xf>
    <xf numFmtId="166" fontId="1" fillId="0" borderId="5" xfId="5" applyNumberFormat="1" applyFont="1" applyBorder="1" applyAlignment="1">
      <alignment horizontal="right"/>
    </xf>
    <xf numFmtId="0" fontId="1" fillId="0" borderId="0" xfId="5" applyFont="1"/>
    <xf numFmtId="166" fontId="67" fillId="0" borderId="4" xfId="5" applyNumberFormat="1" applyFont="1" applyBorder="1" applyAlignment="1">
      <alignment horizontal="right"/>
    </xf>
    <xf numFmtId="166" fontId="1" fillId="18" borderId="5" xfId="5" applyNumberFormat="1" applyFont="1" applyFill="1" applyBorder="1" applyAlignment="1">
      <alignment horizontal="right"/>
    </xf>
    <xf numFmtId="0" fontId="54" fillId="0" borderId="0" xfId="5" applyFont="1"/>
    <xf numFmtId="0" fontId="1" fillId="0" borderId="0" xfId="5" applyFont="1" applyBorder="1" applyAlignment="1">
      <alignment horizontal="center"/>
    </xf>
    <xf numFmtId="166" fontId="3" fillId="0" borderId="8" xfId="5" applyNumberFormat="1" applyFont="1" applyBorder="1" applyAlignment="1">
      <alignment horizontal="right"/>
    </xf>
    <xf numFmtId="166" fontId="3" fillId="0" borderId="4" xfId="5" applyNumberFormat="1" applyFont="1" applyBorder="1" applyAlignment="1">
      <alignment horizontal="right"/>
    </xf>
    <xf numFmtId="0" fontId="20" fillId="17" borderId="0" xfId="0" applyFont="1" applyFill="1"/>
    <xf numFmtId="0" fontId="38" fillId="0" borderId="0" xfId="0" applyFont="1" applyFill="1" applyBorder="1"/>
    <xf numFmtId="0" fontId="38" fillId="0" borderId="28" xfId="0" applyFont="1" applyFill="1" applyBorder="1"/>
    <xf numFmtId="0" fontId="68" fillId="0" borderId="8" xfId="0" applyFont="1" applyBorder="1" applyAlignment="1">
      <alignment horizontal="center" vertical="center"/>
    </xf>
    <xf numFmtId="0" fontId="49" fillId="0" borderId="9" xfId="0" applyFont="1" applyBorder="1" applyAlignment="1">
      <alignment horizontal="center" vertical="center"/>
    </xf>
    <xf numFmtId="0" fontId="69" fillId="0" borderId="0" xfId="0" applyFont="1" applyAlignment="1">
      <alignment vertical="center" wrapText="1"/>
    </xf>
    <xf numFmtId="0" fontId="68" fillId="0" borderId="4" xfId="0" applyFont="1" applyBorder="1" applyAlignment="1">
      <alignment horizontal="center" vertical="center"/>
    </xf>
    <xf numFmtId="0" fontId="69" fillId="0" borderId="5" xfId="0" applyFont="1" applyBorder="1" applyAlignment="1">
      <alignment vertical="center"/>
    </xf>
    <xf numFmtId="0" fontId="49" fillId="0" borderId="4" xfId="0" applyFont="1" applyBorder="1" applyAlignment="1">
      <alignment horizontal="center" vertical="center"/>
    </xf>
    <xf numFmtId="0" fontId="49" fillId="0" borderId="0" xfId="0" applyFont="1" applyAlignment="1">
      <alignment horizontal="left" vertical="center" indent="5"/>
    </xf>
    <xf numFmtId="0" fontId="49" fillId="0" borderId="0" xfId="0" applyFont="1" applyAlignment="1">
      <alignment vertical="center"/>
    </xf>
    <xf numFmtId="0" fontId="49" fillId="0" borderId="0" xfId="0" applyFont="1" applyAlignment="1"/>
    <xf numFmtId="0" fontId="50" fillId="0" borderId="0" xfId="0" applyFont="1" applyAlignment="1">
      <alignment vertical="center"/>
    </xf>
    <xf numFmtId="0" fontId="69" fillId="0" borderId="0" xfId="0" applyFont="1" applyAlignment="1">
      <alignment horizontal="left" vertical="center" indent="2"/>
    </xf>
    <xf numFmtId="0" fontId="49" fillId="0" borderId="5" xfId="0" applyFont="1" applyBorder="1" applyAlignment="1">
      <alignment horizontal="center" vertical="center"/>
    </xf>
    <xf numFmtId="0" fontId="69" fillId="0" borderId="0" xfId="0" applyFont="1" applyAlignment="1">
      <alignment vertical="center"/>
    </xf>
    <xf numFmtId="0" fontId="3" fillId="0" borderId="22" xfId="0" applyFont="1" applyFill="1" applyBorder="1"/>
    <xf numFmtId="0" fontId="3" fillId="0" borderId="7" xfId="0" applyFont="1" applyBorder="1"/>
    <xf numFmtId="14" fontId="0" fillId="0" borderId="21" xfId="0" applyNumberFormat="1" applyBorder="1"/>
    <xf numFmtId="0" fontId="1" fillId="19" borderId="0" xfId="0" applyFont="1" applyFill="1"/>
    <xf numFmtId="0" fontId="0" fillId="19" borderId="0" xfId="0" applyFill="1"/>
    <xf numFmtId="2" fontId="1" fillId="19" borderId="0" xfId="0" applyNumberFormat="1" applyFont="1" applyFill="1"/>
    <xf numFmtId="14" fontId="1" fillId="19" borderId="3" xfId="0" applyNumberFormat="1" applyFont="1" applyFill="1" applyBorder="1" applyProtection="1">
      <protection hidden="1"/>
    </xf>
    <xf numFmtId="0" fontId="1" fillId="19" borderId="3" xfId="0" applyFont="1" applyFill="1" applyBorder="1"/>
    <xf numFmtId="0" fontId="0" fillId="19" borderId="3" xfId="0" applyFill="1" applyBorder="1"/>
    <xf numFmtId="14" fontId="3" fillId="0" borderId="0" xfId="0" applyNumberFormat="1" applyFont="1"/>
    <xf numFmtId="0" fontId="0" fillId="19" borderId="3" xfId="0" applyNumberFormat="1" applyFill="1" applyBorder="1"/>
    <xf numFmtId="0" fontId="0" fillId="19" borderId="0" xfId="0" applyFill="1" applyBorder="1"/>
    <xf numFmtId="1" fontId="0" fillId="19" borderId="0" xfId="0" applyNumberFormat="1" applyFill="1" applyBorder="1"/>
    <xf numFmtId="14" fontId="0" fillId="19" borderId="3" xfId="0" applyNumberFormat="1" applyFill="1" applyBorder="1"/>
    <xf numFmtId="2" fontId="3" fillId="19" borderId="0" xfId="0" applyNumberFormat="1" applyFont="1" applyFill="1"/>
    <xf numFmtId="0" fontId="70" fillId="0" borderId="0" xfId="0" applyFont="1"/>
    <xf numFmtId="1" fontId="1" fillId="19" borderId="3" xfId="0" applyNumberFormat="1" applyFont="1" applyFill="1" applyBorder="1"/>
    <xf numFmtId="0" fontId="71" fillId="19" borderId="0" xfId="0" applyFont="1" applyFill="1"/>
    <xf numFmtId="0" fontId="1" fillId="0" borderId="24" xfId="0" applyFont="1" applyBorder="1"/>
    <xf numFmtId="14" fontId="72" fillId="14" borderId="41" xfId="0" applyNumberFormat="1" applyFont="1" applyFill="1" applyBorder="1" applyAlignment="1">
      <alignment horizontal="center" wrapText="1"/>
    </xf>
    <xf numFmtId="14" fontId="72" fillId="14" borderId="39" xfId="0" applyNumberFormat="1" applyFont="1" applyFill="1" applyBorder="1" applyAlignment="1">
      <alignment horizontal="center" wrapText="1"/>
    </xf>
    <xf numFmtId="14" fontId="61" fillId="14" borderId="46" xfId="0" applyNumberFormat="1" applyFont="1" applyFill="1" applyBorder="1" applyAlignment="1">
      <alignment horizontal="center" wrapText="1"/>
    </xf>
    <xf numFmtId="14" fontId="61" fillId="14" borderId="8" xfId="0" applyNumberFormat="1" applyFont="1" applyFill="1" applyBorder="1" applyAlignment="1">
      <alignment horizontal="center" wrapText="1"/>
    </xf>
    <xf numFmtId="14" fontId="61" fillId="14" borderId="47" xfId="0" applyNumberFormat="1" applyFont="1" applyFill="1" applyBorder="1" applyAlignment="1">
      <alignment horizontal="center" wrapText="1"/>
    </xf>
    <xf numFmtId="14" fontId="61" fillId="14" borderId="12" xfId="0" applyNumberFormat="1" applyFont="1" applyFill="1" applyBorder="1" applyAlignment="1">
      <alignment horizontal="center" wrapText="1"/>
    </xf>
    <xf numFmtId="14" fontId="61" fillId="14" borderId="48" xfId="0" applyNumberFormat="1" applyFont="1" applyFill="1" applyBorder="1" applyAlignment="1">
      <alignment horizontal="center" wrapText="1"/>
    </xf>
    <xf numFmtId="14" fontId="61" fillId="14" borderId="49" xfId="0" applyNumberFormat="1" applyFont="1" applyFill="1" applyBorder="1" applyAlignment="1">
      <alignment horizontal="center" wrapText="1"/>
    </xf>
    <xf numFmtId="2" fontId="0" fillId="0" borderId="28" xfId="0" applyNumberFormat="1" applyBorder="1" applyAlignment="1">
      <alignment horizontal="right"/>
    </xf>
    <xf numFmtId="2" fontId="0" fillId="0" borderId="0" xfId="0" applyNumberFormat="1" applyBorder="1" applyAlignment="1">
      <alignment horizontal="right"/>
    </xf>
    <xf numFmtId="14" fontId="0" fillId="0" borderId="28" xfId="0" applyNumberFormat="1" applyBorder="1" applyAlignment="1">
      <alignment horizontal="right"/>
    </xf>
    <xf numFmtId="0" fontId="0" fillId="0" borderId="0" xfId="0" applyBorder="1" applyAlignment="1">
      <alignment horizontal="right"/>
    </xf>
    <xf numFmtId="0" fontId="3" fillId="0" borderId="7" xfId="0" applyFont="1" applyFill="1" applyBorder="1"/>
    <xf numFmtId="0" fontId="3" fillId="0" borderId="27" xfId="0" applyFont="1" applyFill="1" applyBorder="1"/>
    <xf numFmtId="0" fontId="3" fillId="0" borderId="23" xfId="0" applyFont="1" applyFill="1" applyBorder="1"/>
    <xf numFmtId="169" fontId="0" fillId="0" borderId="0" xfId="0" applyNumberFormat="1" applyBorder="1"/>
    <xf numFmtId="0" fontId="3" fillId="10" borderId="25" xfId="0" applyFont="1" applyFill="1" applyBorder="1"/>
    <xf numFmtId="0" fontId="3" fillId="0" borderId="28" xfId="0" applyFont="1" applyBorder="1"/>
    <xf numFmtId="10" fontId="0" fillId="0" borderId="0" xfId="0" applyNumberFormat="1"/>
    <xf numFmtId="0" fontId="1" fillId="0" borderId="7" xfId="0" applyFont="1" applyBorder="1"/>
    <xf numFmtId="10" fontId="37" fillId="0" borderId="27" xfId="0" applyNumberFormat="1" applyFont="1" applyBorder="1"/>
    <xf numFmtId="10" fontId="37" fillId="0" borderId="5" xfId="0" applyNumberFormat="1" applyFont="1" applyBorder="1"/>
    <xf numFmtId="0" fontId="33" fillId="0" borderId="28" xfId="0" applyFont="1" applyBorder="1"/>
    <xf numFmtId="2" fontId="0" fillId="10" borderId="25" xfId="0" applyNumberFormat="1" applyFill="1" applyBorder="1"/>
    <xf numFmtId="1" fontId="0" fillId="10" borderId="12" xfId="0" applyNumberFormat="1" applyFill="1" applyBorder="1"/>
    <xf numFmtId="0" fontId="0" fillId="10" borderId="4" xfId="0" applyFill="1" applyBorder="1"/>
    <xf numFmtId="166" fontId="0" fillId="0" borderId="12" xfId="0" applyNumberFormat="1" applyFill="1" applyBorder="1" applyAlignment="1">
      <alignment horizontal="right"/>
    </xf>
    <xf numFmtId="166" fontId="73" fillId="0" borderId="5" xfId="0" applyNumberFormat="1" applyFont="1" applyBorder="1" applyAlignment="1">
      <alignment horizontal="center" vertical="center"/>
    </xf>
    <xf numFmtId="0" fontId="3" fillId="0" borderId="0" xfId="0" applyFont="1" applyBorder="1" applyAlignment="1">
      <alignment vertical="center" wrapText="1"/>
    </xf>
    <xf numFmtId="3" fontId="0" fillId="0" borderId="22" xfId="0" applyNumberFormat="1" applyBorder="1"/>
    <xf numFmtId="1" fontId="0" fillId="0" borderId="7" xfId="0" applyNumberFormat="1" applyBorder="1"/>
    <xf numFmtId="1" fontId="0" fillId="0" borderId="6" xfId="0" applyNumberFormat="1" applyBorder="1"/>
    <xf numFmtId="1" fontId="0" fillId="0" borderId="5" xfId="0" applyNumberFormat="1" applyBorder="1"/>
    <xf numFmtId="169" fontId="0" fillId="0" borderId="28" xfId="0" applyNumberFormat="1" applyBorder="1"/>
    <xf numFmtId="169" fontId="0" fillId="0" borderId="23" xfId="0" applyNumberFormat="1" applyBorder="1"/>
    <xf numFmtId="4" fontId="1" fillId="0" borderId="12" xfId="0" applyNumberFormat="1" applyFont="1" applyFill="1" applyBorder="1"/>
    <xf numFmtId="0" fontId="0" fillId="0" borderId="12" xfId="0" applyFill="1" applyBorder="1"/>
    <xf numFmtId="4" fontId="0" fillId="0" borderId="0" xfId="0" applyNumberFormat="1" applyFill="1" applyBorder="1" applyAlignment="1">
      <alignment horizontal="right"/>
    </xf>
    <xf numFmtId="2" fontId="35" fillId="0" borderId="28" xfId="0" applyNumberFormat="1" applyFont="1" applyBorder="1" applyAlignment="1">
      <alignment horizontal="right"/>
    </xf>
    <xf numFmtId="4" fontId="0" fillId="0" borderId="22" xfId="0" applyNumberFormat="1" applyFill="1" applyBorder="1" applyAlignment="1">
      <alignment horizontal="right"/>
    </xf>
    <xf numFmtId="4" fontId="0" fillId="0" borderId="26" xfId="0" applyNumberFormat="1" applyFill="1" applyBorder="1" applyAlignment="1">
      <alignment horizontal="right"/>
    </xf>
    <xf numFmtId="4" fontId="0" fillId="0" borderId="27" xfId="0" applyNumberFormat="1" applyFill="1" applyBorder="1"/>
    <xf numFmtId="4" fontId="0" fillId="0" borderId="28" xfId="0" applyNumberFormat="1" applyFill="1" applyBorder="1" applyAlignment="1">
      <alignment horizontal="right"/>
    </xf>
    <xf numFmtId="4" fontId="0" fillId="0" borderId="23" xfId="0" applyNumberFormat="1" applyFill="1" applyBorder="1"/>
    <xf numFmtId="4" fontId="0" fillId="0" borderId="7" xfId="0" applyNumberFormat="1" applyFill="1" applyBorder="1" applyAlignment="1">
      <alignment horizontal="right"/>
    </xf>
    <xf numFmtId="4" fontId="0" fillId="0" borderId="6" xfId="0" applyNumberFormat="1" applyFill="1" applyBorder="1" applyAlignment="1">
      <alignment horizontal="right"/>
    </xf>
    <xf numFmtId="171" fontId="0" fillId="0" borderId="0" xfId="0" applyNumberFormat="1"/>
    <xf numFmtId="0" fontId="3" fillId="20" borderId="5" xfId="0" applyFont="1" applyFill="1" applyBorder="1"/>
    <xf numFmtId="167" fontId="0" fillId="20" borderId="7" xfId="0" applyNumberFormat="1" applyFill="1" applyBorder="1"/>
    <xf numFmtId="167" fontId="0" fillId="20" borderId="6" xfId="0" applyNumberFormat="1" applyFill="1" applyBorder="1"/>
    <xf numFmtId="167" fontId="0" fillId="20" borderId="5" xfId="0" applyNumberFormat="1" applyFill="1" applyBorder="1"/>
    <xf numFmtId="14" fontId="55" fillId="13" borderId="38" xfId="0" applyNumberFormat="1" applyFont="1" applyFill="1" applyBorder="1" applyProtection="1">
      <protection locked="0"/>
    </xf>
    <xf numFmtId="1" fontId="1" fillId="0" borderId="28" xfId="0" applyNumberFormat="1" applyFont="1" applyBorder="1" applyAlignment="1">
      <alignment horizontal="right"/>
    </xf>
    <xf numFmtId="1" fontId="1" fillId="0" borderId="0" xfId="0" applyNumberFormat="1" applyFont="1" applyBorder="1" applyAlignment="1">
      <alignment horizontal="right"/>
    </xf>
    <xf numFmtId="10" fontId="0" fillId="0" borderId="12" xfId="4" applyNumberFormat="1" applyFont="1" applyBorder="1"/>
    <xf numFmtId="10" fontId="0" fillId="11" borderId="12" xfId="4" applyNumberFormat="1" applyFont="1" applyFill="1" applyBorder="1"/>
    <xf numFmtId="0" fontId="0" fillId="0" borderId="7" xfId="0" applyBorder="1"/>
    <xf numFmtId="167" fontId="1" fillId="11" borderId="12" xfId="0" applyNumberFormat="1" applyFont="1" applyFill="1" applyBorder="1"/>
    <xf numFmtId="167" fontId="0" fillId="11" borderId="12" xfId="0" applyNumberFormat="1" applyFill="1" applyBorder="1"/>
    <xf numFmtId="0" fontId="3" fillId="0" borderId="11" xfId="0" applyFont="1" applyBorder="1" applyAlignment="1">
      <alignment horizontal="center"/>
    </xf>
    <xf numFmtId="0" fontId="3" fillId="0" borderId="10" xfId="0" applyFont="1" applyBorder="1" applyAlignment="1">
      <alignment horizontal="center"/>
    </xf>
    <xf numFmtId="0" fontId="3" fillId="0" borderId="9" xfId="0" applyFont="1" applyBorder="1" applyAlignment="1">
      <alignment horizontal="center"/>
    </xf>
    <xf numFmtId="0" fontId="3" fillId="0" borderId="30" xfId="0" applyFont="1" applyFill="1" applyBorder="1"/>
    <xf numFmtId="0" fontId="3" fillId="0" borderId="28" xfId="0" applyFont="1" applyFill="1" applyBorder="1"/>
    <xf numFmtId="4" fontId="1" fillId="0" borderId="22" xfId="0" applyNumberFormat="1" applyFont="1" applyBorder="1"/>
    <xf numFmtId="4" fontId="1" fillId="0" borderId="28" xfId="0" applyNumberFormat="1" applyFont="1" applyBorder="1"/>
    <xf numFmtId="4" fontId="1" fillId="0" borderId="23" xfId="0" applyNumberFormat="1" applyFont="1" applyBorder="1"/>
    <xf numFmtId="0" fontId="3" fillId="0" borderId="12" xfId="0" applyFont="1" applyBorder="1" applyAlignment="1">
      <alignment horizontal="center" vertical="center" wrapText="1"/>
    </xf>
    <xf numFmtId="3" fontId="0" fillId="10" borderId="22" xfId="0" applyNumberFormat="1" applyFill="1" applyBorder="1"/>
    <xf numFmtId="3" fontId="0" fillId="10" borderId="26" xfId="0" applyNumberFormat="1" applyFill="1" applyBorder="1"/>
    <xf numFmtId="3" fontId="0" fillId="10" borderId="27" xfId="0" applyNumberFormat="1" applyFill="1" applyBorder="1"/>
    <xf numFmtId="3" fontId="0" fillId="10" borderId="28" xfId="0" applyNumberFormat="1" applyFill="1" applyBorder="1"/>
    <xf numFmtId="3" fontId="0" fillId="10" borderId="0" xfId="0" applyNumberFormat="1" applyFill="1" applyBorder="1"/>
    <xf numFmtId="3" fontId="0" fillId="10" borderId="23" xfId="0" applyNumberFormat="1" applyFill="1" applyBorder="1"/>
    <xf numFmtId="4" fontId="0" fillId="10" borderId="7" xfId="0" applyNumberFormat="1" applyFill="1" applyBorder="1"/>
    <xf numFmtId="4" fontId="0" fillId="10" borderId="6" xfId="0" applyNumberFormat="1" applyFill="1" applyBorder="1"/>
    <xf numFmtId="4" fontId="77" fillId="0" borderId="0" xfId="0" applyNumberFormat="1" applyFont="1"/>
    <xf numFmtId="177" fontId="75" fillId="0" borderId="0" xfId="4" applyNumberFormat="1" applyFont="1"/>
    <xf numFmtId="177" fontId="77" fillId="0" borderId="0" xfId="4" applyNumberFormat="1" applyFont="1"/>
    <xf numFmtId="0" fontId="15" fillId="0" borderId="0" xfId="0" applyFont="1"/>
    <xf numFmtId="0" fontId="77" fillId="0" borderId="0" xfId="0" applyFont="1"/>
    <xf numFmtId="0" fontId="76" fillId="0" borderId="0" xfId="0" applyFont="1"/>
    <xf numFmtId="4" fontId="37" fillId="0" borderId="0" xfId="0" applyNumberFormat="1" applyFont="1"/>
    <xf numFmtId="9" fontId="0" fillId="17" borderId="0" xfId="0" applyNumberFormat="1" applyFill="1" applyBorder="1"/>
    <xf numFmtId="44" fontId="55" fillId="9" borderId="0" xfId="0" applyNumberFormat="1" applyFont="1" applyFill="1" applyBorder="1" applyProtection="1">
      <protection locked="0"/>
    </xf>
    <xf numFmtId="167" fontId="1" fillId="0" borderId="0" xfId="0" applyNumberFormat="1" applyFont="1" applyBorder="1"/>
    <xf numFmtId="0" fontId="40" fillId="0" borderId="0" xfId="0" applyFont="1"/>
    <xf numFmtId="14" fontId="0" fillId="0" borderId="36" xfId="0" applyNumberFormat="1" applyBorder="1"/>
    <xf numFmtId="14" fontId="0" fillId="0" borderId="13" xfId="0" applyNumberFormat="1" applyBorder="1"/>
    <xf numFmtId="167" fontId="0" fillId="0" borderId="13" xfId="0" applyNumberFormat="1" applyBorder="1"/>
    <xf numFmtId="167" fontId="1" fillId="0" borderId="18" xfId="0" applyNumberFormat="1" applyFont="1" applyBorder="1"/>
    <xf numFmtId="167" fontId="1" fillId="0" borderId="37" xfId="0" applyNumberFormat="1" applyFont="1" applyBorder="1"/>
    <xf numFmtId="44" fontId="0" fillId="0" borderId="26" xfId="0" applyNumberFormat="1" applyFill="1" applyBorder="1"/>
    <xf numFmtId="178" fontId="1" fillId="12" borderId="0" xfId="0" quotePrefix="1" applyNumberFormat="1" applyFont="1" applyFill="1" applyBorder="1" applyAlignment="1" applyProtection="1">
      <alignment horizontal="right"/>
      <protection hidden="1"/>
    </xf>
    <xf numFmtId="0" fontId="55" fillId="13" borderId="38" xfId="0" applyNumberFormat="1" applyFont="1" applyFill="1" applyBorder="1" applyAlignment="1" applyProtection="1">
      <alignment horizontal="left"/>
      <protection locked="0"/>
    </xf>
    <xf numFmtId="0" fontId="54" fillId="9" borderId="0" xfId="0" quotePrefix="1" applyFont="1" applyFill="1" applyBorder="1" applyAlignment="1" applyProtection="1">
      <alignment horizontal="right"/>
    </xf>
    <xf numFmtId="44" fontId="55" fillId="13" borderId="35" xfId="0" applyNumberFormat="1" applyFont="1" applyFill="1" applyBorder="1" applyProtection="1">
      <protection locked="0"/>
    </xf>
    <xf numFmtId="0" fontId="56" fillId="11" borderId="24" xfId="0" applyFont="1" applyFill="1" applyBorder="1" applyAlignment="1" applyProtection="1">
      <alignment horizontal="center"/>
    </xf>
    <xf numFmtId="0" fontId="3" fillId="0" borderId="0" xfId="5" applyFont="1" applyBorder="1"/>
    <xf numFmtId="0" fontId="3" fillId="0" borderId="0" xfId="5" applyFont="1" applyBorder="1" applyAlignment="1">
      <alignment horizontal="left"/>
    </xf>
    <xf numFmtId="166" fontId="67" fillId="0" borderId="0" xfId="5" applyNumberFormat="1" applyFont="1" applyBorder="1" applyAlignment="1">
      <alignment horizontal="right"/>
    </xf>
    <xf numFmtId="1" fontId="1" fillId="0" borderId="0" xfId="5" applyNumberFormat="1" applyFont="1" applyBorder="1" applyAlignment="1">
      <alignment horizontal="right"/>
    </xf>
    <xf numFmtId="166" fontId="12" fillId="0" borderId="0" xfId="5" applyNumberFormat="1" applyFont="1" applyBorder="1" applyAlignment="1">
      <alignment horizontal="right"/>
    </xf>
    <xf numFmtId="166" fontId="1" fillId="0" borderId="0" xfId="5" applyNumberFormat="1" applyFont="1" applyBorder="1" applyAlignment="1">
      <alignment horizontal="right"/>
    </xf>
    <xf numFmtId="0" fontId="1" fillId="0" borderId="0" xfId="5" applyFont="1" applyBorder="1" applyAlignment="1">
      <alignment horizontal="left" indent="4"/>
    </xf>
    <xf numFmtId="0" fontId="54" fillId="0" borderId="0" xfId="5" applyFont="1" applyBorder="1"/>
    <xf numFmtId="0" fontId="1" fillId="0" borderId="0" xfId="5" applyFont="1" applyBorder="1"/>
    <xf numFmtId="166" fontId="54" fillId="0" borderId="0" xfId="5" applyNumberFormat="1" applyFont="1" applyBorder="1" applyAlignment="1">
      <alignment horizontal="right"/>
    </xf>
    <xf numFmtId="166" fontId="1" fillId="0" borderId="0" xfId="5" applyNumberFormat="1" applyBorder="1" applyAlignment="1">
      <alignment horizontal="right"/>
    </xf>
    <xf numFmtId="166" fontId="3" fillId="0" borderId="0" xfId="5" applyNumberFormat="1" applyFont="1" applyBorder="1" applyAlignment="1">
      <alignment horizontal="right"/>
    </xf>
    <xf numFmtId="0" fontId="0" fillId="0" borderId="0" xfId="0" applyFill="1" applyProtection="1">
      <protection hidden="1"/>
    </xf>
    <xf numFmtId="2" fontId="1" fillId="0" borderId="0" xfId="0" applyNumberFormat="1" applyFont="1" applyFill="1" applyProtection="1">
      <protection hidden="1"/>
    </xf>
    <xf numFmtId="14" fontId="0" fillId="0" borderId="0" xfId="0" applyNumberFormat="1" applyFill="1" applyProtection="1">
      <protection hidden="1"/>
    </xf>
    <xf numFmtId="175" fontId="1" fillId="0" borderId="0" xfId="0" applyNumberFormat="1" applyFont="1" applyFill="1" applyProtection="1">
      <protection hidden="1"/>
    </xf>
    <xf numFmtId="0" fontId="1" fillId="0" borderId="0" xfId="0" applyFont="1" applyFill="1" applyAlignment="1" applyProtection="1">
      <alignment wrapText="1"/>
      <protection hidden="1"/>
    </xf>
    <xf numFmtId="0" fontId="0" fillId="0" borderId="0" xfId="0" applyFill="1" applyAlignment="1" applyProtection="1">
      <alignment wrapText="1"/>
      <protection hidden="1"/>
    </xf>
    <xf numFmtId="166" fontId="0" fillId="0" borderId="0" xfId="0" applyNumberFormat="1" applyFill="1" applyProtection="1">
      <protection hidden="1"/>
    </xf>
    <xf numFmtId="0" fontId="38" fillId="0" borderId="0" xfId="0" applyFont="1" applyFill="1" applyProtection="1">
      <protection hidden="1"/>
    </xf>
    <xf numFmtId="2" fontId="0" fillId="0" borderId="0" xfId="0" applyNumberFormat="1" applyFill="1" applyProtection="1">
      <protection hidden="1"/>
    </xf>
    <xf numFmtId="14" fontId="1" fillId="0" borderId="0" xfId="0" applyNumberFormat="1" applyFont="1" applyFill="1" applyProtection="1">
      <protection hidden="1"/>
    </xf>
    <xf numFmtId="14" fontId="38" fillId="0" borderId="0" xfId="0" applyNumberFormat="1" applyFont="1" applyFill="1" applyProtection="1">
      <protection hidden="1"/>
    </xf>
    <xf numFmtId="0" fontId="3" fillId="0" borderId="0" xfId="0" applyFont="1" applyFill="1" applyProtection="1">
      <protection hidden="1"/>
    </xf>
    <xf numFmtId="0" fontId="1" fillId="21" borderId="0" xfId="0" applyFont="1" applyFill="1" applyProtection="1">
      <protection hidden="1"/>
    </xf>
    <xf numFmtId="2" fontId="1" fillId="21" borderId="0" xfId="0" applyNumberFormat="1" applyFont="1" applyFill="1" applyProtection="1">
      <protection hidden="1"/>
    </xf>
    <xf numFmtId="14" fontId="1" fillId="21" borderId="0" xfId="0" applyNumberFormat="1" applyFont="1" applyFill="1" applyProtection="1">
      <protection hidden="1"/>
    </xf>
    <xf numFmtId="43" fontId="1" fillId="21" borderId="0" xfId="1" applyFont="1" applyFill="1" applyProtection="1">
      <protection hidden="1"/>
    </xf>
    <xf numFmtId="175" fontId="1" fillId="21" borderId="0" xfId="0" applyNumberFormat="1" applyFont="1" applyFill="1" applyProtection="1">
      <protection hidden="1"/>
    </xf>
    <xf numFmtId="0" fontId="0" fillId="21" borderId="0" xfId="0" applyFill="1" applyProtection="1">
      <protection hidden="1"/>
    </xf>
    <xf numFmtId="1" fontId="1" fillId="21" borderId="0" xfId="0" applyNumberFormat="1" applyFont="1" applyFill="1" applyProtection="1">
      <protection hidden="1"/>
    </xf>
    <xf numFmtId="14" fontId="78" fillId="14" borderId="48" xfId="0" applyNumberFormat="1" applyFont="1" applyFill="1" applyBorder="1" applyAlignment="1">
      <alignment horizontal="center" wrapText="1"/>
    </xf>
    <xf numFmtId="0" fontId="78" fillId="0" borderId="0" xfId="0" applyFont="1"/>
    <xf numFmtId="167" fontId="38" fillId="0" borderId="0" xfId="0" applyNumberFormat="1" applyFont="1"/>
    <xf numFmtId="0" fontId="79" fillId="9" borderId="0" xfId="0" applyFont="1" applyFill="1" applyBorder="1" applyProtection="1">
      <protection hidden="1"/>
    </xf>
    <xf numFmtId="166" fontId="1" fillId="0" borderId="4" xfId="0" applyNumberFormat="1" applyFont="1" applyBorder="1"/>
    <xf numFmtId="0" fontId="80" fillId="0" borderId="0" xfId="0" applyFont="1"/>
    <xf numFmtId="0" fontId="81" fillId="0" borderId="0" xfId="0" applyFont="1"/>
    <xf numFmtId="1" fontId="1" fillId="0" borderId="14" xfId="0" applyNumberFormat="1" applyFont="1" applyBorder="1" applyAlignment="1">
      <alignment wrapText="1"/>
    </xf>
    <xf numFmtId="0" fontId="1" fillId="0" borderId="15" xfId="0" applyFont="1" applyBorder="1" applyAlignment="1">
      <alignment wrapText="1"/>
    </xf>
    <xf numFmtId="0" fontId="1" fillId="0" borderId="15" xfId="0" applyFont="1" applyFill="1" applyBorder="1" applyAlignment="1">
      <alignment wrapText="1"/>
    </xf>
    <xf numFmtId="0" fontId="1" fillId="0" borderId="36" xfId="0" applyFont="1" applyBorder="1" applyAlignment="1">
      <alignment horizontal="center" vertical="center" wrapText="1"/>
    </xf>
    <xf numFmtId="0" fontId="0" fillId="0" borderId="17" xfId="0" applyBorder="1" applyAlignment="1">
      <alignment wrapText="1"/>
    </xf>
    <xf numFmtId="0" fontId="0" fillId="0" borderId="36" xfId="0" applyBorder="1" applyAlignment="1">
      <alignment wrapText="1"/>
    </xf>
    <xf numFmtId="4" fontId="1" fillId="0" borderId="0" xfId="0" applyNumberFormat="1" applyFont="1" applyBorder="1" applyAlignment="1">
      <alignment wrapText="1"/>
    </xf>
    <xf numFmtId="0" fontId="0" fillId="0" borderId="0" xfId="0" applyBorder="1" applyAlignment="1">
      <alignment wrapText="1"/>
    </xf>
    <xf numFmtId="0" fontId="0" fillId="0" borderId="13" xfId="0" applyBorder="1" applyAlignment="1">
      <alignment wrapText="1"/>
    </xf>
    <xf numFmtId="4" fontId="0" fillId="0" borderId="0" xfId="0" applyNumberFormat="1" applyBorder="1" applyAlignment="1">
      <alignment wrapText="1"/>
    </xf>
    <xf numFmtId="172" fontId="0" fillId="0" borderId="13" xfId="0" applyNumberFormat="1" applyBorder="1" applyAlignment="1">
      <alignment wrapText="1"/>
    </xf>
    <xf numFmtId="0" fontId="38" fillId="0" borderId="0" xfId="0" applyFont="1" applyAlignment="1">
      <alignment wrapText="1"/>
    </xf>
    <xf numFmtId="0" fontId="40" fillId="0" borderId="0" xfId="0" applyFont="1" applyFill="1" applyBorder="1" applyAlignment="1">
      <alignment wrapText="1"/>
    </xf>
    <xf numFmtId="167" fontId="0" fillId="0" borderId="0" xfId="0" applyNumberFormat="1" applyBorder="1" applyAlignment="1">
      <alignment horizontal="right" wrapText="1"/>
    </xf>
    <xf numFmtId="4" fontId="0" fillId="0" borderId="0" xfId="0" applyNumberFormat="1" applyBorder="1" applyAlignment="1">
      <alignment horizontal="right" wrapText="1"/>
    </xf>
    <xf numFmtId="4" fontId="0" fillId="0" borderId="18" xfId="0" applyNumberFormat="1" applyBorder="1" applyAlignment="1">
      <alignment wrapText="1"/>
    </xf>
    <xf numFmtId="0" fontId="0" fillId="0" borderId="37" xfId="0" applyBorder="1" applyAlignment="1">
      <alignment wrapText="1"/>
    </xf>
    <xf numFmtId="0" fontId="2" fillId="0" borderId="0" xfId="0" applyFont="1" applyAlignment="1">
      <alignment wrapText="1"/>
    </xf>
    <xf numFmtId="0" fontId="37" fillId="0" borderId="0" xfId="0" applyFont="1" applyAlignment="1">
      <alignment wrapText="1"/>
    </xf>
    <xf numFmtId="176" fontId="0" fillId="0" borderId="0" xfId="0" applyNumberFormat="1" applyAlignment="1">
      <alignment wrapText="1"/>
    </xf>
    <xf numFmtId="14" fontId="1" fillId="0" borderId="17" xfId="0" applyNumberFormat="1" applyFont="1" applyBorder="1" applyAlignment="1">
      <alignment wrapText="1"/>
    </xf>
    <xf numFmtId="14" fontId="1" fillId="0" borderId="0" xfId="0" applyNumberFormat="1" applyFont="1" applyBorder="1" applyAlignment="1">
      <alignment wrapText="1"/>
    </xf>
    <xf numFmtId="169" fontId="1" fillId="0" borderId="0" xfId="0" applyNumberFormat="1" applyFont="1" applyBorder="1" applyAlignment="1">
      <alignment wrapText="1"/>
    </xf>
    <xf numFmtId="0" fontId="3" fillId="0" borderId="15" xfId="0" applyFont="1" applyBorder="1" applyAlignment="1">
      <alignment wrapText="1"/>
    </xf>
    <xf numFmtId="167" fontId="1" fillId="0" borderId="0" xfId="0" applyNumberFormat="1" applyFont="1" applyBorder="1" applyAlignment="1">
      <alignment horizontal="right" wrapText="1"/>
    </xf>
    <xf numFmtId="4" fontId="1" fillId="0" borderId="0" xfId="0" applyNumberFormat="1" applyFont="1" applyBorder="1" applyAlignment="1">
      <alignment horizontal="right" wrapText="1"/>
    </xf>
    <xf numFmtId="0" fontId="1" fillId="0" borderId="0" xfId="0" applyFont="1" applyBorder="1" applyAlignment="1">
      <alignment wrapText="1"/>
    </xf>
    <xf numFmtId="0" fontId="1" fillId="0" borderId="16" xfId="0" applyFont="1" applyBorder="1" applyAlignment="1">
      <alignment wrapText="1"/>
    </xf>
    <xf numFmtId="2" fontId="1" fillId="0" borderId="18" xfId="0" applyNumberFormat="1" applyFont="1" applyBorder="1" applyAlignment="1">
      <alignment wrapText="1"/>
    </xf>
    <xf numFmtId="2" fontId="1" fillId="0" borderId="0" xfId="0" applyNumberFormat="1" applyFont="1" applyBorder="1" applyAlignment="1">
      <alignment wrapText="1"/>
    </xf>
    <xf numFmtId="0" fontId="1" fillId="0" borderId="14" xfId="0" applyFont="1" applyBorder="1" applyAlignment="1">
      <alignment wrapText="1"/>
    </xf>
    <xf numFmtId="0" fontId="1" fillId="0" borderId="15" xfId="0" applyFont="1" applyFill="1" applyBorder="1" applyAlignment="1">
      <alignment horizontal="left" wrapText="1"/>
    </xf>
    <xf numFmtId="167" fontId="1" fillId="0" borderId="13" xfId="0" applyNumberFormat="1" applyFont="1" applyFill="1" applyBorder="1" applyAlignment="1">
      <alignment wrapText="1"/>
    </xf>
    <xf numFmtId="0" fontId="1" fillId="0" borderId="0" xfId="0" applyFont="1" applyFill="1" applyBorder="1" applyAlignment="1">
      <alignment horizontal="left" wrapText="1"/>
    </xf>
    <xf numFmtId="167" fontId="1" fillId="0" borderId="0" xfId="0" applyNumberFormat="1" applyFont="1" applyFill="1" applyBorder="1" applyAlignment="1">
      <alignment wrapText="1"/>
    </xf>
    <xf numFmtId="4" fontId="1" fillId="0" borderId="17" xfId="0" applyNumberFormat="1" applyFont="1" applyBorder="1" applyAlignment="1">
      <alignment horizontal="right" wrapText="1"/>
    </xf>
    <xf numFmtId="4" fontId="1" fillId="0" borderId="13" xfId="0" applyNumberFormat="1" applyFont="1" applyBorder="1" applyAlignment="1">
      <alignment horizontal="right" wrapText="1"/>
    </xf>
    <xf numFmtId="179" fontId="1" fillId="0" borderId="0" xfId="6" applyNumberFormat="1" applyFont="1" applyBorder="1" applyAlignment="1">
      <alignment wrapText="1"/>
    </xf>
    <xf numFmtId="179" fontId="1" fillId="0" borderId="13" xfId="6" applyNumberFormat="1" applyFont="1" applyBorder="1" applyAlignment="1">
      <alignment wrapText="1"/>
    </xf>
    <xf numFmtId="43" fontId="1" fillId="0" borderId="0" xfId="6" applyFont="1" applyBorder="1" applyAlignment="1">
      <alignment horizontal="right" wrapText="1"/>
    </xf>
    <xf numFmtId="43" fontId="1" fillId="0" borderId="13" xfId="6" applyFont="1" applyBorder="1" applyAlignment="1">
      <alignment horizontal="right" wrapText="1"/>
    </xf>
    <xf numFmtId="43" fontId="0" fillId="0" borderId="0" xfId="6" applyFont="1" applyBorder="1" applyAlignment="1">
      <alignment wrapText="1"/>
    </xf>
    <xf numFmtId="43" fontId="0" fillId="0" borderId="13" xfId="6" applyFont="1" applyBorder="1" applyAlignment="1">
      <alignment wrapText="1"/>
    </xf>
    <xf numFmtId="43" fontId="0" fillId="0" borderId="18" xfId="6" applyFont="1" applyBorder="1" applyAlignment="1">
      <alignment wrapText="1"/>
    </xf>
    <xf numFmtId="43" fontId="0" fillId="0" borderId="37" xfId="6" applyFont="1" applyBorder="1" applyAlignment="1">
      <alignment wrapText="1"/>
    </xf>
    <xf numFmtId="1" fontId="0" fillId="0" borderId="0" xfId="0" applyNumberFormat="1" applyAlignment="1">
      <alignment wrapText="1"/>
    </xf>
    <xf numFmtId="4" fontId="0" fillId="0" borderId="0" xfId="0" applyNumberFormat="1" applyAlignment="1">
      <alignment wrapText="1"/>
    </xf>
    <xf numFmtId="0" fontId="3" fillId="0" borderId="0" xfId="0" applyFont="1" applyBorder="1" applyAlignment="1">
      <alignment wrapText="1"/>
    </xf>
    <xf numFmtId="0" fontId="1" fillId="0" borderId="0" xfId="0" applyFont="1" applyBorder="1" applyAlignment="1">
      <alignment horizontal="center" wrapText="1"/>
    </xf>
    <xf numFmtId="0" fontId="2" fillId="0" borderId="0" xfId="0" applyFont="1" applyBorder="1" applyAlignment="1">
      <alignment horizontal="center" wrapText="1"/>
    </xf>
    <xf numFmtId="14" fontId="0" fillId="11" borderId="0" xfId="0" applyNumberFormat="1" applyFill="1" applyBorder="1"/>
    <xf numFmtId="14" fontId="0" fillId="11" borderId="23" xfId="0" applyNumberFormat="1" applyFill="1" applyBorder="1"/>
    <xf numFmtId="0" fontId="78" fillId="0" borderId="0" xfId="0" applyFont="1" applyBorder="1" applyAlignment="1">
      <alignment horizontal="left"/>
    </xf>
    <xf numFmtId="178" fontId="0" fillId="0" borderId="0" xfId="0" applyNumberFormat="1" applyAlignment="1">
      <alignment wrapText="1"/>
    </xf>
    <xf numFmtId="0" fontId="1" fillId="0" borderId="0" xfId="0" applyFont="1" applyAlignment="1"/>
    <xf numFmtId="49" fontId="1" fillId="9" borderId="0" xfId="5" applyNumberFormat="1" applyFont="1" applyFill="1" applyBorder="1" applyAlignment="1">
      <alignment vertical="center" wrapText="1"/>
    </xf>
    <xf numFmtId="49" fontId="1" fillId="9" borderId="0" xfId="5" quotePrefix="1" applyNumberFormat="1" applyFont="1" applyFill="1" applyBorder="1" applyAlignment="1">
      <alignment horizontal="left" vertical="center"/>
    </xf>
    <xf numFmtId="14" fontId="38" fillId="0" borderId="0" xfId="0" applyNumberFormat="1" applyFont="1"/>
    <xf numFmtId="1" fontId="2" fillId="0" borderId="0" xfId="0" applyNumberFormat="1" applyFont="1" applyBorder="1" applyAlignment="1">
      <alignment horizontal="center" wrapText="1"/>
    </xf>
    <xf numFmtId="0" fontId="82" fillId="0" borderId="0" xfId="0" applyFont="1" applyBorder="1" applyAlignment="1">
      <alignment horizontal="left"/>
    </xf>
    <xf numFmtId="3" fontId="1" fillId="0" borderId="25" xfId="0" applyNumberFormat="1" applyFont="1" applyBorder="1"/>
    <xf numFmtId="3" fontId="1" fillId="0" borderId="12" xfId="0" applyNumberFormat="1" applyFont="1" applyBorder="1"/>
    <xf numFmtId="3" fontId="0" fillId="0" borderId="12" xfId="0" applyNumberFormat="1" applyBorder="1"/>
    <xf numFmtId="3" fontId="1" fillId="0" borderId="4" xfId="0" applyNumberFormat="1" applyFont="1" applyBorder="1"/>
    <xf numFmtId="3" fontId="1" fillId="0" borderId="27" xfId="0" applyNumberFormat="1" applyFont="1" applyBorder="1"/>
    <xf numFmtId="14" fontId="0" fillId="0" borderId="0" xfId="0" applyNumberFormat="1" applyBorder="1" applyAlignment="1">
      <alignment horizontal="right"/>
    </xf>
    <xf numFmtId="14" fontId="0" fillId="0" borderId="23" xfId="0" applyNumberFormat="1" applyBorder="1" applyAlignment="1">
      <alignment horizontal="right"/>
    </xf>
    <xf numFmtId="180" fontId="0" fillId="0" borderId="0" xfId="1" applyNumberFormat="1" applyFont="1"/>
    <xf numFmtId="4" fontId="54" fillId="9" borderId="0" xfId="0" applyNumberFormat="1" applyFont="1" applyFill="1" applyBorder="1" applyAlignment="1" applyProtection="1">
      <alignment horizontal="center"/>
      <protection hidden="1"/>
    </xf>
    <xf numFmtId="0" fontId="43" fillId="9" borderId="28" xfId="5" applyFont="1" applyFill="1" applyBorder="1" applyProtection="1">
      <protection hidden="1"/>
    </xf>
    <xf numFmtId="0" fontId="44" fillId="9" borderId="0" xfId="5" applyFont="1" applyFill="1" applyBorder="1" applyProtection="1">
      <protection hidden="1"/>
    </xf>
    <xf numFmtId="14" fontId="44" fillId="9" borderId="3" xfId="5" applyNumberFormat="1" applyFont="1" applyFill="1" applyBorder="1" applyProtection="1">
      <protection hidden="1"/>
    </xf>
    <xf numFmtId="14" fontId="44" fillId="9" borderId="0" xfId="5" applyNumberFormat="1" applyFont="1" applyFill="1" applyBorder="1" applyProtection="1">
      <protection hidden="1"/>
    </xf>
    <xf numFmtId="164" fontId="44" fillId="9" borderId="3" xfId="5" applyNumberFormat="1" applyFont="1" applyFill="1" applyBorder="1" applyAlignment="1" applyProtection="1">
      <alignment horizontal="right"/>
      <protection hidden="1"/>
    </xf>
    <xf numFmtId="0" fontId="43" fillId="9" borderId="7" xfId="5" applyFont="1" applyFill="1" applyBorder="1" applyProtection="1">
      <protection hidden="1"/>
    </xf>
    <xf numFmtId="0" fontId="44" fillId="9" borderId="6" xfId="5" applyFont="1" applyFill="1" applyBorder="1" applyProtection="1">
      <protection hidden="1"/>
    </xf>
    <xf numFmtId="164" fontId="44" fillId="9" borderId="6" xfId="5" applyNumberFormat="1" applyFont="1" applyFill="1" applyBorder="1" applyProtection="1">
      <protection hidden="1"/>
    </xf>
    <xf numFmtId="0" fontId="43" fillId="9" borderId="0" xfId="5" applyFont="1" applyFill="1" applyProtection="1">
      <protection hidden="1"/>
    </xf>
    <xf numFmtId="164" fontId="44" fillId="9" borderId="0" xfId="5" applyNumberFormat="1" applyFont="1" applyFill="1" applyBorder="1" applyProtection="1">
      <protection hidden="1"/>
    </xf>
    <xf numFmtId="0" fontId="44" fillId="9" borderId="0" xfId="5" applyFont="1" applyFill="1" applyProtection="1">
      <protection hidden="1"/>
    </xf>
    <xf numFmtId="0" fontId="44" fillId="9" borderId="0" xfId="5" applyFont="1" applyFill="1" applyAlignment="1" applyProtection="1">
      <protection hidden="1"/>
    </xf>
    <xf numFmtId="0" fontId="43" fillId="0" borderId="0" xfId="5" applyFont="1" applyAlignment="1" applyProtection="1">
      <protection hidden="1"/>
    </xf>
    <xf numFmtId="0" fontId="48" fillId="9" borderId="0" xfId="5" applyFont="1" applyFill="1" applyProtection="1">
      <protection hidden="1"/>
    </xf>
    <xf numFmtId="0" fontId="43" fillId="9" borderId="22" xfId="5" applyFont="1" applyFill="1" applyBorder="1" applyProtection="1">
      <protection hidden="1"/>
    </xf>
    <xf numFmtId="0" fontId="44" fillId="9" borderId="26" xfId="5" applyFont="1" applyFill="1" applyBorder="1" applyProtection="1">
      <protection hidden="1"/>
    </xf>
    <xf numFmtId="0" fontId="45" fillId="9" borderId="0" xfId="5" applyFont="1" applyFill="1" applyBorder="1" applyProtection="1">
      <protection hidden="1"/>
    </xf>
    <xf numFmtId="0" fontId="44" fillId="9" borderId="3" xfId="5" applyFont="1" applyFill="1" applyBorder="1" applyAlignment="1" applyProtection="1">
      <alignment horizontal="right"/>
      <protection hidden="1"/>
    </xf>
    <xf numFmtId="0" fontId="44" fillId="9" borderId="0" xfId="5" applyFont="1" applyFill="1" applyBorder="1" applyAlignment="1" applyProtection="1">
      <alignment horizontal="right"/>
      <protection hidden="1"/>
    </xf>
    <xf numFmtId="0" fontId="45" fillId="9" borderId="6" xfId="5" applyFont="1" applyFill="1" applyBorder="1" applyProtection="1">
      <protection hidden="1"/>
    </xf>
    <xf numFmtId="164" fontId="44" fillId="9" borderId="6" xfId="5" applyNumberFormat="1" applyFont="1" applyFill="1" applyBorder="1" applyAlignment="1" applyProtection="1">
      <alignment horizontal="right"/>
      <protection hidden="1"/>
    </xf>
    <xf numFmtId="0" fontId="45" fillId="9" borderId="0" xfId="5" applyFont="1" applyFill="1" applyBorder="1" applyAlignment="1" applyProtection="1">
      <alignment wrapText="1"/>
      <protection hidden="1"/>
    </xf>
    <xf numFmtId="164" fontId="44" fillId="9" borderId="0" xfId="5" applyNumberFormat="1" applyFont="1" applyFill="1" applyBorder="1" applyAlignment="1" applyProtection="1">
      <alignment horizontal="right"/>
      <protection hidden="1"/>
    </xf>
    <xf numFmtId="0" fontId="43" fillId="9" borderId="6" xfId="5" applyFont="1" applyFill="1" applyBorder="1" applyProtection="1">
      <protection hidden="1"/>
    </xf>
    <xf numFmtId="0" fontId="43" fillId="9" borderId="0" xfId="5" applyFont="1" applyFill="1" applyBorder="1" applyProtection="1">
      <protection hidden="1"/>
    </xf>
    <xf numFmtId="0" fontId="1" fillId="9" borderId="0" xfId="5" applyFill="1" applyProtection="1">
      <protection hidden="1"/>
    </xf>
    <xf numFmtId="49" fontId="1" fillId="9" borderId="0" xfId="5" quotePrefix="1" applyNumberFormat="1" applyFont="1" applyFill="1" applyBorder="1" applyAlignment="1">
      <alignment vertical="center" wrapText="1"/>
    </xf>
    <xf numFmtId="0" fontId="1" fillId="9" borderId="0" xfId="5" quotePrefix="1" applyFont="1" applyFill="1" applyBorder="1" applyAlignment="1" applyProtection="1">
      <alignment vertical="center" wrapText="1"/>
      <protection hidden="1"/>
    </xf>
    <xf numFmtId="0" fontId="83" fillId="9" borderId="15" xfId="0" applyFont="1" applyFill="1" applyBorder="1" applyProtection="1">
      <protection hidden="1"/>
    </xf>
    <xf numFmtId="0" fontId="56" fillId="9" borderId="15" xfId="0" applyFont="1" applyFill="1" applyBorder="1" applyProtection="1">
      <protection hidden="1"/>
    </xf>
    <xf numFmtId="0" fontId="44" fillId="9" borderId="0" xfId="5" applyFont="1" applyFill="1" applyBorder="1" applyAlignment="1" applyProtection="1">
      <protection hidden="1"/>
    </xf>
    <xf numFmtId="181" fontId="44" fillId="9" borderId="0" xfId="2" applyNumberFormat="1" applyFont="1" applyFill="1" applyBorder="1" applyProtection="1">
      <protection hidden="1"/>
    </xf>
    <xf numFmtId="49" fontId="1" fillId="9" borderId="0" xfId="5" quotePrefix="1" applyNumberFormat="1" applyFont="1" applyFill="1" applyBorder="1" applyAlignment="1">
      <alignment vertical="center" wrapText="1"/>
    </xf>
    <xf numFmtId="0" fontId="1" fillId="9" borderId="0" xfId="0" applyFont="1" applyFill="1" applyAlignment="1" applyProtection="1">
      <alignment vertical="top"/>
      <protection hidden="1"/>
    </xf>
    <xf numFmtId="0" fontId="0" fillId="9" borderId="37" xfId="0" applyFill="1" applyBorder="1" applyAlignment="1" applyProtection="1">
      <alignment vertical="top"/>
      <protection hidden="1"/>
    </xf>
    <xf numFmtId="0" fontId="0" fillId="9" borderId="0" xfId="0" applyFill="1" applyAlignment="1" applyProtection="1">
      <alignment vertical="top"/>
      <protection hidden="1"/>
    </xf>
    <xf numFmtId="0" fontId="0" fillId="0" borderId="0" xfId="0" applyAlignment="1" applyProtection="1">
      <alignment vertical="top"/>
      <protection hidden="1"/>
    </xf>
    <xf numFmtId="0" fontId="0" fillId="9" borderId="13" xfId="0" applyFill="1" applyBorder="1" applyAlignment="1" applyProtection="1">
      <alignment vertical="top"/>
      <protection hidden="1"/>
    </xf>
    <xf numFmtId="0" fontId="54" fillId="9" borderId="15" xfId="0" quotePrefix="1" applyFont="1" applyFill="1" applyBorder="1" applyAlignment="1">
      <alignment horizontal="left" vertical="center" wrapText="1"/>
    </xf>
    <xf numFmtId="0" fontId="54" fillId="9" borderId="0" xfId="0" quotePrefix="1" applyFont="1" applyFill="1" applyBorder="1" applyAlignment="1">
      <alignment horizontal="left" vertical="center" wrapText="1"/>
    </xf>
    <xf numFmtId="49" fontId="18" fillId="8" borderId="0" xfId="0" quotePrefix="1" applyNumberFormat="1" applyFont="1" applyFill="1" applyBorder="1" applyAlignment="1">
      <alignment vertical="center" wrapText="1"/>
    </xf>
    <xf numFmtId="175" fontId="54" fillId="9" borderId="15" xfId="0" quotePrefix="1" applyNumberFormat="1" applyFont="1" applyFill="1" applyBorder="1" applyAlignment="1" applyProtection="1">
      <alignment vertical="top" wrapText="1"/>
      <protection hidden="1"/>
    </xf>
    <xf numFmtId="175" fontId="54" fillId="9" borderId="0" xfId="0" quotePrefix="1" applyNumberFormat="1" applyFont="1" applyFill="1" applyBorder="1" applyAlignment="1" applyProtection="1">
      <alignment vertical="top" wrapText="1"/>
      <protection hidden="1"/>
    </xf>
    <xf numFmtId="175" fontId="54" fillId="0" borderId="0" xfId="0" applyNumberFormat="1" applyFont="1" applyBorder="1" applyAlignment="1">
      <alignment vertical="top" wrapText="1"/>
    </xf>
    <xf numFmtId="14" fontId="55" fillId="13" borderId="3" xfId="0" applyNumberFormat="1" applyFont="1" applyFill="1" applyBorder="1" applyAlignment="1" applyProtection="1">
      <alignment horizontal="center"/>
      <protection locked="0"/>
    </xf>
    <xf numFmtId="0" fontId="64" fillId="15" borderId="22" xfId="3" applyFont="1" applyFill="1" applyBorder="1" applyAlignment="1" applyProtection="1">
      <alignment horizontal="center" vertical="center"/>
      <protection hidden="1"/>
    </xf>
    <xf numFmtId="0" fontId="64" fillId="15" borderId="26" xfId="3" applyFont="1" applyFill="1" applyBorder="1" applyAlignment="1" applyProtection="1">
      <alignment horizontal="center" vertical="center"/>
    </xf>
    <xf numFmtId="0" fontId="64" fillId="15" borderId="27" xfId="3" applyFont="1" applyFill="1" applyBorder="1" applyAlignment="1" applyProtection="1">
      <alignment horizontal="center" vertical="center"/>
    </xf>
    <xf numFmtId="0" fontId="64" fillId="15" borderId="7" xfId="3" applyFont="1" applyFill="1" applyBorder="1" applyAlignment="1" applyProtection="1">
      <alignment horizontal="center" vertical="center"/>
    </xf>
    <xf numFmtId="0" fontId="64" fillId="15" borderId="6" xfId="3" applyFont="1" applyFill="1" applyBorder="1" applyAlignment="1" applyProtection="1">
      <alignment horizontal="center" vertical="center"/>
    </xf>
    <xf numFmtId="0" fontId="64" fillId="15" borderId="5" xfId="3" applyFont="1" applyFill="1" applyBorder="1" applyAlignment="1" applyProtection="1">
      <alignment horizontal="center" vertical="center"/>
    </xf>
    <xf numFmtId="49" fontId="29" fillId="8" borderId="0" xfId="0" quotePrefix="1" applyNumberFormat="1" applyFont="1" applyFill="1" applyBorder="1" applyAlignment="1">
      <alignment horizontal="left" vertical="center" wrapText="1"/>
    </xf>
    <xf numFmtId="49" fontId="18" fillId="8" borderId="0" xfId="0" quotePrefix="1" applyNumberFormat="1" applyFont="1" applyFill="1" applyBorder="1" applyAlignment="1">
      <alignment horizontal="left" vertical="center" wrapText="1"/>
    </xf>
    <xf numFmtId="49" fontId="1" fillId="8" borderId="0" xfId="0" quotePrefix="1" applyNumberFormat="1" applyFont="1" applyFill="1" applyBorder="1" applyAlignment="1">
      <alignment horizontal="left" vertical="center" wrapText="1"/>
    </xf>
    <xf numFmtId="0" fontId="0" fillId="0" borderId="0" xfId="0" applyAlignment="1">
      <alignment horizontal="left" vertical="center" wrapText="1"/>
    </xf>
    <xf numFmtId="0" fontId="56" fillId="9" borderId="0" xfId="0" applyFont="1" applyFill="1" applyBorder="1" applyAlignment="1" applyProtection="1">
      <alignment horizontal="center"/>
      <protection hidden="1"/>
    </xf>
    <xf numFmtId="49" fontId="29" fillId="8" borderId="0" xfId="0" applyNumberFormat="1" applyFont="1" applyFill="1" applyBorder="1" applyAlignment="1">
      <alignment vertical="center" wrapText="1"/>
    </xf>
    <xf numFmtId="0" fontId="18" fillId="8" borderId="0" xfId="0" quotePrefix="1" applyFont="1" applyFill="1" applyAlignment="1" applyProtection="1">
      <alignment vertical="center" wrapText="1"/>
      <protection hidden="1"/>
    </xf>
    <xf numFmtId="49" fontId="29" fillId="8" borderId="0" xfId="0" quotePrefix="1" applyNumberFormat="1" applyFont="1" applyFill="1" applyBorder="1" applyAlignment="1">
      <alignment vertical="center" wrapText="1"/>
    </xf>
    <xf numFmtId="0" fontId="18" fillId="8" borderId="0" xfId="0" quotePrefix="1" applyNumberFormat="1" applyFont="1" applyFill="1" applyAlignment="1" applyProtection="1">
      <alignment vertical="center" wrapText="1"/>
      <protection hidden="1"/>
    </xf>
    <xf numFmtId="0" fontId="51" fillId="9" borderId="15" xfId="0" applyFont="1" applyFill="1" applyBorder="1" applyAlignment="1" applyProtection="1">
      <alignment horizontal="left"/>
    </xf>
    <xf numFmtId="0" fontId="51" fillId="9" borderId="0" xfId="0" applyFont="1" applyFill="1" applyBorder="1" applyAlignment="1" applyProtection="1">
      <alignment horizontal="left"/>
    </xf>
    <xf numFmtId="0" fontId="52" fillId="9" borderId="15" xfId="0" applyFont="1" applyFill="1" applyBorder="1" applyAlignment="1" applyProtection="1">
      <alignment horizontal="left"/>
    </xf>
    <xf numFmtId="0" fontId="53" fillId="0" borderId="0" xfId="0" applyFont="1" applyAlignment="1">
      <alignment horizontal="left"/>
    </xf>
    <xf numFmtId="49" fontId="18" fillId="8" borderId="0" xfId="0" quotePrefix="1" applyNumberFormat="1" applyFont="1" applyFill="1" applyBorder="1" applyAlignment="1">
      <alignment horizontal="left" vertical="center"/>
    </xf>
    <xf numFmtId="49" fontId="29" fillId="8" borderId="0" xfId="0" quotePrefix="1" applyNumberFormat="1" applyFont="1" applyFill="1" applyBorder="1" applyAlignment="1">
      <alignment horizontal="left" vertical="center"/>
    </xf>
    <xf numFmtId="0" fontId="29" fillId="8" borderId="0" xfId="0" quotePrefix="1" applyNumberFormat="1" applyFont="1" applyFill="1" applyAlignment="1" applyProtection="1">
      <alignment vertical="center" wrapText="1"/>
      <protection hidden="1"/>
    </xf>
    <xf numFmtId="0" fontId="18" fillId="8" borderId="0" xfId="0" quotePrefix="1" applyFont="1" applyFill="1" applyBorder="1" applyAlignment="1">
      <alignment horizontal="left" vertical="center"/>
    </xf>
    <xf numFmtId="0" fontId="18" fillId="8" borderId="0" xfId="0" quotePrefix="1" applyFont="1" applyFill="1" applyAlignment="1" applyProtection="1">
      <alignment horizontal="left" vertical="center" wrapText="1"/>
      <protection hidden="1"/>
    </xf>
    <xf numFmtId="49" fontId="1" fillId="9" borderId="0" xfId="5" quotePrefix="1" applyNumberFormat="1" applyFont="1" applyFill="1" applyBorder="1" applyAlignment="1">
      <alignment horizontal="left" vertical="center" wrapText="1"/>
    </xf>
    <xf numFmtId="49" fontId="1" fillId="9" borderId="0" xfId="5" quotePrefix="1" applyNumberFormat="1" applyFont="1" applyFill="1" applyBorder="1" applyAlignment="1">
      <alignment horizontal="left" vertical="center"/>
    </xf>
    <xf numFmtId="0" fontId="1" fillId="9" borderId="0" xfId="5" quotePrefix="1" applyNumberFormat="1" applyFont="1" applyFill="1" applyBorder="1" applyAlignment="1">
      <alignment horizontal="left" vertical="center" wrapText="1"/>
    </xf>
    <xf numFmtId="49" fontId="1" fillId="0" borderId="0" xfId="5" quotePrefix="1" applyNumberFormat="1" applyFont="1" applyFill="1" applyBorder="1" applyAlignment="1">
      <alignment horizontal="left" vertical="top"/>
    </xf>
    <xf numFmtId="49" fontId="1" fillId="9" borderId="0" xfId="5" quotePrefix="1" applyNumberFormat="1" applyFont="1" applyFill="1" applyBorder="1" applyAlignment="1">
      <alignment vertical="center" wrapText="1"/>
    </xf>
    <xf numFmtId="0" fontId="1" fillId="9" borderId="0" xfId="5" quotePrefix="1" applyFont="1" applyFill="1" applyBorder="1" applyAlignment="1" applyProtection="1">
      <alignment vertical="center" wrapText="1"/>
      <protection hidden="1"/>
    </xf>
    <xf numFmtId="0" fontId="1" fillId="9" borderId="0" xfId="5" applyFont="1" applyFill="1" applyBorder="1" applyAlignment="1">
      <alignment horizontal="left" vertical="center" wrapText="1"/>
    </xf>
    <xf numFmtId="0" fontId="1" fillId="9" borderId="0" xfId="5" quotePrefix="1" applyFont="1" applyFill="1" applyBorder="1" applyAlignment="1">
      <alignment horizontal="left" vertical="center"/>
    </xf>
    <xf numFmtId="0" fontId="0" fillId="0" borderId="0" xfId="0" applyAlignment="1">
      <alignment vertical="center" wrapText="1"/>
    </xf>
    <xf numFmtId="49" fontId="1" fillId="9" borderId="0" xfId="5" applyNumberFormat="1" applyFont="1" applyFill="1" applyBorder="1" applyAlignment="1">
      <alignment vertical="center" wrapText="1"/>
    </xf>
    <xf numFmtId="49" fontId="47" fillId="9" borderId="0" xfId="5" quotePrefix="1" applyNumberFormat="1" applyFont="1" applyFill="1" applyBorder="1" applyAlignment="1">
      <alignment horizontal="left" vertical="center" wrapText="1"/>
    </xf>
    <xf numFmtId="0" fontId="44" fillId="9" borderId="0" xfId="5" applyFont="1" applyFill="1" applyBorder="1" applyAlignment="1" applyProtection="1">
      <alignment wrapText="1"/>
      <protection hidden="1"/>
    </xf>
    <xf numFmtId="0" fontId="44" fillId="9" borderId="0" xfId="5" applyFont="1" applyFill="1" applyBorder="1" applyAlignment="1" applyProtection="1">
      <protection hidden="1"/>
    </xf>
    <xf numFmtId="0" fontId="44" fillId="0" borderId="0" xfId="5" applyFont="1" applyAlignment="1" applyProtection="1">
      <protection hidden="1"/>
    </xf>
    <xf numFmtId="14" fontId="44" fillId="9" borderId="35" xfId="5" applyNumberFormat="1" applyFont="1" applyFill="1" applyBorder="1" applyAlignment="1" applyProtection="1">
      <alignment horizontal="center"/>
      <protection hidden="1"/>
    </xf>
    <xf numFmtId="14" fontId="44" fillId="9" borderId="24" xfId="5" applyNumberFormat="1" applyFont="1" applyFill="1" applyBorder="1" applyAlignment="1" applyProtection="1">
      <alignment horizontal="center"/>
      <protection hidden="1"/>
    </xf>
    <xf numFmtId="0" fontId="45" fillId="9" borderId="0" xfId="5" applyFont="1" applyFill="1" applyBorder="1" applyAlignment="1" applyProtection="1">
      <alignment horizontal="left" wrapText="1"/>
      <protection hidden="1"/>
    </xf>
    <xf numFmtId="0" fontId="45" fillId="9" borderId="0" xfId="5" applyFont="1" applyFill="1" applyBorder="1" applyAlignment="1" applyProtection="1">
      <alignment horizontal="left" vertical="center" wrapText="1"/>
      <protection hidden="1"/>
    </xf>
    <xf numFmtId="0" fontId="1" fillId="0" borderId="0" xfId="0" applyFont="1" applyAlignment="1">
      <alignment horizontal="center"/>
    </xf>
    <xf numFmtId="0" fontId="3" fillId="17" borderId="11" xfId="0" applyFont="1" applyFill="1" applyBorder="1" applyAlignment="1">
      <alignment horizontal="center"/>
    </xf>
    <xf numFmtId="0" fontId="3" fillId="17" borderId="10" xfId="0" applyFont="1" applyFill="1" applyBorder="1" applyAlignment="1">
      <alignment horizontal="center"/>
    </xf>
    <xf numFmtId="0" fontId="3" fillId="17" borderId="9" xfId="0" applyFont="1" applyFill="1" applyBorder="1" applyAlignment="1">
      <alignment horizontal="center"/>
    </xf>
    <xf numFmtId="0" fontId="59" fillId="14" borderId="42" xfId="0" applyFont="1" applyFill="1" applyBorder="1" applyAlignment="1">
      <alignment horizontal="center" vertical="top" wrapText="1"/>
    </xf>
    <xf numFmtId="0" fontId="59" fillId="14" borderId="43" xfId="0" applyFont="1" applyFill="1" applyBorder="1" applyAlignment="1">
      <alignment horizontal="center" vertical="top" wrapText="1"/>
    </xf>
    <xf numFmtId="0" fontId="3" fillId="17" borderId="25"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11"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9" xfId="0" applyFont="1" applyFill="1" applyBorder="1" applyAlignment="1">
      <alignment horizontal="center" vertical="center"/>
    </xf>
    <xf numFmtId="0" fontId="3" fillId="0" borderId="11" xfId="5" applyFont="1" applyBorder="1" applyAlignment="1">
      <alignment horizontal="center"/>
    </xf>
    <xf numFmtId="0" fontId="3" fillId="0" borderId="10" xfId="5" applyFont="1" applyBorder="1" applyAlignment="1">
      <alignment horizontal="center"/>
    </xf>
    <xf numFmtId="0" fontId="3" fillId="0" borderId="9" xfId="5" applyFont="1" applyBorder="1" applyAlignment="1">
      <alignment horizontal="center"/>
    </xf>
    <xf numFmtId="0" fontId="3" fillId="0" borderId="0" xfId="5" applyFont="1" applyBorder="1" applyAlignment="1">
      <alignment horizontal="center"/>
    </xf>
    <xf numFmtId="0" fontId="74" fillId="0" borderId="0" xfId="0" applyFont="1" applyAlignment="1">
      <alignment horizontal="center" vertical="center"/>
    </xf>
    <xf numFmtId="0" fontId="50" fillId="0" borderId="0" xfId="0" applyFont="1" applyAlignment="1">
      <alignment vertical="center"/>
    </xf>
    <xf numFmtId="0" fontId="50" fillId="0" borderId="11" xfId="0" applyFont="1" applyBorder="1" applyAlignment="1">
      <alignment horizontal="center" vertical="center"/>
    </xf>
    <xf numFmtId="0" fontId="50" fillId="0" borderId="10" xfId="0" applyFont="1" applyBorder="1" applyAlignment="1">
      <alignment horizontal="center" vertical="center"/>
    </xf>
    <xf numFmtId="0" fontId="50" fillId="0" borderId="9" xfId="0" applyFont="1" applyBorder="1" applyAlignment="1">
      <alignment horizontal="center" vertical="center"/>
    </xf>
    <xf numFmtId="0" fontId="74" fillId="0" borderId="6" xfId="0" applyFont="1" applyBorder="1" applyAlignment="1">
      <alignment horizontal="center" vertical="center"/>
    </xf>
    <xf numFmtId="0" fontId="50" fillId="0" borderId="0" xfId="0" applyFont="1" applyAlignment="1">
      <alignment horizontal="center" vertical="center"/>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7" xfId="0" applyFont="1" applyBorder="1" applyAlignment="1">
      <alignment horizontal="center" vertical="center" wrapText="1"/>
    </xf>
    <xf numFmtId="0" fontId="3" fillId="10" borderId="11" xfId="0" applyFont="1" applyFill="1" applyBorder="1" applyAlignment="1">
      <alignment horizontal="center"/>
    </xf>
    <xf numFmtId="0" fontId="3" fillId="10" borderId="9" xfId="0" applyFont="1" applyFill="1" applyBorder="1" applyAlignment="1">
      <alignment horizontal="center"/>
    </xf>
    <xf numFmtId="0" fontId="3" fillId="0" borderId="22"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4" fontId="1" fillId="0" borderId="0" xfId="0" applyNumberFormat="1" applyFont="1" applyBorder="1" applyAlignment="1">
      <alignment horizontal="center" wrapText="1"/>
    </xf>
    <xf numFmtId="4" fontId="1" fillId="0" borderId="13" xfId="0" applyNumberFormat="1" applyFont="1" applyBorder="1" applyAlignment="1">
      <alignment horizontal="center" wrapText="1"/>
    </xf>
    <xf numFmtId="0" fontId="2" fillId="0" borderId="15" xfId="0" applyFont="1" applyBorder="1" applyAlignment="1">
      <alignment horizontal="center" wrapText="1"/>
    </xf>
    <xf numFmtId="0" fontId="2" fillId="0" borderId="0" xfId="0" applyFont="1" applyBorder="1" applyAlignment="1">
      <alignment horizontal="center" wrapText="1"/>
    </xf>
    <xf numFmtId="0" fontId="15" fillId="0" borderId="22"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10" borderId="2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0" borderId="4" xfId="0" applyFont="1" applyFill="1" applyBorder="1" applyAlignment="1">
      <alignment horizontal="center" vertical="center" wrapText="1"/>
    </xf>
  </cellXfs>
  <cellStyles count="9">
    <cellStyle name="Comma" xfId="1" builtinId="3"/>
    <cellStyle name="Comma 2" xfId="6"/>
    <cellStyle name="Currency" xfId="2" builtinId="4"/>
    <cellStyle name="Currency 2" xfId="7"/>
    <cellStyle name="Hyperlink" xfId="3" builtinId="8"/>
    <cellStyle name="Normal" xfId="0" builtinId="0"/>
    <cellStyle name="Normal 2" xfId="5"/>
    <cellStyle name="Percent" xfId="4" builtinId="5"/>
    <cellStyle name="Percent 2" xfId="8"/>
  </cellStyles>
  <dxfs count="24">
    <dxf>
      <font>
        <strike val="0"/>
      </font>
      <border>
        <left style="thin">
          <color auto="1"/>
        </left>
        <right style="thin">
          <color auto="1"/>
        </right>
        <top style="thin">
          <color auto="1"/>
        </top>
        <bottom style="thin">
          <color auto="1"/>
        </bottom>
        <vertical/>
        <horizontal/>
      </border>
    </dxf>
    <dxf>
      <border>
        <left/>
        <right/>
        <bottom/>
        <vertical/>
        <horizontal/>
      </border>
    </dxf>
    <dxf>
      <font>
        <color theme="0"/>
      </font>
      <fill>
        <patternFill>
          <bgColor theme="0"/>
        </patternFill>
      </fill>
      <border>
        <left/>
        <right/>
        <top/>
        <bottom/>
        <vertical/>
        <horizontal/>
      </border>
    </dxf>
    <dxf>
      <border>
        <bottom/>
        <vertical/>
        <horizontal/>
      </border>
    </dxf>
    <dxf>
      <font>
        <color theme="0"/>
      </font>
      <fill>
        <patternFill>
          <bgColor theme="0"/>
        </patternFill>
      </fill>
      <border>
        <left/>
        <right/>
        <top/>
        <bottom/>
      </border>
    </dxf>
    <dxf>
      <font>
        <color theme="0"/>
      </font>
      <fill>
        <patternFill patternType="solid">
          <bgColor theme="0"/>
        </patternFill>
      </fill>
      <border>
        <left/>
        <right/>
        <top/>
        <bottom/>
      </border>
    </dxf>
    <dxf>
      <font>
        <strike val="0"/>
        <color theme="0"/>
      </font>
      <fill>
        <patternFill patternType="solid">
          <fgColor theme="0"/>
          <bgColor theme="0"/>
        </patternFill>
      </fill>
      <border>
        <left/>
        <right/>
        <top/>
        <bottom/>
        <vertical/>
        <horizontal/>
      </border>
    </dxf>
    <dxf>
      <font>
        <color theme="0"/>
      </font>
      <fill>
        <patternFill>
          <fgColor theme="0"/>
        </patternFill>
      </fill>
    </dxf>
    <dxf>
      <font>
        <strike val="0"/>
        <color theme="0"/>
      </font>
      <fill>
        <patternFill>
          <fgColor theme="0"/>
          <bgColor theme="0"/>
        </patternFill>
      </fill>
      <border>
        <left/>
        <right/>
        <top/>
        <bottom/>
      </border>
    </dxf>
    <dxf>
      <font>
        <strike val="0"/>
        <color theme="0"/>
      </font>
      <fill>
        <patternFill patternType="solid">
          <fgColor theme="0"/>
          <bgColor theme="0"/>
        </patternFill>
      </fill>
      <border>
        <left/>
        <right/>
        <top/>
        <bottom/>
        <vertical/>
        <horizontal/>
      </border>
    </dxf>
    <dxf>
      <font>
        <color theme="0"/>
      </font>
      <fill>
        <patternFill>
          <f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rgb="FFFF0000"/>
      </font>
    </dxf>
    <dxf>
      <font>
        <color theme="0"/>
      </font>
      <fill>
        <patternFill>
          <bgColor theme="0"/>
        </patternFill>
      </fill>
      <border>
        <left/>
        <right/>
        <top/>
        <bottom/>
      </border>
    </dxf>
    <dxf>
      <font>
        <color theme="0"/>
      </font>
      <fill>
        <patternFill>
          <bgColor theme="0"/>
        </patternFill>
      </fill>
      <border>
        <left style="thin">
          <color auto="1"/>
        </left>
        <right/>
        <top/>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s>
  <tableStyles count="0" defaultTableStyle="TableStyleMedium9" defaultPivotStyle="PivotStyleLight16"/>
  <colors>
    <mruColors>
      <color rgb="FFFF7C80"/>
      <color rgb="FFFF33CC"/>
      <color rgb="FF808080"/>
      <color rgb="FF002060"/>
      <color rgb="FFBACCCF"/>
      <color rgb="FFECE69C"/>
      <color rgb="FFCCC0DA"/>
      <color rgb="FFD8E4BC"/>
      <color rgb="FFFDE9D9"/>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Lines="4" dropStyle="combo" dx="22" fmlaLink="Classification_Key" fmlaRange="Class_Select" sel="2" val="0"/>
</file>

<file path=xl/ctrlProps/ctrlProp2.xml><?xml version="1.0" encoding="utf-8"?>
<formControlPr xmlns="http://schemas.microsoft.com/office/spreadsheetml/2009/9/main" objectType="Drop" dropLines="4" dropStyle="combo" dx="22" fmlaLink="Descriptor_Key" fmlaRange="Descriptor_Select" sel="7" val="4"/>
</file>

<file path=xl/ctrlProps/ctrlProp3.xml><?xml version="1.0" encoding="utf-8"?>
<formControlPr xmlns="http://schemas.microsoft.com/office/spreadsheetml/2009/9/main" objectType="CheckBox" fmlaLink="Parameters!B129"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1</xdr:col>
          <xdr:colOff>1933575</xdr:colOff>
          <xdr:row>5</xdr:row>
          <xdr:rowOff>219075</xdr:rowOff>
        </xdr:to>
        <xdr:sp macro="" textlink="">
          <xdr:nvSpPr>
            <xdr:cNvPr id="1025" name="ClassificationCbo"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9525</xdr:rowOff>
        </xdr:from>
        <xdr:to>
          <xdr:col>1</xdr:col>
          <xdr:colOff>1933575</xdr:colOff>
          <xdr:row>7</xdr:row>
          <xdr:rowOff>0</xdr:rowOff>
        </xdr:to>
        <xdr:sp macro="" textlink="">
          <xdr:nvSpPr>
            <xdr:cNvPr id="1026" name="DescriptorCbo"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447675</xdr:colOff>
          <xdr:row>39</xdr:row>
          <xdr:rowOff>76200</xdr:rowOff>
        </xdr:from>
        <xdr:to>
          <xdr:col>5</xdr:col>
          <xdr:colOff>676275</xdr:colOff>
          <xdr:row>41</xdr:row>
          <xdr:rowOff>114300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14</xdr:col>
      <xdr:colOff>0</xdr:colOff>
      <xdr:row>12</xdr:row>
      <xdr:rowOff>123265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48235" y="156882"/>
          <a:ext cx="11609294" cy="18489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10</xdr:col>
      <xdr:colOff>1533525</xdr:colOff>
      <xdr:row>5</xdr:row>
      <xdr:rowOff>85724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47625" y="0"/>
          <a:ext cx="7581900" cy="8953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6</xdr:col>
      <xdr:colOff>567690</xdr:colOff>
      <xdr:row>3</xdr:row>
      <xdr:rowOff>76200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80975" y="1"/>
          <a:ext cx="5543550" cy="981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anetteJ.DOMAIN0\AppData\Local\Microsoft\Windows\Temporary%20Internet%20Files\Content.Outlook\7HTE2IZC\170912NHSPensionCalculatorProtect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Calculator"/>
      <sheetName val="Guidance Notes"/>
      <sheetName val="Printable Estimate"/>
      <sheetName val="Parameters"/>
      <sheetName val="Tapers"/>
      <sheetName val="Commutation Factors"/>
      <sheetName val="LRF"/>
      <sheetName val="ERF"/>
      <sheetName val="ERF-LRF 2015"/>
      <sheetName val="1995 &amp; 2008 calcs"/>
      <sheetName val="Lump Sum"/>
      <sheetName val="Past Service CARE Calcs"/>
      <sheetName val="CARE calcs"/>
      <sheetName val="Summary"/>
    </sheetNames>
    <sheetDataSet>
      <sheetData sheetId="0">
        <row r="2">
          <cell r="A2" t="str">
            <v>Scottish Fire pension  projection calculator</v>
          </cell>
        </row>
        <row r="54">
          <cell r="A54" t="str">
            <v>UNCLASSIFIED</v>
          </cell>
        </row>
        <row r="55">
          <cell r="A55" t="str">
            <v>PROTECT</v>
          </cell>
        </row>
        <row r="56">
          <cell r="A56" t="str">
            <v>RESTRICTED</v>
          </cell>
        </row>
        <row r="57">
          <cell r="A57" t="str">
            <v>CONFIDENTIAL</v>
          </cell>
        </row>
        <row r="58">
          <cell r="A58" t="str">
            <v>&lt;No Descriptor&gt;</v>
          </cell>
        </row>
        <row r="59">
          <cell r="A59" t="str">
            <v>COMMERCIAL in CONFIDENCE</v>
          </cell>
        </row>
        <row r="60">
          <cell r="A60" t="str">
            <v>CONTRACTS</v>
          </cell>
        </row>
        <row r="61">
          <cell r="A61" t="str">
            <v>MANAGEMENT</v>
          </cell>
        </row>
        <row r="62">
          <cell r="A62" t="str">
            <v>PERSONAL</v>
          </cell>
        </row>
        <row r="63">
          <cell r="A63" t="str">
            <v>POLICY</v>
          </cell>
        </row>
        <row r="64">
          <cell r="A64" t="str">
            <v>SCHEME MANAGEMENT</v>
          </cell>
        </row>
        <row r="65">
          <cell r="A65" t="str">
            <v>STAFF</v>
          </cell>
        </row>
        <row r="66">
          <cell r="A66">
            <v>2</v>
          </cell>
        </row>
        <row r="67">
          <cell r="A67">
            <v>7</v>
          </cell>
        </row>
      </sheetData>
      <sheetData sheetId="1"/>
      <sheetData sheetId="2">
        <row r="25">
          <cell r="I25">
            <v>22920</v>
          </cell>
        </row>
        <row r="27">
          <cell r="I27" t="str">
            <v>test 7</v>
          </cell>
        </row>
        <row r="29">
          <cell r="I29">
            <v>29495</v>
          </cell>
        </row>
        <row r="31">
          <cell r="I31" t="str">
            <v>1995 Scheme</v>
          </cell>
        </row>
        <row r="33">
          <cell r="I33" t="str">
            <v>No</v>
          </cell>
        </row>
        <row r="38">
          <cell r="I38">
            <v>40000</v>
          </cell>
        </row>
        <row r="43">
          <cell r="I43">
            <v>2017</v>
          </cell>
        </row>
        <row r="45">
          <cell r="I45">
            <v>46266</v>
          </cell>
        </row>
        <row r="47">
          <cell r="I47" t="str">
            <v>Full-time</v>
          </cell>
        </row>
        <row r="49">
          <cell r="I49">
            <v>1</v>
          </cell>
        </row>
        <row r="53">
          <cell r="I53">
            <v>2017</v>
          </cell>
        </row>
        <row r="55">
          <cell r="I55">
            <v>14</v>
          </cell>
        </row>
        <row r="56">
          <cell r="I56">
            <v>2</v>
          </cell>
        </row>
        <row r="140">
          <cell r="B140" t="str">
            <v>1995 Scheme</v>
          </cell>
        </row>
        <row r="141">
          <cell r="B141" t="str">
            <v>2008 Scheme</v>
          </cell>
        </row>
        <row r="156">
          <cell r="J156">
            <v>43009</v>
          </cell>
        </row>
      </sheetData>
      <sheetData sheetId="3"/>
      <sheetData sheetId="4">
        <row r="39">
          <cell r="C39" t="str">
            <v/>
          </cell>
        </row>
        <row r="43">
          <cell r="C43" t="str">
            <v/>
          </cell>
          <cell r="E43" t="str">
            <v/>
          </cell>
        </row>
        <row r="45">
          <cell r="C45" t="str">
            <v/>
          </cell>
        </row>
        <row r="46">
          <cell r="C46" t="str">
            <v/>
          </cell>
          <cell r="E46" t="str">
            <v/>
          </cell>
        </row>
        <row r="48">
          <cell r="C48" t="str">
            <v/>
          </cell>
          <cell r="E48" t="str">
            <v/>
          </cell>
        </row>
        <row r="51">
          <cell r="B51" t="str">
            <v/>
          </cell>
        </row>
      </sheetData>
      <sheetData sheetId="5">
        <row r="7">
          <cell r="E7" t="str">
            <v>1995 Section</v>
          </cell>
        </row>
        <row r="8">
          <cell r="E8" t="str">
            <v>2008 Section</v>
          </cell>
        </row>
        <row r="10">
          <cell r="E10">
            <v>41000</v>
          </cell>
        </row>
        <row r="12">
          <cell r="E12">
            <v>42095</v>
          </cell>
        </row>
        <row r="14">
          <cell r="E14">
            <v>365.25</v>
          </cell>
        </row>
        <row r="16">
          <cell r="F16">
            <v>45</v>
          </cell>
        </row>
        <row r="17">
          <cell r="F17">
            <v>45</v>
          </cell>
        </row>
        <row r="19">
          <cell r="F19">
            <v>1.2500000000000001E-2</v>
          </cell>
        </row>
        <row r="20">
          <cell r="F20">
            <v>1.6666666666666666E-2</v>
          </cell>
        </row>
        <row r="21">
          <cell r="F21">
            <v>1.8518518518518517E-2</v>
          </cell>
        </row>
        <row r="32">
          <cell r="F32">
            <v>67</v>
          </cell>
        </row>
        <row r="33">
          <cell r="F33">
            <v>47392</v>
          </cell>
        </row>
        <row r="35">
          <cell r="E35">
            <v>39539</v>
          </cell>
        </row>
        <row r="37">
          <cell r="G37">
            <v>4</v>
          </cell>
        </row>
        <row r="88">
          <cell r="G88">
            <v>0.02</v>
          </cell>
        </row>
        <row r="89">
          <cell r="C89" t="str">
            <v>CPI + 0%</v>
          </cell>
          <cell r="G89">
            <v>0.02</v>
          </cell>
        </row>
        <row r="90">
          <cell r="C90" t="str">
            <v>CPI + 1%</v>
          </cell>
          <cell r="G90">
            <v>0.03</v>
          </cell>
        </row>
        <row r="91">
          <cell r="C91" t="str">
            <v>CPI + 2%</v>
          </cell>
          <cell r="G91">
            <v>0.04</v>
          </cell>
        </row>
        <row r="92">
          <cell r="G92">
            <v>3.5000000000000003E-2</v>
          </cell>
        </row>
        <row r="97">
          <cell r="D97">
            <v>42991</v>
          </cell>
        </row>
        <row r="99">
          <cell r="D99">
            <v>42826</v>
          </cell>
        </row>
        <row r="112">
          <cell r="B112" t="str">
            <v>1995 Section</v>
          </cell>
        </row>
        <row r="117">
          <cell r="B117">
            <v>63</v>
          </cell>
          <cell r="C117">
            <v>10.999999999999972</v>
          </cell>
          <cell r="F117">
            <v>0</v>
          </cell>
          <cell r="G117">
            <v>0</v>
          </cell>
        </row>
        <row r="119">
          <cell r="B119">
            <v>63.917180013689254</v>
          </cell>
        </row>
        <row r="129">
          <cell r="F129">
            <v>3</v>
          </cell>
          <cell r="G129">
            <v>1</v>
          </cell>
        </row>
        <row r="133">
          <cell r="B133" t="b">
            <v>1</v>
          </cell>
        </row>
        <row r="136">
          <cell r="B136">
            <v>2016</v>
          </cell>
        </row>
        <row r="137">
          <cell r="B137">
            <v>2017</v>
          </cell>
        </row>
        <row r="138">
          <cell r="B138">
            <v>2018</v>
          </cell>
        </row>
        <row r="139">
          <cell r="B139">
            <v>2019</v>
          </cell>
        </row>
        <row r="140">
          <cell r="B140">
            <v>2020</v>
          </cell>
        </row>
        <row r="141">
          <cell r="B141">
            <v>2021</v>
          </cell>
        </row>
        <row r="142">
          <cell r="B142">
            <v>2022</v>
          </cell>
        </row>
        <row r="143">
          <cell r="B143">
            <v>2023</v>
          </cell>
        </row>
        <row r="144">
          <cell r="B144">
            <v>2024</v>
          </cell>
        </row>
        <row r="145">
          <cell r="B145">
            <v>2025</v>
          </cell>
        </row>
      </sheetData>
      <sheetData sheetId="6">
        <row r="13">
          <cell r="B13">
            <v>22738</v>
          </cell>
          <cell r="C13">
            <v>22767</v>
          </cell>
          <cell r="D13">
            <v>44593</v>
          </cell>
          <cell r="F13">
            <v>20912</v>
          </cell>
          <cell r="G13">
            <v>20941</v>
          </cell>
          <cell r="H13">
            <v>44593</v>
          </cell>
          <cell r="J13">
            <v>24564</v>
          </cell>
          <cell r="K13">
            <v>24593</v>
          </cell>
          <cell r="L13">
            <v>44593</v>
          </cell>
        </row>
        <row r="14">
          <cell r="B14">
            <v>22768</v>
          </cell>
          <cell r="C14">
            <v>22798</v>
          </cell>
          <cell r="D14">
            <v>44531</v>
          </cell>
          <cell r="F14">
            <v>20942</v>
          </cell>
          <cell r="G14">
            <v>20972</v>
          </cell>
          <cell r="H14">
            <v>44531</v>
          </cell>
          <cell r="J14">
            <v>24594</v>
          </cell>
          <cell r="K14">
            <v>24624</v>
          </cell>
          <cell r="L14">
            <v>44531</v>
          </cell>
        </row>
        <row r="15">
          <cell r="B15">
            <v>22799</v>
          </cell>
          <cell r="C15">
            <v>22828</v>
          </cell>
          <cell r="D15">
            <v>44470</v>
          </cell>
          <cell r="F15">
            <v>20973</v>
          </cell>
          <cell r="G15">
            <v>21002</v>
          </cell>
          <cell r="H15">
            <v>44470</v>
          </cell>
          <cell r="J15">
            <v>24625</v>
          </cell>
          <cell r="K15">
            <v>24654</v>
          </cell>
          <cell r="L15">
            <v>44470</v>
          </cell>
        </row>
        <row r="16">
          <cell r="B16">
            <v>22829</v>
          </cell>
          <cell r="C16">
            <v>22859</v>
          </cell>
          <cell r="D16">
            <v>44409</v>
          </cell>
          <cell r="F16">
            <v>21003</v>
          </cell>
          <cell r="G16">
            <v>21033</v>
          </cell>
          <cell r="H16">
            <v>44409</v>
          </cell>
          <cell r="J16">
            <v>24655</v>
          </cell>
          <cell r="K16">
            <v>24685</v>
          </cell>
          <cell r="L16">
            <v>44409</v>
          </cell>
        </row>
        <row r="17">
          <cell r="B17">
            <v>22860</v>
          </cell>
          <cell r="C17">
            <v>22890</v>
          </cell>
          <cell r="D17">
            <v>44348</v>
          </cell>
          <cell r="F17">
            <v>21034</v>
          </cell>
          <cell r="G17">
            <v>21064</v>
          </cell>
          <cell r="H17">
            <v>44348</v>
          </cell>
          <cell r="J17">
            <v>24686</v>
          </cell>
          <cell r="K17">
            <v>24716</v>
          </cell>
          <cell r="L17">
            <v>44348</v>
          </cell>
        </row>
        <row r="18">
          <cell r="B18">
            <v>22891</v>
          </cell>
          <cell r="C18">
            <v>22920</v>
          </cell>
          <cell r="D18">
            <v>44287</v>
          </cell>
          <cell r="F18">
            <v>21065</v>
          </cell>
          <cell r="G18">
            <v>21094</v>
          </cell>
          <cell r="H18">
            <v>44287</v>
          </cell>
          <cell r="J18">
            <v>24717</v>
          </cell>
          <cell r="K18">
            <v>24746</v>
          </cell>
          <cell r="L18">
            <v>44287</v>
          </cell>
        </row>
        <row r="19">
          <cell r="B19">
            <v>22921</v>
          </cell>
          <cell r="C19">
            <v>22951</v>
          </cell>
          <cell r="D19">
            <v>44228</v>
          </cell>
          <cell r="F19">
            <v>21095</v>
          </cell>
          <cell r="G19">
            <v>21125</v>
          </cell>
          <cell r="H19">
            <v>44228</v>
          </cell>
          <cell r="J19">
            <v>24747</v>
          </cell>
          <cell r="K19">
            <v>24777</v>
          </cell>
          <cell r="L19">
            <v>44228</v>
          </cell>
        </row>
        <row r="20">
          <cell r="B20">
            <v>22952</v>
          </cell>
          <cell r="C20">
            <v>22981</v>
          </cell>
          <cell r="D20">
            <v>44166</v>
          </cell>
          <cell r="F20">
            <v>21126</v>
          </cell>
          <cell r="G20">
            <v>21155</v>
          </cell>
          <cell r="H20">
            <v>44166</v>
          </cell>
          <cell r="J20">
            <v>24778</v>
          </cell>
          <cell r="K20">
            <v>24807</v>
          </cell>
          <cell r="L20">
            <v>44166</v>
          </cell>
        </row>
        <row r="21">
          <cell r="B21">
            <v>22982</v>
          </cell>
          <cell r="C21">
            <v>23012</v>
          </cell>
          <cell r="D21">
            <v>44105</v>
          </cell>
          <cell r="F21">
            <v>21156</v>
          </cell>
          <cell r="G21">
            <v>21186</v>
          </cell>
          <cell r="H21">
            <v>44105</v>
          </cell>
          <cell r="J21">
            <v>24808</v>
          </cell>
          <cell r="K21">
            <v>24838</v>
          </cell>
          <cell r="L21">
            <v>44105</v>
          </cell>
        </row>
        <row r="22">
          <cell r="B22">
            <v>23013</v>
          </cell>
          <cell r="C22">
            <v>23043</v>
          </cell>
          <cell r="D22">
            <v>44044</v>
          </cell>
          <cell r="F22">
            <v>21187</v>
          </cell>
          <cell r="G22">
            <v>21217</v>
          </cell>
          <cell r="H22">
            <v>44044</v>
          </cell>
          <cell r="J22">
            <v>24839</v>
          </cell>
          <cell r="K22">
            <v>24869</v>
          </cell>
          <cell r="L22">
            <v>44044</v>
          </cell>
        </row>
        <row r="23">
          <cell r="B23">
            <v>23044</v>
          </cell>
          <cell r="C23">
            <v>23071</v>
          </cell>
          <cell r="D23">
            <v>43983</v>
          </cell>
          <cell r="F23">
            <v>21218</v>
          </cell>
          <cell r="G23">
            <v>21245</v>
          </cell>
          <cell r="H23">
            <v>43983</v>
          </cell>
          <cell r="J23">
            <v>24870</v>
          </cell>
          <cell r="K23">
            <v>24898</v>
          </cell>
          <cell r="L23">
            <v>43983</v>
          </cell>
        </row>
        <row r="24">
          <cell r="B24">
            <v>23072</v>
          </cell>
          <cell r="C24">
            <v>23102</v>
          </cell>
          <cell r="D24">
            <v>43922</v>
          </cell>
          <cell r="F24">
            <v>21246</v>
          </cell>
          <cell r="G24">
            <v>21276</v>
          </cell>
          <cell r="H24">
            <v>43922</v>
          </cell>
          <cell r="J24">
            <v>24899</v>
          </cell>
          <cell r="K24">
            <v>24929</v>
          </cell>
          <cell r="L24">
            <v>43922</v>
          </cell>
        </row>
        <row r="25">
          <cell r="B25">
            <v>23103</v>
          </cell>
          <cell r="C25">
            <v>23132</v>
          </cell>
          <cell r="D25">
            <v>43862</v>
          </cell>
          <cell r="F25">
            <v>21277</v>
          </cell>
          <cell r="G25">
            <v>21306</v>
          </cell>
          <cell r="H25">
            <v>43862</v>
          </cell>
          <cell r="J25">
            <v>24930</v>
          </cell>
          <cell r="K25">
            <v>24959</v>
          </cell>
          <cell r="L25">
            <v>43862</v>
          </cell>
        </row>
        <row r="26">
          <cell r="B26">
            <v>23133</v>
          </cell>
          <cell r="C26">
            <v>23163</v>
          </cell>
          <cell r="D26">
            <v>43800</v>
          </cell>
          <cell r="F26">
            <v>21307</v>
          </cell>
          <cell r="G26">
            <v>21337</v>
          </cell>
          <cell r="H26">
            <v>43800</v>
          </cell>
          <cell r="J26">
            <v>24960</v>
          </cell>
          <cell r="K26">
            <v>24990</v>
          </cell>
          <cell r="L26">
            <v>43800</v>
          </cell>
        </row>
        <row r="27">
          <cell r="B27">
            <v>23164</v>
          </cell>
          <cell r="C27">
            <v>23193</v>
          </cell>
          <cell r="D27">
            <v>43739</v>
          </cell>
          <cell r="F27">
            <v>21338</v>
          </cell>
          <cell r="G27">
            <v>21367</v>
          </cell>
          <cell r="H27">
            <v>43739</v>
          </cell>
          <cell r="J27">
            <v>24991</v>
          </cell>
          <cell r="K27">
            <v>25020</v>
          </cell>
          <cell r="L27">
            <v>43739</v>
          </cell>
        </row>
        <row r="28">
          <cell r="B28">
            <v>23194</v>
          </cell>
          <cell r="C28">
            <v>23224</v>
          </cell>
          <cell r="D28">
            <v>43678</v>
          </cell>
          <cell r="F28">
            <v>21368</v>
          </cell>
          <cell r="G28">
            <v>21398</v>
          </cell>
          <cell r="H28">
            <v>43678</v>
          </cell>
          <cell r="J28">
            <v>25021</v>
          </cell>
          <cell r="K28">
            <v>25051</v>
          </cell>
          <cell r="L28">
            <v>43678</v>
          </cell>
        </row>
        <row r="29">
          <cell r="B29">
            <v>23225</v>
          </cell>
          <cell r="C29">
            <v>23255</v>
          </cell>
          <cell r="D29">
            <v>43617</v>
          </cell>
          <cell r="F29">
            <v>21399</v>
          </cell>
          <cell r="G29">
            <v>21429</v>
          </cell>
          <cell r="H29">
            <v>43617</v>
          </cell>
          <cell r="J29">
            <v>25052</v>
          </cell>
          <cell r="K29">
            <v>25082</v>
          </cell>
          <cell r="L29">
            <v>43617</v>
          </cell>
        </row>
        <row r="30">
          <cell r="B30">
            <v>23256</v>
          </cell>
          <cell r="C30">
            <v>23285</v>
          </cell>
          <cell r="D30">
            <v>43556</v>
          </cell>
          <cell r="F30">
            <v>21430</v>
          </cell>
          <cell r="G30">
            <v>21459</v>
          </cell>
          <cell r="H30">
            <v>43556</v>
          </cell>
          <cell r="J30">
            <v>25083</v>
          </cell>
          <cell r="K30">
            <v>25112</v>
          </cell>
          <cell r="L30">
            <v>43556</v>
          </cell>
        </row>
        <row r="31">
          <cell r="B31">
            <v>23286</v>
          </cell>
          <cell r="C31">
            <v>23316</v>
          </cell>
          <cell r="D31">
            <v>43497</v>
          </cell>
          <cell r="F31">
            <v>21460</v>
          </cell>
          <cell r="G31">
            <v>21490</v>
          </cell>
          <cell r="H31">
            <v>43497</v>
          </cell>
          <cell r="J31">
            <v>25113</v>
          </cell>
          <cell r="K31">
            <v>25143</v>
          </cell>
          <cell r="L31">
            <v>43497</v>
          </cell>
        </row>
        <row r="32">
          <cell r="B32">
            <v>23317</v>
          </cell>
          <cell r="C32">
            <v>23346</v>
          </cell>
          <cell r="D32">
            <v>43435</v>
          </cell>
          <cell r="F32">
            <v>21491</v>
          </cell>
          <cell r="G32">
            <v>21520</v>
          </cell>
          <cell r="H32">
            <v>43435</v>
          </cell>
          <cell r="J32">
            <v>25144</v>
          </cell>
          <cell r="K32">
            <v>25173</v>
          </cell>
          <cell r="L32">
            <v>43435</v>
          </cell>
        </row>
        <row r="33">
          <cell r="B33">
            <v>23347</v>
          </cell>
          <cell r="C33">
            <v>23377</v>
          </cell>
          <cell r="D33">
            <v>43374</v>
          </cell>
          <cell r="F33">
            <v>21521</v>
          </cell>
          <cell r="G33">
            <v>21551</v>
          </cell>
          <cell r="H33">
            <v>43374</v>
          </cell>
          <cell r="J33">
            <v>25174</v>
          </cell>
          <cell r="K33">
            <v>25204</v>
          </cell>
          <cell r="L33">
            <v>43374</v>
          </cell>
        </row>
        <row r="34">
          <cell r="B34">
            <v>23378</v>
          </cell>
          <cell r="C34">
            <v>23408</v>
          </cell>
          <cell r="D34">
            <v>43313</v>
          </cell>
          <cell r="F34">
            <v>21552</v>
          </cell>
          <cell r="G34">
            <v>21582</v>
          </cell>
          <cell r="H34">
            <v>43313</v>
          </cell>
          <cell r="J34">
            <v>25205</v>
          </cell>
          <cell r="K34">
            <v>25235</v>
          </cell>
          <cell r="L34">
            <v>43313</v>
          </cell>
        </row>
        <row r="35">
          <cell r="B35">
            <v>23409</v>
          </cell>
          <cell r="C35">
            <v>23437</v>
          </cell>
          <cell r="D35">
            <v>43252</v>
          </cell>
          <cell r="F35">
            <v>21583</v>
          </cell>
          <cell r="G35">
            <v>21610</v>
          </cell>
          <cell r="H35">
            <v>43252</v>
          </cell>
          <cell r="J35">
            <v>25236</v>
          </cell>
          <cell r="K35">
            <v>25263</v>
          </cell>
          <cell r="L35">
            <v>43252</v>
          </cell>
        </row>
        <row r="36">
          <cell r="B36">
            <v>23438</v>
          </cell>
          <cell r="C36">
            <v>23468</v>
          </cell>
          <cell r="D36">
            <v>43191</v>
          </cell>
          <cell r="F36">
            <v>21611</v>
          </cell>
          <cell r="G36">
            <v>21641</v>
          </cell>
          <cell r="H36">
            <v>43191</v>
          </cell>
          <cell r="J36">
            <v>25264</v>
          </cell>
          <cell r="K36">
            <v>25294</v>
          </cell>
          <cell r="L36">
            <v>43191</v>
          </cell>
        </row>
        <row r="37">
          <cell r="B37">
            <v>23469</v>
          </cell>
          <cell r="C37">
            <v>23498</v>
          </cell>
          <cell r="D37">
            <v>43132</v>
          </cell>
          <cell r="F37">
            <v>21642</v>
          </cell>
          <cell r="G37">
            <v>21671</v>
          </cell>
          <cell r="H37">
            <v>43132</v>
          </cell>
          <cell r="J37">
            <v>25295</v>
          </cell>
          <cell r="K37">
            <v>25324</v>
          </cell>
          <cell r="L37">
            <v>43132</v>
          </cell>
        </row>
        <row r="38">
          <cell r="B38">
            <v>23499</v>
          </cell>
          <cell r="C38">
            <v>23529</v>
          </cell>
          <cell r="D38">
            <v>43070</v>
          </cell>
          <cell r="F38">
            <v>21672</v>
          </cell>
          <cell r="G38">
            <v>21702</v>
          </cell>
          <cell r="H38">
            <v>43070</v>
          </cell>
          <cell r="J38">
            <v>25325</v>
          </cell>
          <cell r="K38">
            <v>25355</v>
          </cell>
          <cell r="L38">
            <v>43070</v>
          </cell>
        </row>
        <row r="39">
          <cell r="B39">
            <v>23530</v>
          </cell>
          <cell r="C39">
            <v>23559</v>
          </cell>
          <cell r="D39">
            <v>43009</v>
          </cell>
          <cell r="F39">
            <v>21703</v>
          </cell>
          <cell r="G39">
            <v>21732</v>
          </cell>
          <cell r="H39">
            <v>43009</v>
          </cell>
          <cell r="J39">
            <v>25356</v>
          </cell>
          <cell r="K39">
            <v>25385</v>
          </cell>
          <cell r="L39">
            <v>43009</v>
          </cell>
        </row>
        <row r="40">
          <cell r="B40">
            <v>23560</v>
          </cell>
          <cell r="C40">
            <v>23590</v>
          </cell>
          <cell r="D40">
            <v>42948</v>
          </cell>
          <cell r="F40">
            <v>21733</v>
          </cell>
          <cell r="G40">
            <v>21763</v>
          </cell>
          <cell r="H40">
            <v>42948</v>
          </cell>
          <cell r="J40">
            <v>25386</v>
          </cell>
          <cell r="K40">
            <v>25416</v>
          </cell>
          <cell r="L40">
            <v>42948</v>
          </cell>
        </row>
        <row r="41">
          <cell r="B41">
            <v>23591</v>
          </cell>
          <cell r="C41">
            <v>23621</v>
          </cell>
          <cell r="D41">
            <v>42887</v>
          </cell>
          <cell r="F41">
            <v>21764</v>
          </cell>
          <cell r="G41">
            <v>21794</v>
          </cell>
          <cell r="H41">
            <v>42887</v>
          </cell>
          <cell r="J41">
            <v>25417</v>
          </cell>
          <cell r="K41">
            <v>25447</v>
          </cell>
          <cell r="L41">
            <v>42887</v>
          </cell>
        </row>
        <row r="42">
          <cell r="B42">
            <v>23622</v>
          </cell>
          <cell r="C42">
            <v>23651</v>
          </cell>
          <cell r="D42">
            <v>42826</v>
          </cell>
          <cell r="F42">
            <v>21795</v>
          </cell>
          <cell r="G42">
            <v>21824</v>
          </cell>
          <cell r="H42">
            <v>42826</v>
          </cell>
          <cell r="J42">
            <v>25448</v>
          </cell>
          <cell r="K42">
            <v>25477</v>
          </cell>
          <cell r="L42">
            <v>42826</v>
          </cell>
        </row>
        <row r="43">
          <cell r="B43">
            <v>23652</v>
          </cell>
          <cell r="C43">
            <v>23682</v>
          </cell>
          <cell r="D43">
            <v>42767</v>
          </cell>
          <cell r="F43">
            <v>21825</v>
          </cell>
          <cell r="G43">
            <v>21855</v>
          </cell>
          <cell r="H43">
            <v>42767</v>
          </cell>
          <cell r="J43">
            <v>25478</v>
          </cell>
          <cell r="K43">
            <v>25508</v>
          </cell>
          <cell r="L43">
            <v>42767</v>
          </cell>
        </row>
        <row r="44">
          <cell r="B44">
            <v>23683</v>
          </cell>
          <cell r="C44">
            <v>23712</v>
          </cell>
          <cell r="D44">
            <v>42705</v>
          </cell>
          <cell r="F44">
            <v>21856</v>
          </cell>
          <cell r="G44">
            <v>21885</v>
          </cell>
          <cell r="H44">
            <v>42705</v>
          </cell>
          <cell r="J44">
            <v>25509</v>
          </cell>
          <cell r="K44">
            <v>25538</v>
          </cell>
          <cell r="L44">
            <v>42705</v>
          </cell>
        </row>
        <row r="45">
          <cell r="B45">
            <v>23713</v>
          </cell>
          <cell r="C45">
            <v>23743</v>
          </cell>
          <cell r="D45">
            <v>42644</v>
          </cell>
          <cell r="F45">
            <v>21886</v>
          </cell>
          <cell r="G45">
            <v>21916</v>
          </cell>
          <cell r="H45">
            <v>42644</v>
          </cell>
          <cell r="J45">
            <v>25539</v>
          </cell>
          <cell r="K45">
            <v>25569</v>
          </cell>
          <cell r="L45">
            <v>42644</v>
          </cell>
        </row>
        <row r="46">
          <cell r="B46">
            <v>23744</v>
          </cell>
          <cell r="C46">
            <v>23774</v>
          </cell>
          <cell r="D46">
            <v>42583</v>
          </cell>
          <cell r="F46">
            <v>21917</v>
          </cell>
          <cell r="G46">
            <v>21947</v>
          </cell>
          <cell r="H46">
            <v>42583</v>
          </cell>
          <cell r="J46">
            <v>25570</v>
          </cell>
          <cell r="K46">
            <v>25600</v>
          </cell>
          <cell r="L46">
            <v>42583</v>
          </cell>
        </row>
        <row r="47">
          <cell r="B47">
            <v>23775</v>
          </cell>
          <cell r="C47">
            <v>23802</v>
          </cell>
          <cell r="D47">
            <v>42522</v>
          </cell>
          <cell r="F47">
            <v>21948</v>
          </cell>
          <cell r="G47">
            <v>21976</v>
          </cell>
          <cell r="H47">
            <v>42522</v>
          </cell>
          <cell r="J47">
            <v>25601</v>
          </cell>
          <cell r="K47">
            <v>25628</v>
          </cell>
          <cell r="L47">
            <v>42522</v>
          </cell>
        </row>
        <row r="48">
          <cell r="B48">
            <v>23803</v>
          </cell>
          <cell r="C48">
            <v>23833</v>
          </cell>
          <cell r="D48">
            <v>42461</v>
          </cell>
          <cell r="F48">
            <v>21977</v>
          </cell>
          <cell r="G48">
            <v>22007</v>
          </cell>
          <cell r="H48">
            <v>42461</v>
          </cell>
          <cell r="J48">
            <v>25629</v>
          </cell>
          <cell r="K48">
            <v>25659</v>
          </cell>
          <cell r="L48">
            <v>42461</v>
          </cell>
        </row>
        <row r="49">
          <cell r="B49">
            <v>23834</v>
          </cell>
          <cell r="C49">
            <v>23863</v>
          </cell>
          <cell r="D49">
            <v>42401</v>
          </cell>
          <cell r="F49">
            <v>22008</v>
          </cell>
          <cell r="G49">
            <v>22037</v>
          </cell>
          <cell r="H49">
            <v>42401</v>
          </cell>
          <cell r="J49">
            <v>25660</v>
          </cell>
          <cell r="K49">
            <v>25689</v>
          </cell>
          <cell r="L49">
            <v>42401</v>
          </cell>
        </row>
        <row r="50">
          <cell r="B50">
            <v>23864</v>
          </cell>
          <cell r="C50">
            <v>23894</v>
          </cell>
          <cell r="D50">
            <v>42339</v>
          </cell>
          <cell r="F50">
            <v>22038</v>
          </cell>
          <cell r="G50">
            <v>22068</v>
          </cell>
          <cell r="H50">
            <v>42339</v>
          </cell>
          <cell r="J50">
            <v>25690</v>
          </cell>
          <cell r="K50">
            <v>25720</v>
          </cell>
          <cell r="L50">
            <v>42339</v>
          </cell>
        </row>
        <row r="51">
          <cell r="B51">
            <v>23895</v>
          </cell>
          <cell r="C51">
            <v>23924</v>
          </cell>
          <cell r="D51">
            <v>42278</v>
          </cell>
          <cell r="F51">
            <v>22069</v>
          </cell>
          <cell r="G51">
            <v>22098</v>
          </cell>
          <cell r="H51">
            <v>42278</v>
          </cell>
          <cell r="J51">
            <v>25721</v>
          </cell>
          <cell r="K51">
            <v>25750</v>
          </cell>
          <cell r="L51">
            <v>42278</v>
          </cell>
        </row>
        <row r="52">
          <cell r="B52">
            <v>23925</v>
          </cell>
          <cell r="C52">
            <v>23955</v>
          </cell>
          <cell r="D52">
            <v>42217</v>
          </cell>
          <cell r="F52">
            <v>22099</v>
          </cell>
          <cell r="G52">
            <v>22129</v>
          </cell>
          <cell r="H52">
            <v>42217</v>
          </cell>
          <cell r="J52">
            <v>25751</v>
          </cell>
          <cell r="K52">
            <v>25781</v>
          </cell>
          <cell r="L52">
            <v>42217</v>
          </cell>
        </row>
        <row r="53">
          <cell r="B53">
            <v>23956</v>
          </cell>
          <cell r="C53">
            <v>23985</v>
          </cell>
          <cell r="D53">
            <v>42156</v>
          </cell>
          <cell r="F53">
            <v>22130</v>
          </cell>
          <cell r="G53">
            <v>22159</v>
          </cell>
          <cell r="H53">
            <v>42156</v>
          </cell>
          <cell r="J53">
            <v>25782</v>
          </cell>
          <cell r="K53">
            <v>25811</v>
          </cell>
          <cell r="L53">
            <v>42156</v>
          </cell>
        </row>
      </sheetData>
      <sheetData sheetId="7">
        <row r="10">
          <cell r="F10">
            <v>3</v>
          </cell>
        </row>
      </sheetData>
      <sheetData sheetId="8">
        <row r="18">
          <cell r="B18">
            <v>65</v>
          </cell>
          <cell r="C18">
            <v>1</v>
          </cell>
          <cell r="D18">
            <v>1.004</v>
          </cell>
          <cell r="E18">
            <v>1.006</v>
          </cell>
          <cell r="F18">
            <v>1.0089999999999999</v>
          </cell>
          <cell r="G18">
            <v>1.012</v>
          </cell>
          <cell r="H18">
            <v>1.014</v>
          </cell>
          <cell r="I18">
            <v>1.0169999999999999</v>
          </cell>
          <cell r="J18">
            <v>1.0189999999999999</v>
          </cell>
          <cell r="K18">
            <v>1.022</v>
          </cell>
          <cell r="L18">
            <v>1.0249999999999999</v>
          </cell>
          <cell r="M18">
            <v>1.0269999999999999</v>
          </cell>
          <cell r="N18">
            <v>1.03</v>
          </cell>
        </row>
        <row r="19">
          <cell r="B19">
            <v>66</v>
          </cell>
          <cell r="C19">
            <v>1.032</v>
          </cell>
          <cell r="D19">
            <v>1.0349999999999999</v>
          </cell>
          <cell r="E19">
            <v>1.038</v>
          </cell>
          <cell r="F19">
            <v>1.0409999999999999</v>
          </cell>
          <cell r="G19">
            <v>1.0429999999999999</v>
          </cell>
          <cell r="H19">
            <v>1.046</v>
          </cell>
          <cell r="I19">
            <v>1.0489999999999999</v>
          </cell>
          <cell r="J19">
            <v>1.052</v>
          </cell>
          <cell r="K19">
            <v>1.054</v>
          </cell>
          <cell r="L19">
            <v>1.0569999999999999</v>
          </cell>
          <cell r="M19">
            <v>1.06</v>
          </cell>
          <cell r="N19">
            <v>1.0629999999999999</v>
          </cell>
        </row>
        <row r="20">
          <cell r="B20">
            <v>67</v>
          </cell>
          <cell r="C20">
            <v>1.0660000000000001</v>
          </cell>
          <cell r="D20">
            <v>1.069</v>
          </cell>
          <cell r="E20">
            <v>1.071</v>
          </cell>
          <cell r="F20">
            <v>1.0740000000000001</v>
          </cell>
          <cell r="G20">
            <v>1.077</v>
          </cell>
          <cell r="H20">
            <v>1.08</v>
          </cell>
          <cell r="I20">
            <v>1.083</v>
          </cell>
          <cell r="J20">
            <v>1.0860000000000001</v>
          </cell>
          <cell r="K20">
            <v>1.089</v>
          </cell>
          <cell r="L20">
            <v>1.0920000000000001</v>
          </cell>
          <cell r="M20">
            <v>1.095</v>
          </cell>
          <cell r="N20">
            <v>1.0980000000000001</v>
          </cell>
        </row>
        <row r="21">
          <cell r="B21">
            <v>68</v>
          </cell>
          <cell r="C21">
            <v>1.101</v>
          </cell>
          <cell r="D21">
            <v>1.1040000000000001</v>
          </cell>
          <cell r="E21">
            <v>1.1080000000000001</v>
          </cell>
          <cell r="F21">
            <v>1.111</v>
          </cell>
          <cell r="G21">
            <v>1.1140000000000001</v>
          </cell>
          <cell r="H21">
            <v>1.117</v>
          </cell>
          <cell r="I21">
            <v>1.1200000000000001</v>
          </cell>
          <cell r="J21">
            <v>1.123</v>
          </cell>
          <cell r="K21">
            <v>1.127</v>
          </cell>
          <cell r="L21">
            <v>1.1299999999999999</v>
          </cell>
          <cell r="M21">
            <v>1.133</v>
          </cell>
          <cell r="N21">
            <v>1.1359999999999999</v>
          </cell>
        </row>
        <row r="22">
          <cell r="B22">
            <v>69</v>
          </cell>
          <cell r="C22">
            <v>1.139</v>
          </cell>
          <cell r="D22">
            <v>1.143</v>
          </cell>
          <cell r="E22">
            <v>1.1459999999999999</v>
          </cell>
          <cell r="F22">
            <v>1.1499999999999999</v>
          </cell>
          <cell r="G22">
            <v>1.153</v>
          </cell>
          <cell r="H22">
            <v>1.1559999999999999</v>
          </cell>
          <cell r="I22">
            <v>1.1599999999999999</v>
          </cell>
          <cell r="J22">
            <v>1.163</v>
          </cell>
          <cell r="K22">
            <v>1.167</v>
          </cell>
          <cell r="L22">
            <v>1.17</v>
          </cell>
          <cell r="M22">
            <v>1.173</v>
          </cell>
          <cell r="N22">
            <v>1.177</v>
          </cell>
        </row>
        <row r="23">
          <cell r="B23">
            <v>70</v>
          </cell>
          <cell r="C23">
            <v>1.18</v>
          </cell>
          <cell r="D23">
            <v>1.1839999999999999</v>
          </cell>
          <cell r="E23">
            <v>1.1879999999999999</v>
          </cell>
          <cell r="F23">
            <v>1.1910000000000001</v>
          </cell>
          <cell r="G23">
            <v>1.1950000000000001</v>
          </cell>
          <cell r="H23">
            <v>1.1990000000000001</v>
          </cell>
          <cell r="I23">
            <v>1.202</v>
          </cell>
          <cell r="J23">
            <v>1.206</v>
          </cell>
          <cell r="K23">
            <v>1.21</v>
          </cell>
          <cell r="L23">
            <v>1.2130000000000001</v>
          </cell>
          <cell r="M23">
            <v>1.2170000000000001</v>
          </cell>
          <cell r="N23">
            <v>1.2210000000000001</v>
          </cell>
        </row>
        <row r="24">
          <cell r="B24">
            <v>71</v>
          </cell>
          <cell r="C24">
            <v>1.2250000000000001</v>
          </cell>
          <cell r="D24">
            <v>1.2290000000000001</v>
          </cell>
          <cell r="E24">
            <v>1.232</v>
          </cell>
          <cell r="F24">
            <v>1.236</v>
          </cell>
          <cell r="G24">
            <v>1.24</v>
          </cell>
          <cell r="H24">
            <v>1.244</v>
          </cell>
          <cell r="I24">
            <v>1.248</v>
          </cell>
          <cell r="J24">
            <v>1.252</v>
          </cell>
          <cell r="K24">
            <v>1.256</v>
          </cell>
          <cell r="L24">
            <v>1.26</v>
          </cell>
          <cell r="M24">
            <v>1.264</v>
          </cell>
          <cell r="N24">
            <v>1.268</v>
          </cell>
        </row>
        <row r="25">
          <cell r="B25">
            <v>72</v>
          </cell>
          <cell r="C25">
            <v>1.272</v>
          </cell>
          <cell r="D25">
            <v>1.276</v>
          </cell>
          <cell r="E25">
            <v>1.2809999999999999</v>
          </cell>
          <cell r="F25">
            <v>1.2849999999999999</v>
          </cell>
          <cell r="G25">
            <v>1.2889999999999999</v>
          </cell>
          <cell r="H25">
            <v>1.2929999999999999</v>
          </cell>
          <cell r="I25">
            <v>1.298</v>
          </cell>
          <cell r="J25">
            <v>1.302</v>
          </cell>
          <cell r="K25">
            <v>1.306</v>
          </cell>
          <cell r="L25">
            <v>1.3109999999999999</v>
          </cell>
          <cell r="M25">
            <v>1.3149999999999999</v>
          </cell>
          <cell r="N25">
            <v>1.319</v>
          </cell>
        </row>
        <row r="26">
          <cell r="B26">
            <v>73</v>
          </cell>
          <cell r="C26">
            <v>1.323</v>
          </cell>
          <cell r="D26">
            <v>1.3280000000000001</v>
          </cell>
          <cell r="E26">
            <v>1.333</v>
          </cell>
          <cell r="F26">
            <v>1.337</v>
          </cell>
          <cell r="G26">
            <v>1.3420000000000001</v>
          </cell>
          <cell r="H26">
            <v>1.3460000000000001</v>
          </cell>
          <cell r="I26">
            <v>1.351</v>
          </cell>
          <cell r="J26">
            <v>1.3560000000000001</v>
          </cell>
          <cell r="K26">
            <v>1.36</v>
          </cell>
          <cell r="L26">
            <v>1.365</v>
          </cell>
          <cell r="M26">
            <v>1.369</v>
          </cell>
          <cell r="N26">
            <v>1.3740000000000001</v>
          </cell>
        </row>
        <row r="27">
          <cell r="B27">
            <v>74</v>
          </cell>
          <cell r="C27">
            <v>1.379</v>
          </cell>
          <cell r="D27">
            <v>1.3839999999999999</v>
          </cell>
          <cell r="E27">
            <v>1.389</v>
          </cell>
          <cell r="F27">
            <v>1.3939999999999999</v>
          </cell>
          <cell r="G27">
            <v>1.399</v>
          </cell>
          <cell r="H27">
            <v>1.4039999999999999</v>
          </cell>
          <cell r="I27">
            <v>1.409</v>
          </cell>
          <cell r="J27">
            <v>1.4139999999999999</v>
          </cell>
          <cell r="K27">
            <v>1.419</v>
          </cell>
          <cell r="L27">
            <v>1.4239999999999999</v>
          </cell>
          <cell r="M27">
            <v>1.429</v>
          </cell>
          <cell r="N27">
            <v>1.4330000000000001</v>
          </cell>
        </row>
      </sheetData>
      <sheetData sheetId="9">
        <row r="17">
          <cell r="B17">
            <v>50</v>
          </cell>
          <cell r="C17">
            <v>0.63300000000000001</v>
          </cell>
          <cell r="D17">
            <v>0.63500000000000001</v>
          </cell>
          <cell r="E17">
            <v>0.63700000000000001</v>
          </cell>
          <cell r="F17">
            <v>0.64</v>
          </cell>
          <cell r="G17">
            <v>0.64200000000000002</v>
          </cell>
          <cell r="H17">
            <v>0.64400000000000002</v>
          </cell>
          <cell r="I17">
            <v>0.64600000000000002</v>
          </cell>
          <cell r="J17">
            <v>0.64800000000000002</v>
          </cell>
          <cell r="K17">
            <v>0.65</v>
          </cell>
          <cell r="L17">
            <v>0.65300000000000002</v>
          </cell>
          <cell r="M17">
            <v>0.65500000000000003</v>
          </cell>
          <cell r="N17">
            <v>0.65700000000000003</v>
          </cell>
        </row>
        <row r="18">
          <cell r="B18">
            <v>51</v>
          </cell>
          <cell r="C18">
            <v>0.65900000000000003</v>
          </cell>
          <cell r="D18">
            <v>0.66100000000000003</v>
          </cell>
          <cell r="E18">
            <v>0.66400000000000003</v>
          </cell>
          <cell r="F18">
            <v>0.66600000000000004</v>
          </cell>
          <cell r="G18">
            <v>0.66800000000000004</v>
          </cell>
          <cell r="H18">
            <v>0.67100000000000004</v>
          </cell>
          <cell r="I18">
            <v>0.67300000000000004</v>
          </cell>
          <cell r="J18">
            <v>0.67500000000000004</v>
          </cell>
          <cell r="K18">
            <v>0.67800000000000005</v>
          </cell>
          <cell r="L18">
            <v>0.68</v>
          </cell>
          <cell r="M18">
            <v>0.68200000000000005</v>
          </cell>
          <cell r="N18">
            <v>0.68500000000000005</v>
          </cell>
        </row>
        <row r="19">
          <cell r="B19">
            <v>52</v>
          </cell>
          <cell r="C19">
            <v>0.68700000000000006</v>
          </cell>
          <cell r="D19">
            <v>0.69</v>
          </cell>
          <cell r="E19">
            <v>0.69199999999999995</v>
          </cell>
          <cell r="F19">
            <v>0.69499999999999995</v>
          </cell>
          <cell r="G19">
            <v>0.69699999999999995</v>
          </cell>
          <cell r="H19">
            <v>0.7</v>
          </cell>
          <cell r="I19">
            <v>0.70199999999999996</v>
          </cell>
          <cell r="J19">
            <v>0.70499999999999996</v>
          </cell>
          <cell r="K19">
            <v>0.70699999999999996</v>
          </cell>
          <cell r="L19">
            <v>0.71</v>
          </cell>
          <cell r="M19">
            <v>0.71199999999999997</v>
          </cell>
          <cell r="N19">
            <v>0.71499999999999997</v>
          </cell>
        </row>
        <row r="20">
          <cell r="B20">
            <v>53</v>
          </cell>
          <cell r="C20">
            <v>0.71699999999999997</v>
          </cell>
          <cell r="D20">
            <v>0.72</v>
          </cell>
          <cell r="E20">
            <v>0.72299999999999998</v>
          </cell>
          <cell r="F20">
            <v>0.72499999999999998</v>
          </cell>
          <cell r="G20">
            <v>0.72799999999999998</v>
          </cell>
          <cell r="H20">
            <v>0.73099999999999998</v>
          </cell>
          <cell r="I20">
            <v>0.73299999999999998</v>
          </cell>
          <cell r="J20">
            <v>0.73599999999999999</v>
          </cell>
          <cell r="K20">
            <v>0.73899999999999999</v>
          </cell>
          <cell r="L20">
            <v>0.74199999999999999</v>
          </cell>
          <cell r="M20">
            <v>0.74399999999999999</v>
          </cell>
          <cell r="N20">
            <v>0.747</v>
          </cell>
        </row>
        <row r="21">
          <cell r="B21">
            <v>54</v>
          </cell>
          <cell r="C21">
            <v>0.75</v>
          </cell>
          <cell r="D21">
            <v>0.753</v>
          </cell>
          <cell r="E21">
            <v>0.75600000000000001</v>
          </cell>
          <cell r="F21">
            <v>0.75900000000000001</v>
          </cell>
          <cell r="G21">
            <v>0.76200000000000001</v>
          </cell>
          <cell r="H21">
            <v>0.76500000000000001</v>
          </cell>
          <cell r="I21">
            <v>0.76800000000000002</v>
          </cell>
          <cell r="J21">
            <v>0.77100000000000002</v>
          </cell>
          <cell r="K21">
            <v>0.77400000000000002</v>
          </cell>
          <cell r="L21">
            <v>0.77700000000000002</v>
          </cell>
          <cell r="M21">
            <v>0.78</v>
          </cell>
          <cell r="N21">
            <v>0.78300000000000003</v>
          </cell>
        </row>
        <row r="22">
          <cell r="B22">
            <v>55</v>
          </cell>
          <cell r="C22">
            <v>0.78600000000000003</v>
          </cell>
          <cell r="D22">
            <v>0.78900000000000003</v>
          </cell>
          <cell r="E22">
            <v>0.79200000000000004</v>
          </cell>
          <cell r="F22">
            <v>0.79500000000000004</v>
          </cell>
          <cell r="G22">
            <v>0.79800000000000004</v>
          </cell>
          <cell r="H22">
            <v>0.80100000000000005</v>
          </cell>
          <cell r="I22">
            <v>0.80500000000000005</v>
          </cell>
          <cell r="J22">
            <v>0.80800000000000005</v>
          </cell>
          <cell r="K22">
            <v>0.81100000000000005</v>
          </cell>
          <cell r="L22">
            <v>0.81399999999999995</v>
          </cell>
          <cell r="M22">
            <v>0.81699999999999995</v>
          </cell>
          <cell r="N22">
            <v>0.82</v>
          </cell>
        </row>
        <row r="23">
          <cell r="B23">
            <v>56</v>
          </cell>
          <cell r="C23">
            <v>0.82399999999999995</v>
          </cell>
          <cell r="D23">
            <v>0.82699999999999996</v>
          </cell>
          <cell r="E23">
            <v>0.83</v>
          </cell>
          <cell r="F23">
            <v>0.83399999999999996</v>
          </cell>
          <cell r="G23">
            <v>0.83699999999999997</v>
          </cell>
          <cell r="H23">
            <v>0.84</v>
          </cell>
          <cell r="I23">
            <v>0.84399999999999997</v>
          </cell>
          <cell r="J23">
            <v>0.84699999999999998</v>
          </cell>
          <cell r="K23">
            <v>0.85</v>
          </cell>
          <cell r="L23">
            <v>0.85399999999999998</v>
          </cell>
          <cell r="M23">
            <v>0.85699999999999998</v>
          </cell>
          <cell r="N23">
            <v>0.86</v>
          </cell>
        </row>
        <row r="24">
          <cell r="B24">
            <v>57</v>
          </cell>
          <cell r="C24">
            <v>0.86399999999999999</v>
          </cell>
          <cell r="D24">
            <v>0.86699999999999999</v>
          </cell>
          <cell r="E24">
            <v>0.871</v>
          </cell>
          <cell r="F24">
            <v>0.875</v>
          </cell>
          <cell r="G24">
            <v>0.878</v>
          </cell>
          <cell r="H24">
            <v>0.88200000000000001</v>
          </cell>
          <cell r="I24">
            <v>0.88500000000000001</v>
          </cell>
          <cell r="J24">
            <v>0.88900000000000001</v>
          </cell>
          <cell r="K24">
            <v>0.89200000000000002</v>
          </cell>
          <cell r="L24">
            <v>0.89600000000000002</v>
          </cell>
          <cell r="M24">
            <v>0.9</v>
          </cell>
          <cell r="N24">
            <v>0.90300000000000002</v>
          </cell>
        </row>
        <row r="25">
          <cell r="B25">
            <v>58</v>
          </cell>
          <cell r="C25">
            <v>0.90700000000000003</v>
          </cell>
          <cell r="D25">
            <v>0.91100000000000003</v>
          </cell>
          <cell r="E25">
            <v>0.91500000000000004</v>
          </cell>
          <cell r="F25">
            <v>0.91800000000000004</v>
          </cell>
          <cell r="G25">
            <v>0.92200000000000004</v>
          </cell>
          <cell r="H25">
            <v>0.92600000000000005</v>
          </cell>
          <cell r="I25">
            <v>0.93</v>
          </cell>
          <cell r="J25">
            <v>0.93400000000000005</v>
          </cell>
          <cell r="K25">
            <v>0.93799999999999994</v>
          </cell>
          <cell r="L25">
            <v>0.94099999999999995</v>
          </cell>
          <cell r="M25">
            <v>0.94499999999999995</v>
          </cell>
          <cell r="N25">
            <v>0.94899999999999995</v>
          </cell>
        </row>
        <row r="26">
          <cell r="B26">
            <v>59</v>
          </cell>
          <cell r="C26">
            <v>0.95299999999999996</v>
          </cell>
          <cell r="D26">
            <v>0.95699999999999996</v>
          </cell>
          <cell r="E26">
            <v>0.96099999999999997</v>
          </cell>
          <cell r="F26">
            <v>0.96499999999999997</v>
          </cell>
          <cell r="G26">
            <v>0.96899999999999997</v>
          </cell>
          <cell r="H26">
            <v>0.97299999999999998</v>
          </cell>
          <cell r="I26">
            <v>0.97699999999999998</v>
          </cell>
          <cell r="J26">
            <v>0.98199999999999998</v>
          </cell>
          <cell r="K26">
            <v>0.98599999999999999</v>
          </cell>
          <cell r="L26">
            <v>0.99</v>
          </cell>
          <cell r="M26">
            <v>0.99399999999999999</v>
          </cell>
          <cell r="N26">
            <v>0.998</v>
          </cell>
        </row>
        <row r="58">
          <cell r="B58" t="str">
            <v>AGE: complete months</v>
          </cell>
          <cell r="C58">
            <v>0</v>
          </cell>
          <cell r="D58">
            <v>1</v>
          </cell>
          <cell r="E58">
            <v>2</v>
          </cell>
          <cell r="F58">
            <v>3</v>
          </cell>
          <cell r="G58">
            <v>4</v>
          </cell>
          <cell r="H58">
            <v>5</v>
          </cell>
          <cell r="I58">
            <v>6</v>
          </cell>
          <cell r="J58">
            <v>7</v>
          </cell>
          <cell r="K58">
            <v>8</v>
          </cell>
          <cell r="L58">
            <v>9</v>
          </cell>
          <cell r="M58">
            <v>10</v>
          </cell>
          <cell r="N58">
            <v>11</v>
          </cell>
        </row>
        <row r="59">
          <cell r="B59" t="str">
            <v>LUMP SUM FACTORS</v>
          </cell>
        </row>
        <row r="60">
          <cell r="B60" t="str">
            <v>Complete Years:</v>
          </cell>
        </row>
        <row r="61">
          <cell r="B61">
            <v>50</v>
          </cell>
          <cell r="C61">
            <v>0.73199999999999998</v>
          </cell>
          <cell r="D61">
            <v>0.73399999999999999</v>
          </cell>
          <cell r="E61">
            <v>0.73599999999999999</v>
          </cell>
          <cell r="F61">
            <v>0.73799999999999999</v>
          </cell>
          <cell r="G61">
            <v>0.74</v>
          </cell>
          <cell r="H61">
            <v>0.74199999999999999</v>
          </cell>
          <cell r="I61">
            <v>0.74399999999999999</v>
          </cell>
          <cell r="J61">
            <v>0.746</v>
          </cell>
          <cell r="K61">
            <v>0.748</v>
          </cell>
          <cell r="L61">
            <v>0.75</v>
          </cell>
          <cell r="M61">
            <v>0.751</v>
          </cell>
          <cell r="N61">
            <v>0.753</v>
          </cell>
        </row>
        <row r="62">
          <cell r="B62">
            <v>51</v>
          </cell>
          <cell r="C62">
            <v>0.755</v>
          </cell>
          <cell r="D62">
            <v>0.75700000000000001</v>
          </cell>
          <cell r="E62">
            <v>0.75900000000000001</v>
          </cell>
          <cell r="F62">
            <v>0.76100000000000001</v>
          </cell>
          <cell r="G62">
            <v>0.76300000000000001</v>
          </cell>
          <cell r="H62">
            <v>0.76500000000000001</v>
          </cell>
          <cell r="I62">
            <v>0.76700000000000002</v>
          </cell>
          <cell r="J62">
            <v>0.76900000000000002</v>
          </cell>
          <cell r="K62">
            <v>0.77100000000000002</v>
          </cell>
          <cell r="L62">
            <v>0.77300000000000002</v>
          </cell>
          <cell r="M62">
            <v>0.77500000000000002</v>
          </cell>
          <cell r="N62">
            <v>0.77700000000000002</v>
          </cell>
        </row>
        <row r="63">
          <cell r="B63">
            <v>52</v>
          </cell>
          <cell r="C63">
            <v>0.77900000000000003</v>
          </cell>
          <cell r="D63">
            <v>0.78100000000000003</v>
          </cell>
          <cell r="E63">
            <v>0.78300000000000003</v>
          </cell>
          <cell r="F63">
            <v>0.78500000000000003</v>
          </cell>
          <cell r="G63">
            <v>0.78700000000000003</v>
          </cell>
          <cell r="H63">
            <v>0.78900000000000003</v>
          </cell>
          <cell r="I63">
            <v>0.79100000000000004</v>
          </cell>
          <cell r="J63">
            <v>0.79300000000000004</v>
          </cell>
          <cell r="K63">
            <v>0.79500000000000004</v>
          </cell>
          <cell r="L63">
            <v>0.79700000000000004</v>
          </cell>
          <cell r="M63">
            <v>0.79900000000000004</v>
          </cell>
          <cell r="N63">
            <v>0.80100000000000005</v>
          </cell>
        </row>
        <row r="64">
          <cell r="B64">
            <v>53</v>
          </cell>
          <cell r="C64">
            <v>0.80300000000000005</v>
          </cell>
          <cell r="D64">
            <v>0.80500000000000005</v>
          </cell>
          <cell r="E64">
            <v>0.80800000000000005</v>
          </cell>
          <cell r="F64">
            <v>0.81</v>
          </cell>
          <cell r="G64">
            <v>0.81200000000000006</v>
          </cell>
          <cell r="H64">
            <v>0.81399999999999995</v>
          </cell>
          <cell r="I64">
            <v>0.81599999999999995</v>
          </cell>
          <cell r="J64">
            <v>0.81799999999999995</v>
          </cell>
          <cell r="K64">
            <v>0.82</v>
          </cell>
          <cell r="L64">
            <v>0.82199999999999995</v>
          </cell>
          <cell r="M64">
            <v>0.82399999999999995</v>
          </cell>
          <cell r="N64">
            <v>0.82699999999999996</v>
          </cell>
        </row>
        <row r="65">
          <cell r="B65">
            <v>54</v>
          </cell>
          <cell r="C65">
            <v>0.82899999999999996</v>
          </cell>
          <cell r="D65">
            <v>0.83099999999999996</v>
          </cell>
          <cell r="E65">
            <v>0.83299999999999996</v>
          </cell>
          <cell r="F65">
            <v>0.83499999999999996</v>
          </cell>
          <cell r="G65">
            <v>0.83699999999999997</v>
          </cell>
          <cell r="H65">
            <v>0.84</v>
          </cell>
          <cell r="I65">
            <v>0.84199999999999997</v>
          </cell>
          <cell r="J65">
            <v>0.84399999999999997</v>
          </cell>
          <cell r="K65">
            <v>0.84599999999999997</v>
          </cell>
          <cell r="L65">
            <v>0.84799999999999998</v>
          </cell>
          <cell r="M65">
            <v>0.85099999999999998</v>
          </cell>
          <cell r="N65">
            <v>0.85299999999999998</v>
          </cell>
        </row>
        <row r="66">
          <cell r="B66">
            <v>55</v>
          </cell>
          <cell r="C66">
            <v>0.85499999999999998</v>
          </cell>
          <cell r="D66">
            <v>0.85699999999999998</v>
          </cell>
          <cell r="E66">
            <v>0.85899999999999999</v>
          </cell>
          <cell r="F66">
            <v>0.86199999999999999</v>
          </cell>
          <cell r="G66">
            <v>0.86399999999999999</v>
          </cell>
          <cell r="H66">
            <v>0.86599999999999999</v>
          </cell>
          <cell r="I66">
            <v>0.86899999999999999</v>
          </cell>
          <cell r="J66">
            <v>0.871</v>
          </cell>
          <cell r="K66">
            <v>0.873</v>
          </cell>
          <cell r="L66">
            <v>0.875</v>
          </cell>
          <cell r="M66">
            <v>0.878</v>
          </cell>
          <cell r="N66">
            <v>0.88</v>
          </cell>
        </row>
        <row r="67">
          <cell r="B67">
            <v>56</v>
          </cell>
          <cell r="C67">
            <v>0.88200000000000001</v>
          </cell>
          <cell r="D67">
            <v>0.88500000000000001</v>
          </cell>
          <cell r="E67">
            <v>0.88700000000000001</v>
          </cell>
          <cell r="F67">
            <v>0.88900000000000001</v>
          </cell>
          <cell r="G67">
            <v>0.89200000000000002</v>
          </cell>
          <cell r="H67">
            <v>0.89400000000000002</v>
          </cell>
          <cell r="I67">
            <v>0.89600000000000002</v>
          </cell>
          <cell r="J67">
            <v>0.89900000000000002</v>
          </cell>
          <cell r="K67">
            <v>0.90100000000000002</v>
          </cell>
          <cell r="L67">
            <v>0.90300000000000002</v>
          </cell>
          <cell r="M67">
            <v>0.90600000000000003</v>
          </cell>
          <cell r="N67">
            <v>0.90800000000000003</v>
          </cell>
        </row>
        <row r="68">
          <cell r="B68">
            <v>57</v>
          </cell>
          <cell r="C68">
            <v>0.91</v>
          </cell>
          <cell r="D68">
            <v>0.91300000000000003</v>
          </cell>
          <cell r="E68">
            <v>0.91500000000000004</v>
          </cell>
          <cell r="F68">
            <v>0.91800000000000004</v>
          </cell>
          <cell r="G68">
            <v>0.92</v>
          </cell>
          <cell r="H68">
            <v>0.92300000000000004</v>
          </cell>
          <cell r="I68">
            <v>0.92500000000000004</v>
          </cell>
          <cell r="J68">
            <v>0.92700000000000005</v>
          </cell>
          <cell r="K68">
            <v>0.93</v>
          </cell>
          <cell r="L68">
            <v>0.93200000000000005</v>
          </cell>
          <cell r="M68">
            <v>0.93500000000000005</v>
          </cell>
          <cell r="N68">
            <v>0.93700000000000006</v>
          </cell>
        </row>
        <row r="69">
          <cell r="B69">
            <v>58</v>
          </cell>
          <cell r="C69">
            <v>0.94</v>
          </cell>
          <cell r="D69">
            <v>0.94199999999999995</v>
          </cell>
          <cell r="E69">
            <v>0.94499999999999995</v>
          </cell>
          <cell r="F69">
            <v>0.94699999999999995</v>
          </cell>
          <cell r="G69">
            <v>0.95</v>
          </cell>
          <cell r="H69">
            <v>0.95199999999999996</v>
          </cell>
          <cell r="I69">
            <v>0.95499999999999996</v>
          </cell>
          <cell r="J69">
            <v>0.95699999999999996</v>
          </cell>
          <cell r="K69">
            <v>0.96</v>
          </cell>
          <cell r="L69">
            <v>0.96199999999999997</v>
          </cell>
          <cell r="M69">
            <v>0.96499999999999997</v>
          </cell>
          <cell r="N69">
            <v>0.96699999999999997</v>
          </cell>
        </row>
        <row r="70">
          <cell r="B70">
            <v>59</v>
          </cell>
          <cell r="C70">
            <v>0.97</v>
          </cell>
          <cell r="D70">
            <v>0.97299999999999998</v>
          </cell>
          <cell r="E70">
            <v>0.97499999999999998</v>
          </cell>
          <cell r="F70">
            <v>0.97799999999999998</v>
          </cell>
          <cell r="G70">
            <v>0.98</v>
          </cell>
          <cell r="H70">
            <v>0.98299999999999998</v>
          </cell>
          <cell r="I70">
            <v>0.98599999999999999</v>
          </cell>
          <cell r="J70">
            <v>0.98799999999999999</v>
          </cell>
          <cell r="K70">
            <v>0.99099999999999999</v>
          </cell>
          <cell r="L70">
            <v>0.99299999999999999</v>
          </cell>
          <cell r="M70">
            <v>0.996</v>
          </cell>
          <cell r="N70">
            <v>0.999</v>
          </cell>
        </row>
      </sheetData>
      <sheetData sheetId="10">
        <row r="17">
          <cell r="B17">
            <v>0</v>
          </cell>
          <cell r="C17">
            <v>1</v>
          </cell>
          <cell r="D17">
            <v>0.995</v>
          </cell>
          <cell r="E17">
            <v>0.99099999999999999</v>
          </cell>
          <cell r="F17">
            <v>0.98599999999999999</v>
          </cell>
          <cell r="G17">
            <v>0.98099999999999998</v>
          </cell>
          <cell r="H17">
            <v>0.97699999999999998</v>
          </cell>
          <cell r="I17">
            <v>0.97199999999999998</v>
          </cell>
          <cell r="J17">
            <v>0.96699999999999997</v>
          </cell>
          <cell r="K17">
            <v>0.96299999999999997</v>
          </cell>
          <cell r="L17">
            <v>0.95799999999999996</v>
          </cell>
          <cell r="M17">
            <v>0.95299999999999996</v>
          </cell>
          <cell r="N17">
            <v>0.94899999999999995</v>
          </cell>
        </row>
        <row r="18">
          <cell r="B18">
            <v>1</v>
          </cell>
          <cell r="C18">
            <v>0.94399999999999995</v>
          </cell>
          <cell r="D18">
            <v>0.94</v>
          </cell>
          <cell r="E18">
            <v>0.93600000000000005</v>
          </cell>
          <cell r="F18">
            <v>0.93100000000000005</v>
          </cell>
          <cell r="G18">
            <v>0.92700000000000005</v>
          </cell>
          <cell r="H18">
            <v>0.92300000000000004</v>
          </cell>
          <cell r="I18">
            <v>0.91800000000000004</v>
          </cell>
          <cell r="J18">
            <v>0.91400000000000003</v>
          </cell>
          <cell r="K18">
            <v>0.91</v>
          </cell>
          <cell r="L18">
            <v>0.90600000000000003</v>
          </cell>
          <cell r="M18">
            <v>0.90100000000000002</v>
          </cell>
          <cell r="N18">
            <v>0.89700000000000002</v>
          </cell>
        </row>
        <row r="19">
          <cell r="B19">
            <v>2</v>
          </cell>
          <cell r="C19">
            <v>0.89300000000000002</v>
          </cell>
          <cell r="D19">
            <v>0.88900000000000001</v>
          </cell>
          <cell r="E19">
            <v>0.88500000000000001</v>
          </cell>
          <cell r="F19">
            <v>0.88100000000000001</v>
          </cell>
          <cell r="G19">
            <v>0.877</v>
          </cell>
          <cell r="H19">
            <v>0.873</v>
          </cell>
          <cell r="I19">
            <v>0.86899999999999999</v>
          </cell>
          <cell r="J19">
            <v>0.86499999999999999</v>
          </cell>
          <cell r="K19">
            <v>0.86099999999999999</v>
          </cell>
          <cell r="L19">
            <v>0.85699999999999998</v>
          </cell>
          <cell r="M19">
            <v>0.85299999999999998</v>
          </cell>
          <cell r="N19">
            <v>0.84899999999999998</v>
          </cell>
        </row>
        <row r="20">
          <cell r="B20">
            <v>3</v>
          </cell>
          <cell r="C20">
            <v>0.84499999999999997</v>
          </cell>
          <cell r="D20">
            <v>0.84199999999999997</v>
          </cell>
          <cell r="E20">
            <v>0.83799999999999997</v>
          </cell>
          <cell r="F20">
            <v>0.83399999999999996</v>
          </cell>
          <cell r="G20">
            <v>0.83099999999999996</v>
          </cell>
          <cell r="H20">
            <v>0.82699999999999996</v>
          </cell>
          <cell r="I20">
            <v>0.82299999999999995</v>
          </cell>
          <cell r="J20">
            <v>0.82</v>
          </cell>
          <cell r="K20">
            <v>0.81599999999999995</v>
          </cell>
          <cell r="L20">
            <v>0.81200000000000006</v>
          </cell>
          <cell r="M20">
            <v>0.80900000000000005</v>
          </cell>
          <cell r="N20">
            <v>0.80500000000000005</v>
          </cell>
        </row>
        <row r="21">
          <cell r="B21">
            <v>4</v>
          </cell>
          <cell r="C21">
            <v>0.80200000000000005</v>
          </cell>
          <cell r="D21">
            <v>0.79800000000000004</v>
          </cell>
          <cell r="E21">
            <v>0.79500000000000004</v>
          </cell>
          <cell r="F21">
            <v>0.79100000000000004</v>
          </cell>
          <cell r="G21">
            <v>0.78800000000000003</v>
          </cell>
          <cell r="H21">
            <v>0.78500000000000003</v>
          </cell>
          <cell r="I21">
            <v>0.78100000000000003</v>
          </cell>
          <cell r="J21">
            <v>0.77800000000000002</v>
          </cell>
          <cell r="K21">
            <v>0.77500000000000002</v>
          </cell>
          <cell r="L21">
            <v>0.77100000000000002</v>
          </cell>
          <cell r="M21">
            <v>0.76800000000000002</v>
          </cell>
          <cell r="N21">
            <v>0.76400000000000001</v>
          </cell>
        </row>
        <row r="22">
          <cell r="B22">
            <v>5</v>
          </cell>
          <cell r="C22">
            <v>0.76100000000000001</v>
          </cell>
          <cell r="D22">
            <v>0.75800000000000001</v>
          </cell>
          <cell r="E22">
            <v>0.755</v>
          </cell>
          <cell r="F22">
            <v>0.752</v>
          </cell>
          <cell r="G22">
            <v>0.748</v>
          </cell>
          <cell r="H22">
            <v>0.745</v>
          </cell>
          <cell r="I22">
            <v>0.74199999999999999</v>
          </cell>
          <cell r="J22">
            <v>0.73899999999999999</v>
          </cell>
          <cell r="K22">
            <v>0.73599999999999999</v>
          </cell>
          <cell r="L22">
            <v>0.73299999999999998</v>
          </cell>
          <cell r="M22">
            <v>0.73</v>
          </cell>
          <cell r="N22">
            <v>0.72699999999999998</v>
          </cell>
        </row>
        <row r="23">
          <cell r="B23">
            <v>6</v>
          </cell>
          <cell r="C23">
            <v>0.72299999999999998</v>
          </cell>
          <cell r="D23">
            <v>0.72</v>
          </cell>
          <cell r="E23">
            <v>0.71799999999999997</v>
          </cell>
          <cell r="F23">
            <v>0.71499999999999997</v>
          </cell>
          <cell r="G23">
            <v>0.71199999999999997</v>
          </cell>
          <cell r="H23">
            <v>0.70899999999999996</v>
          </cell>
          <cell r="I23">
            <v>0.70599999999999996</v>
          </cell>
          <cell r="J23">
            <v>0.70299999999999996</v>
          </cell>
          <cell r="K23">
            <v>0.7</v>
          </cell>
          <cell r="L23">
            <v>0.69699999999999995</v>
          </cell>
          <cell r="M23">
            <v>0.69399999999999995</v>
          </cell>
          <cell r="N23">
            <v>0.69099999999999995</v>
          </cell>
        </row>
        <row r="24">
          <cell r="B24">
            <v>7</v>
          </cell>
          <cell r="C24">
            <v>0.68799999999999994</v>
          </cell>
          <cell r="D24">
            <v>0.68600000000000005</v>
          </cell>
          <cell r="E24">
            <v>0.68300000000000005</v>
          </cell>
          <cell r="F24">
            <v>0.68</v>
          </cell>
          <cell r="G24">
            <v>0.67800000000000005</v>
          </cell>
          <cell r="H24">
            <v>0.67500000000000004</v>
          </cell>
          <cell r="I24">
            <v>0.67200000000000004</v>
          </cell>
          <cell r="J24">
            <v>0.66900000000000004</v>
          </cell>
          <cell r="K24">
            <v>0.66700000000000004</v>
          </cell>
          <cell r="L24">
            <v>0.66400000000000003</v>
          </cell>
          <cell r="M24">
            <v>0.66100000000000003</v>
          </cell>
          <cell r="N24">
            <v>0.65900000000000003</v>
          </cell>
        </row>
        <row r="25">
          <cell r="B25">
            <v>8</v>
          </cell>
          <cell r="C25">
            <v>0.65600000000000003</v>
          </cell>
          <cell r="D25">
            <v>0.65300000000000002</v>
          </cell>
          <cell r="E25">
            <v>0.65100000000000002</v>
          </cell>
          <cell r="F25">
            <v>0.64800000000000002</v>
          </cell>
          <cell r="G25">
            <v>0.64600000000000002</v>
          </cell>
          <cell r="H25">
            <v>0.64300000000000002</v>
          </cell>
          <cell r="I25">
            <v>0.64100000000000001</v>
          </cell>
          <cell r="J25">
            <v>0.63800000000000001</v>
          </cell>
          <cell r="K25">
            <v>0.63600000000000001</v>
          </cell>
          <cell r="L25">
            <v>0.63300000000000001</v>
          </cell>
          <cell r="M25">
            <v>0.63100000000000001</v>
          </cell>
          <cell r="N25">
            <v>0.628</v>
          </cell>
        </row>
        <row r="26">
          <cell r="B26">
            <v>9</v>
          </cell>
          <cell r="C26">
            <v>0.625</v>
          </cell>
          <cell r="D26">
            <v>0.623</v>
          </cell>
          <cell r="E26">
            <v>0.621</v>
          </cell>
          <cell r="F26">
            <v>0.61799999999999999</v>
          </cell>
          <cell r="G26">
            <v>0.61599999999999999</v>
          </cell>
          <cell r="H26">
            <v>0.61399999999999999</v>
          </cell>
          <cell r="I26">
            <v>0.61099999999999999</v>
          </cell>
          <cell r="J26">
            <v>0.60899999999999999</v>
          </cell>
          <cell r="K26">
            <v>0.60699999999999998</v>
          </cell>
          <cell r="L26">
            <v>0.60399999999999998</v>
          </cell>
          <cell r="M26">
            <v>0.60199999999999998</v>
          </cell>
          <cell r="N26">
            <v>0.59899999999999998</v>
          </cell>
        </row>
        <row r="27">
          <cell r="B27">
            <v>10</v>
          </cell>
          <cell r="C27">
            <v>0.59699999999999998</v>
          </cell>
          <cell r="D27">
            <v>0.59499999999999997</v>
          </cell>
          <cell r="E27">
            <v>0.59299999999999997</v>
          </cell>
          <cell r="F27">
            <v>0.59</v>
          </cell>
          <cell r="G27">
            <v>0.58799999999999997</v>
          </cell>
          <cell r="H27">
            <v>0.58599999999999997</v>
          </cell>
          <cell r="I27">
            <v>0.58399999999999996</v>
          </cell>
          <cell r="J27">
            <v>0.58199999999999996</v>
          </cell>
          <cell r="K27">
            <v>0.57899999999999996</v>
          </cell>
          <cell r="L27">
            <v>0.57699999999999996</v>
          </cell>
          <cell r="M27">
            <v>0.57499999999999996</v>
          </cell>
          <cell r="N27">
            <v>0.57299999999999995</v>
          </cell>
        </row>
        <row r="28">
          <cell r="B28">
            <v>11</v>
          </cell>
          <cell r="C28">
            <v>0.56999999999999995</v>
          </cell>
          <cell r="D28">
            <v>0.56799999999999995</v>
          </cell>
          <cell r="E28">
            <v>0.56599999999999995</v>
          </cell>
          <cell r="F28">
            <v>0.56399999999999995</v>
          </cell>
          <cell r="G28">
            <v>0.56200000000000006</v>
          </cell>
          <cell r="H28">
            <v>0.56000000000000005</v>
          </cell>
          <cell r="I28">
            <v>0.55800000000000005</v>
          </cell>
          <cell r="J28">
            <v>0.55600000000000005</v>
          </cell>
          <cell r="K28">
            <v>0.55400000000000005</v>
          </cell>
          <cell r="L28">
            <v>0.55200000000000005</v>
          </cell>
          <cell r="M28">
            <v>0.55000000000000004</v>
          </cell>
          <cell r="N28">
            <v>0.54800000000000004</v>
          </cell>
        </row>
        <row r="29">
          <cell r="B29">
            <v>12</v>
          </cell>
          <cell r="C29">
            <v>0.54600000000000004</v>
          </cell>
          <cell r="D29">
            <v>0.54400000000000004</v>
          </cell>
          <cell r="E29">
            <v>0.54200000000000004</v>
          </cell>
          <cell r="F29">
            <v>0.54</v>
          </cell>
          <cell r="G29">
            <v>0.53800000000000003</v>
          </cell>
          <cell r="H29">
            <v>0.53600000000000003</v>
          </cell>
          <cell r="I29">
            <v>0.53400000000000003</v>
          </cell>
          <cell r="J29">
            <v>0.53200000000000003</v>
          </cell>
          <cell r="K29">
            <v>0.53</v>
          </cell>
          <cell r="L29">
            <v>0.52800000000000002</v>
          </cell>
          <cell r="M29">
            <v>0.52600000000000002</v>
          </cell>
          <cell r="N29">
            <v>0.52400000000000002</v>
          </cell>
        </row>
        <row r="44">
          <cell r="B44">
            <v>0</v>
          </cell>
          <cell r="C44">
            <v>1</v>
          </cell>
          <cell r="D44">
            <v>1.0029999999999999</v>
          </cell>
          <cell r="E44">
            <v>1.006</v>
          </cell>
          <cell r="F44">
            <v>1.0089999999999999</v>
          </cell>
          <cell r="G44">
            <v>1.0129999999999999</v>
          </cell>
          <cell r="H44">
            <v>1.016</v>
          </cell>
          <cell r="I44">
            <v>1.0189999999999999</v>
          </cell>
          <cell r="J44">
            <v>1.022</v>
          </cell>
          <cell r="K44">
            <v>1.0249999999999999</v>
          </cell>
          <cell r="L44">
            <v>1.028</v>
          </cell>
          <cell r="M44">
            <v>1.0309999999999999</v>
          </cell>
          <cell r="N44">
            <v>1.034</v>
          </cell>
        </row>
        <row r="45">
          <cell r="B45">
            <v>1</v>
          </cell>
          <cell r="C45">
            <v>1.038</v>
          </cell>
          <cell r="D45">
            <v>1.0409999999999999</v>
          </cell>
          <cell r="E45">
            <v>1.044</v>
          </cell>
          <cell r="F45">
            <v>1.0469999999999999</v>
          </cell>
          <cell r="G45">
            <v>1.05</v>
          </cell>
          <cell r="H45">
            <v>1.054</v>
          </cell>
          <cell r="I45">
            <v>1.0569999999999999</v>
          </cell>
          <cell r="J45">
            <v>1.06</v>
          </cell>
          <cell r="K45">
            <v>1.0629999999999999</v>
          </cell>
          <cell r="L45">
            <v>1.0669999999999999</v>
          </cell>
          <cell r="M45">
            <v>1.07</v>
          </cell>
          <cell r="N45">
            <v>1.073</v>
          </cell>
        </row>
        <row r="46">
          <cell r="B46">
            <v>2</v>
          </cell>
          <cell r="C46">
            <v>1.0760000000000001</v>
          </cell>
          <cell r="D46">
            <v>1.08</v>
          </cell>
          <cell r="E46">
            <v>1.083</v>
          </cell>
          <cell r="F46">
            <v>1.0860000000000001</v>
          </cell>
          <cell r="G46">
            <v>1.0900000000000001</v>
          </cell>
          <cell r="H46">
            <v>1.093</v>
          </cell>
          <cell r="I46">
            <v>1.097</v>
          </cell>
          <cell r="J46">
            <v>1.1000000000000001</v>
          </cell>
          <cell r="K46">
            <v>1.103</v>
          </cell>
          <cell r="L46">
            <v>1.107</v>
          </cell>
          <cell r="M46">
            <v>1.1100000000000001</v>
          </cell>
          <cell r="N46">
            <v>1.113</v>
          </cell>
        </row>
        <row r="47">
          <cell r="B47">
            <v>3</v>
          </cell>
          <cell r="C47">
            <v>1.117</v>
          </cell>
          <cell r="D47">
            <v>1.1200000000000001</v>
          </cell>
          <cell r="E47">
            <v>1.1240000000000001</v>
          </cell>
          <cell r="F47">
            <v>1.127</v>
          </cell>
          <cell r="G47">
            <v>1.131</v>
          </cell>
          <cell r="H47">
            <v>1.1339999999999999</v>
          </cell>
          <cell r="I47">
            <v>1.1379999999999999</v>
          </cell>
          <cell r="J47">
            <v>1.141</v>
          </cell>
          <cell r="K47">
            <v>1.145</v>
          </cell>
          <cell r="L47">
            <v>1.1479999999999999</v>
          </cell>
          <cell r="M47">
            <v>1.1519999999999999</v>
          </cell>
          <cell r="N47">
            <v>1.155</v>
          </cell>
        </row>
        <row r="48">
          <cell r="B48">
            <v>4</v>
          </cell>
          <cell r="C48">
            <v>1.159</v>
          </cell>
          <cell r="D48">
            <v>1.1619999999999999</v>
          </cell>
          <cell r="E48">
            <v>1.1659999999999999</v>
          </cell>
          <cell r="F48">
            <v>1.17</v>
          </cell>
          <cell r="G48">
            <v>1.173</v>
          </cell>
          <cell r="H48">
            <v>1.177</v>
          </cell>
          <cell r="I48">
            <v>1.18</v>
          </cell>
          <cell r="J48">
            <v>1.1839999999999999</v>
          </cell>
          <cell r="K48">
            <v>1.1879999999999999</v>
          </cell>
          <cell r="L48">
            <v>1.1910000000000001</v>
          </cell>
          <cell r="M48">
            <v>1.1950000000000001</v>
          </cell>
          <cell r="N48">
            <v>1.198</v>
          </cell>
        </row>
        <row r="49">
          <cell r="B49">
            <v>5</v>
          </cell>
          <cell r="C49">
            <v>1.202</v>
          </cell>
          <cell r="D49">
            <v>1.206</v>
          </cell>
          <cell r="E49">
            <v>1.21</v>
          </cell>
          <cell r="F49">
            <v>1.2130000000000001</v>
          </cell>
          <cell r="G49">
            <v>1.2170000000000001</v>
          </cell>
          <cell r="H49">
            <v>1.2210000000000001</v>
          </cell>
          <cell r="I49">
            <v>1.2250000000000001</v>
          </cell>
          <cell r="J49">
            <v>1.228</v>
          </cell>
          <cell r="K49">
            <v>1.232</v>
          </cell>
          <cell r="L49">
            <v>1.236</v>
          </cell>
          <cell r="M49">
            <v>1.24</v>
          </cell>
          <cell r="N49">
            <v>1.2430000000000001</v>
          </cell>
        </row>
        <row r="50">
          <cell r="B50">
            <v>6</v>
          </cell>
          <cell r="C50">
            <v>1.2470000000000001</v>
          </cell>
          <cell r="D50">
            <v>1.2509999999999999</v>
          </cell>
          <cell r="E50">
            <v>1.2549999999999999</v>
          </cell>
          <cell r="F50">
            <v>1.2589999999999999</v>
          </cell>
          <cell r="G50">
            <v>1.2629999999999999</v>
          </cell>
          <cell r="H50">
            <v>1.2669999999999999</v>
          </cell>
          <cell r="I50">
            <v>1.2709999999999999</v>
          </cell>
          <cell r="J50">
            <v>1.274</v>
          </cell>
          <cell r="K50">
            <v>1.278</v>
          </cell>
          <cell r="L50">
            <v>1.282</v>
          </cell>
          <cell r="M50">
            <v>1.286</v>
          </cell>
          <cell r="N50">
            <v>1.29</v>
          </cell>
        </row>
        <row r="51">
          <cell r="B51">
            <v>7</v>
          </cell>
          <cell r="C51">
            <v>1.294</v>
          </cell>
          <cell r="D51">
            <v>1.298</v>
          </cell>
          <cell r="E51">
            <v>1.302</v>
          </cell>
          <cell r="F51">
            <v>1.306</v>
          </cell>
          <cell r="G51">
            <v>1.31</v>
          </cell>
          <cell r="H51">
            <v>1.3140000000000001</v>
          </cell>
          <cell r="I51">
            <v>1.3180000000000001</v>
          </cell>
          <cell r="J51">
            <v>1.3220000000000001</v>
          </cell>
          <cell r="K51">
            <v>1.3260000000000001</v>
          </cell>
          <cell r="L51">
            <v>1.33</v>
          </cell>
          <cell r="M51">
            <v>1.3340000000000001</v>
          </cell>
          <cell r="N51">
            <v>1.3380000000000001</v>
          </cell>
        </row>
        <row r="52">
          <cell r="B52">
            <v>8</v>
          </cell>
          <cell r="C52">
            <v>1.3420000000000001</v>
          </cell>
          <cell r="D52">
            <v>1.347</v>
          </cell>
          <cell r="E52">
            <v>1.351</v>
          </cell>
          <cell r="F52">
            <v>1.355</v>
          </cell>
          <cell r="G52">
            <v>1.359</v>
          </cell>
          <cell r="H52">
            <v>1.363</v>
          </cell>
          <cell r="I52">
            <v>1.3680000000000001</v>
          </cell>
          <cell r="J52">
            <v>1.3720000000000001</v>
          </cell>
          <cell r="K52">
            <v>1.3759999999999999</v>
          </cell>
          <cell r="L52">
            <v>1.38</v>
          </cell>
          <cell r="M52">
            <v>1.3839999999999999</v>
          </cell>
          <cell r="N52">
            <v>1.389</v>
          </cell>
        </row>
        <row r="53">
          <cell r="B53">
            <v>9</v>
          </cell>
          <cell r="C53">
            <v>1.393</v>
          </cell>
          <cell r="D53">
            <v>1.397</v>
          </cell>
          <cell r="E53">
            <v>1.4019999999999999</v>
          </cell>
          <cell r="F53">
            <v>1.4059999999999999</v>
          </cell>
          <cell r="G53">
            <v>1.41</v>
          </cell>
          <cell r="H53">
            <v>1.415</v>
          </cell>
          <cell r="I53">
            <v>1.419</v>
          </cell>
          <cell r="J53">
            <v>1.423</v>
          </cell>
          <cell r="K53">
            <v>1.4279999999999999</v>
          </cell>
          <cell r="L53">
            <v>1.4319999999999999</v>
          </cell>
          <cell r="M53">
            <v>1.4359999999999999</v>
          </cell>
          <cell r="N53">
            <v>1.4410000000000001</v>
          </cell>
        </row>
      </sheetData>
      <sheetData sheetId="11">
        <row r="6">
          <cell r="D6">
            <v>54.499657768651609</v>
          </cell>
        </row>
        <row r="7">
          <cell r="D7">
            <v>54</v>
          </cell>
        </row>
        <row r="30">
          <cell r="F30" t="str">
            <v>Tapered</v>
          </cell>
        </row>
        <row r="31">
          <cell r="F31">
            <v>44287</v>
          </cell>
        </row>
      </sheetData>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hyperlink" Target="file:///C:\Users\michaelrae\AppData\Local\Microsoft\Windows\Temporary%20Internet%20Files\Content.Outlook\Content.Outlook\2014\2015%20Factor%20review\Final%20Guidance%20and%20Factors\Existing%20schemes%20guidance\ER_LR\Scotland%20-%2019952008%20Scheme%20-%20ERLR.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file:///C:\Users\michaelrae\AppData\Local\Microsoft\Windows\Temporary%20Internet%20Files\Content.Outlook\Content.Outlook\2014\2015%20Factor%20review\Final%20Guidance%20and%20Factors\2015%20scheme%20guidance\ERLR\Scotland%20-%202015%20Scheme%20-%20ERLR.xlsx"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file:///\\Gad-fpt\fpt\NEW%20DATA\Archive\A2%20DATA\a2clients\Police%20Pensions\0140-00972%20Home%20Office%20Police\Cost%20Ceiling\Pension%20estimator\Pension%20calculator%20v0.30.xls" TargetMode="External"/><Relationship Id="rId13" Type="http://schemas.openxmlformats.org/officeDocument/2006/relationships/hyperlink" Target="file:///\\Gad-fpt\fpt\NEW%20DATA\FPT%20Clients\Police\Scotland\General\Benefits%20Projection%20Calculator\Test%20Cases\Pension%20calculator%20Updated%20v0.8.xls" TargetMode="External"/><Relationship Id="rId18" Type="http://schemas.openxmlformats.org/officeDocument/2006/relationships/hyperlink" Target="file:///\\Gad-fpt\fpt\NEW%20DATA\FPT%20Clients\Police\Scotland\General\Benefits%20Projection%20Calculator\Pension%20calculator%20Updated%20v0.13.xlsm" TargetMode="External"/><Relationship Id="rId26" Type="http://schemas.openxmlformats.org/officeDocument/2006/relationships/printerSettings" Target="../printerSettings/printerSettings2.bin"/><Relationship Id="rId3" Type="http://schemas.openxmlformats.org/officeDocument/2006/relationships/hyperlink" Target="file:///\\Gad-fpt\fpt\NEW%20DATA\Archive\A2%20DATA\a2clients\Police%20Pensions\0140-00972%20Home%20Office%20Police\Cost%20Ceiling\Pension%20estimator\Pension%20calculator%20v0.18.xls" TargetMode="External"/><Relationship Id="rId21" Type="http://schemas.openxmlformats.org/officeDocument/2006/relationships/hyperlink" Target="file:///\\Gad-fpt\fpt\NEW%20DATA\FPT%20Clients\Police\Scotland\General\Benefits%20Projection%20Calculator\Pension%20calculator%20Updated%20v1.1.xlsm" TargetMode="External"/><Relationship Id="rId7" Type="http://schemas.openxmlformats.org/officeDocument/2006/relationships/hyperlink" Target="file:///\\Gad-fpt\fpt\NEW%20DATA\Archive\A2%20DATA\a2clients\Police%20Pensions\0140-00972%20Home%20Office%20Police\Cost%20Ceiling\Pension%20estimator\Pension%20calculator%20v0.29.xls" TargetMode="External"/><Relationship Id="rId12" Type="http://schemas.openxmlformats.org/officeDocument/2006/relationships/hyperlink" Target="file:///\\Gad-fpt\fpt\NEW%20DATA\FPT%20Clients\Police\Scotland\General\Benefits%20Projection%20Calculator\Test%20Cases\Pension%20calculator%20Updated%20v0.7.xls" TargetMode="External"/><Relationship Id="rId17" Type="http://schemas.openxmlformats.org/officeDocument/2006/relationships/hyperlink" Target="file:///\\Gad-fpt\fpt\NEW%20DATA\FPT%20Clients\Police\Scotland\General\Benefits%20Projection%20Calculator\Pension%20calculator%20Updated%20v0.12.xls" TargetMode="External"/><Relationship Id="rId25" Type="http://schemas.openxmlformats.org/officeDocument/2006/relationships/hyperlink" Target="file:///\\Gad-fpt\fpt\NEW%20DATA\FPT%20Clients\Police\Scotland\General\Benefits%20Projection%20Calculator\Pension%20calculator%20Updated%20v1.5.xlsx" TargetMode="External"/><Relationship Id="rId2" Type="http://schemas.openxmlformats.org/officeDocument/2006/relationships/hyperlink" Target="file:///\\Gad-fpt\fpt\NEW%20DATA\Archive\A2%20DATA\a2clients\Police%20Pensions\0140-00972%20Home%20Office%20Police\Cost%20Ceiling\Pension%20estimator\Pension%20calculator%20v0.08.xlsm" TargetMode="External"/><Relationship Id="rId16" Type="http://schemas.openxmlformats.org/officeDocument/2006/relationships/hyperlink" Target="file:///\\Gad-fpt\fpt\NEW%20DATA\FPT%20Clients\Police\Scotland\General\Benefits%20Projection%20Calculator\Pension%20calculator%20Updated%20v0.11.xls" TargetMode="External"/><Relationship Id="rId20" Type="http://schemas.openxmlformats.org/officeDocument/2006/relationships/hyperlink" Target="file:///\\Gad-fpt\fpt\NEW%20DATA\FPT%20Clients\Police\Scotland\General\Benefits%20Projection%20Calculator\161201SPPACalculatorAgreedChanges.docx" TargetMode="External"/><Relationship Id="rId1" Type="http://schemas.openxmlformats.org/officeDocument/2006/relationships/hyperlink" Target="file:///\\Gad-fpt\fpt\NEW%20DATA\Archive\A2%20DATA\a2clients\Police%20Pensions\0140-00972%20Home%20Office%20Police\Cost%20Ceiling\Pension%20estimator\Pension%20calculator%20v0.07.xlsm" TargetMode="External"/><Relationship Id="rId6" Type="http://schemas.openxmlformats.org/officeDocument/2006/relationships/hyperlink" Target="file:///\\Gad-fpt\fpt\NEW%20DATA\Archive\A2%20DATA\a2clients\Police%20Pensions\0140-00972%20Home%20Office%20Police\Cost%20Ceiling\Pension%20estimator\Pension%20calculator%20v0.27.xls" TargetMode="External"/><Relationship Id="rId11" Type="http://schemas.openxmlformats.org/officeDocument/2006/relationships/hyperlink" Target="file:///\\Gad-fpt\fpt\NEW%20DATA\FPT%20Clients\Police\Scotland\General\Benefits%20Projection%20Calculator\Test%20Cases\Pension%20calculator%20Updated%20v0.6.xls" TargetMode="External"/><Relationship Id="rId24" Type="http://schemas.openxmlformats.org/officeDocument/2006/relationships/hyperlink" Target="file:///\\Gad-fpt\fpt\NEW%20DATA\FPT%20Clients\Police\Scotland\General\Benefits%20Projection%20Calculator\Pension%20calculator%20Updated%20v1.4.xlsx" TargetMode="External"/><Relationship Id="rId5" Type="http://schemas.openxmlformats.org/officeDocument/2006/relationships/hyperlink" Target="file:///\\Gad-fpt\fpt\NEW%20DATA\Archive\A2%20DATA\a2clients\Police%20Pensions\0140-00972%20Home%20Office%20Police\Cost%20Ceiling\Pension%20estimator\Pension%20calculator%20v0.26.xls" TargetMode="External"/><Relationship Id="rId15" Type="http://schemas.openxmlformats.org/officeDocument/2006/relationships/hyperlink" Target="file:///\\Gad-fpt\fpt\NEW%20DATA\FPT%20Clients\Police\Scotland\General\Benefits%20Projection%20Calculator\Test%20Cases\Pension%20calculator%20Updated%20v0.10.xls" TargetMode="External"/><Relationship Id="rId23" Type="http://schemas.openxmlformats.org/officeDocument/2006/relationships/hyperlink" Target="file:///\\Gad-fpt\fpt\NEW%20DATA\FPT%20Clients\Police\Scotland\General\Benefits%20Projection%20Calculator\Pension%20calculator%20Updated%20v1.3.xlsm" TargetMode="External"/><Relationship Id="rId10" Type="http://schemas.openxmlformats.org/officeDocument/2006/relationships/hyperlink" Target="file:///\\Gad-fpt\fpt\NEW%20DATA\FPT%20Clients\Police\Scotland\General\Benefits%20Projection%20Calculator\Test%20Cases\Pension%20calculator%20Updated%20v0.5.xls" TargetMode="External"/><Relationship Id="rId19" Type="http://schemas.openxmlformats.org/officeDocument/2006/relationships/hyperlink" Target="file:///\\Gad-fpt\fpt\NEW%20DATA\FPT%20Clients\Police\Scotland\General\Benefits%20Projection%20Calculator\Pension%20calculator%20Updated%20v1.0.xlsm" TargetMode="External"/><Relationship Id="rId4" Type="http://schemas.openxmlformats.org/officeDocument/2006/relationships/hyperlink" Target="file:///\\Gad-fpt\fpt\NEW%20DATA\Archive\A2%20DATA\a2clients\Police%20Pensions\0140-00972%20Home%20Office%20Police\Cost%20Ceiling\Pension%20estimator\Pension%20calculator%20v0.19.xls" TargetMode="External"/><Relationship Id="rId9" Type="http://schemas.openxmlformats.org/officeDocument/2006/relationships/hyperlink" Target="file:///\\Gad-fpt\fpt\NEW%20DATA\FPT%20Clients\Police\Scotland\General\Benefits%20Projection%20Calculator\Test%20Cases\Pension%20calculator%20Updated%20v0.1.xls" TargetMode="External"/><Relationship Id="rId14" Type="http://schemas.openxmlformats.org/officeDocument/2006/relationships/hyperlink" Target="file:///\\Gad-fpt\fpt\NEW%20DATA\FPT%20Clients\Police\Scotland\General\Benefits%20Projection%20Calculator\Test%20Cases\Pension%20calculator%20Updated%20v0.9.xls" TargetMode="External"/><Relationship Id="rId22" Type="http://schemas.openxmlformats.org/officeDocument/2006/relationships/hyperlink" Target="file:///\\Gad-fpt\fpt\NEW%20DATA\FPT%20Clients\Police\Scotland\General\Benefits%20Projection%20Calculator\Pension%20calculator%20Updated%20v1.2.xlsm"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sppa.gov.uk/Documents/NHS/NHS%20Useful%20Resources/NHS%20Calculators/NHS%20Calculator%20FAQ%202018%20v1.0.pdf" TargetMode="External"/><Relationship Id="rId7" Type="http://schemas.openxmlformats.org/officeDocument/2006/relationships/ctrlProp" Target="../ctrlProps/ctrlProp3.xml"/><Relationship Id="rId2" Type="http://schemas.openxmlformats.org/officeDocument/2006/relationships/hyperlink" Target="http://2015.sppa.gov.uk/scheme/nhs" TargetMode="External"/><Relationship Id="rId1" Type="http://schemas.openxmlformats.org/officeDocument/2006/relationships/hyperlink" Target="http://www.sppa.gov.uk/index.php?option=com_content&amp;view=category&amp;id=217&amp;Itemid=558"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hsbsa.nhs.uk/sites/default/files/2017-05/Tapered%20Protection%20calculator%20%28V3%29%2005.2017.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file:///\\gad-fpt\NEW%20DATA\FPT%20Clients\Fire\E\Factors\_FACTORS%20&amp;%20GUIDANCE%20IN%20FORCE\1992%20Scheme\Commutation\1992%20Scheme%20(E,W),%20FPS%202007%20(NI)%20commutation%20guidance%2018March2016.pdf" TargetMode="External"/><Relationship Id="rId1" Type="http://schemas.openxmlformats.org/officeDocument/2006/relationships/hyperlink" Target="file:///\\gad-fpt\NEW%20DATA\FPT%20Clients\Fire\E\Factors\_FACTORS%20&amp;%20GUIDANCE%20IN%20FORCE\1992%20Scheme\Commutation\1992%20Scheme%20(E&amp;W)%20and%20FPS%202007%20(NI)%20-%20Commutation%20on%20retirement%20Factors_18%20March%202016.xls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file:///C:\Users\michaelrae\AppData\Local\Microsoft\Windows\Temporary%20Internet%20Files\Content.Outlook\Content.Outlook\2014\2015%20Factor%20review\Final%20Guidance%20and%20Factors\Existing%20schemes%20guidance\ER_LR\Scotland%20-%2019952008%20Scheme%20-%20ERLR.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67"/>
  <sheetViews>
    <sheetView workbookViewId="0">
      <selection activeCell="B24" sqref="B24:E24"/>
    </sheetView>
  </sheetViews>
  <sheetFormatPr defaultRowHeight="12.75" x14ac:dyDescent="0.2"/>
  <cols>
    <col min="1" max="1" width="20.42578125" style="9" customWidth="1"/>
    <col min="2" max="2" width="130.5703125" style="2" customWidth="1"/>
    <col min="3" max="3" width="9.140625" style="9" customWidth="1"/>
    <col min="4" max="4" width="10.140625" style="9" bestFit="1" customWidth="1"/>
    <col min="5" max="7" width="9.140625" style="9" customWidth="1"/>
    <col min="8" max="8" width="10.140625" style="9" customWidth="1"/>
    <col min="9" max="9" width="11.42578125" style="9" customWidth="1"/>
    <col min="10" max="11" width="9.140625" style="9" customWidth="1"/>
    <col min="12" max="12" width="15.42578125" style="9" bestFit="1" customWidth="1"/>
    <col min="13" max="13" width="21" style="9" bestFit="1" customWidth="1"/>
    <col min="14" max="14" width="9.42578125" style="9" customWidth="1"/>
    <col min="15" max="15" width="9.5703125" style="9" customWidth="1"/>
    <col min="16" max="20" width="13.140625" style="9" customWidth="1"/>
    <col min="21" max="26" width="9.140625" style="9" customWidth="1"/>
    <col min="27" max="27" width="11.42578125" style="9" customWidth="1"/>
    <col min="28" max="28" width="10.140625" style="9" customWidth="1"/>
    <col min="29" max="30" width="9.140625" style="9" customWidth="1"/>
    <col min="31" max="31" width="15.42578125" style="9" bestFit="1" customWidth="1"/>
    <col min="32" max="32" width="21" style="9" bestFit="1" customWidth="1"/>
    <col min="33" max="34" width="9.5703125" style="9" bestFit="1" customWidth="1"/>
    <col min="35" max="35" width="9.5703125" style="9" customWidth="1"/>
    <col min="36" max="38" width="9.140625" style="9" customWidth="1"/>
    <col min="39" max="39" width="12.42578125" style="9" bestFit="1" customWidth="1"/>
    <col min="40" max="45" width="9.140625" style="9" customWidth="1"/>
  </cols>
  <sheetData>
    <row r="1" spans="1:45" ht="20.25" x14ac:dyDescent="0.3">
      <c r="A1" s="4" t="s">
        <v>19</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75" x14ac:dyDescent="0.25">
      <c r="A2" s="5" t="s">
        <v>451</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75" x14ac:dyDescent="0.25">
      <c r="A3" s="76" t="s">
        <v>20</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
      <c r="A4" s="7" t="str">
        <f ca="1">CELL("filename",A1)</f>
        <v>C:\Users\u205538\Downloads\[NHS_Pension_Calculator_v2.3 22 Dec 2020 (6).xlsx]Cover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
      <c r="A5" s="7"/>
      <c r="C5"/>
      <c r="D5"/>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ht="19.5" customHeight="1" x14ac:dyDescent="0.2">
      <c r="A6" s="1" t="s">
        <v>42</v>
      </c>
      <c r="C6"/>
      <c r="D6" s="8"/>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17.25" customHeight="1" x14ac:dyDescent="0.2">
      <c r="A7" s="1" t="s">
        <v>43</v>
      </c>
      <c r="C7"/>
      <c r="D7" s="8"/>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
      <c r="A8"/>
      <c r="C8"/>
      <c r="D8" s="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x14ac:dyDescent="0.2">
      <c r="A9" s="1" t="s">
        <v>11</v>
      </c>
    </row>
    <row r="10" spans="1:45" x14ac:dyDescent="0.2">
      <c r="A10"/>
    </row>
    <row r="11" spans="1:45" x14ac:dyDescent="0.2">
      <c r="A11"/>
      <c r="B11" s="2" t="s">
        <v>90</v>
      </c>
    </row>
    <row r="12" spans="1:45" x14ac:dyDescent="0.2">
      <c r="A12"/>
    </row>
    <row r="13" spans="1:45" x14ac:dyDescent="0.2">
      <c r="A13" s="1" t="s">
        <v>13</v>
      </c>
    </row>
    <row r="14" spans="1:45" x14ac:dyDescent="0.2">
      <c r="A14"/>
    </row>
    <row r="15" spans="1:45" x14ac:dyDescent="0.2">
      <c r="A15" s="1" t="s">
        <v>4</v>
      </c>
      <c r="B15" s="15" t="s">
        <v>5</v>
      </c>
    </row>
    <row r="16" spans="1:45" x14ac:dyDescent="0.2">
      <c r="A16" s="3"/>
      <c r="B16" s="2" t="s">
        <v>39</v>
      </c>
    </row>
    <row r="17" spans="1:2" x14ac:dyDescent="0.2">
      <c r="A17" s="3"/>
    </row>
    <row r="18" spans="1:2" x14ac:dyDescent="0.2">
      <c r="A18" s="3"/>
    </row>
    <row r="19" spans="1:2" x14ac:dyDescent="0.2">
      <c r="A19" s="3"/>
    </row>
    <row r="20" spans="1:2" x14ac:dyDescent="0.2">
      <c r="A20" s="3"/>
    </row>
    <row r="21" spans="1:2" x14ac:dyDescent="0.2">
      <c r="A21" s="3"/>
    </row>
    <row r="22" spans="1:2" x14ac:dyDescent="0.2">
      <c r="A22" s="3"/>
    </row>
    <row r="23" spans="1:2" x14ac:dyDescent="0.2">
      <c r="A23" s="3"/>
    </row>
    <row r="24" spans="1:2" x14ac:dyDescent="0.2">
      <c r="A24" s="3"/>
    </row>
    <row r="25" spans="1:2" x14ac:dyDescent="0.2">
      <c r="A25" s="3"/>
    </row>
    <row r="26" spans="1:2" x14ac:dyDescent="0.2">
      <c r="A26" s="1" t="s">
        <v>40</v>
      </c>
    </row>
    <row r="27" spans="1:2" ht="25.5" x14ac:dyDescent="0.2">
      <c r="A27" s="1"/>
      <c r="B27" s="2" t="s">
        <v>56</v>
      </c>
    </row>
    <row r="28" spans="1:2" x14ac:dyDescent="0.2">
      <c r="A28" s="1"/>
    </row>
    <row r="29" spans="1:2" x14ac:dyDescent="0.2">
      <c r="A29" s="1"/>
    </row>
    <row r="30" spans="1:2" x14ac:dyDescent="0.2">
      <c r="A30" s="1"/>
    </row>
    <row r="31" spans="1:2" x14ac:dyDescent="0.2">
      <c r="A31" s="1"/>
    </row>
    <row r="32" spans="1:2" x14ac:dyDescent="0.2">
      <c r="A32" s="1"/>
    </row>
    <row r="33" spans="1:2" x14ac:dyDescent="0.2">
      <c r="A33" s="1"/>
    </row>
    <row r="34" spans="1:2" x14ac:dyDescent="0.2">
      <c r="A34" s="1"/>
    </row>
    <row r="35" spans="1:2" x14ac:dyDescent="0.2">
      <c r="A35" s="3"/>
    </row>
    <row r="36" spans="1:2" x14ac:dyDescent="0.2">
      <c r="A36" s="1" t="s">
        <v>12</v>
      </c>
    </row>
    <row r="37" spans="1:2" x14ac:dyDescent="0.2">
      <c r="A37"/>
    </row>
    <row r="38" spans="1:2" ht="25.5" x14ac:dyDescent="0.2">
      <c r="A38"/>
      <c r="B38" s="2" t="s">
        <v>18</v>
      </c>
    </row>
    <row r="39" spans="1:2" x14ac:dyDescent="0.2">
      <c r="A39"/>
    </row>
    <row r="40" spans="1:2" x14ac:dyDescent="0.2">
      <c r="A40" s="1" t="s">
        <v>16</v>
      </c>
    </row>
    <row r="41" spans="1:2" x14ac:dyDescent="0.2">
      <c r="A41"/>
    </row>
    <row r="42" spans="1:2" x14ac:dyDescent="0.2">
      <c r="A42" t="s">
        <v>41</v>
      </c>
    </row>
    <row r="43" spans="1:2" x14ac:dyDescent="0.2">
      <c r="A43"/>
      <c r="B43" s="2" t="s">
        <v>17</v>
      </c>
    </row>
    <row r="45" spans="1:2" x14ac:dyDescent="0.2">
      <c r="A45" s="16" t="s">
        <v>21</v>
      </c>
    </row>
    <row r="46" spans="1:2" x14ac:dyDescent="0.2">
      <c r="A46" s="77" t="s">
        <v>23</v>
      </c>
      <c r="B46" s="21" t="s">
        <v>30</v>
      </c>
    </row>
    <row r="47" spans="1:2" x14ac:dyDescent="0.2">
      <c r="A47" s="20" t="s">
        <v>27</v>
      </c>
      <c r="B47" s="21" t="s">
        <v>38</v>
      </c>
    </row>
    <row r="48" spans="1:2" x14ac:dyDescent="0.2">
      <c r="A48" s="17" t="s">
        <v>24</v>
      </c>
      <c r="B48" s="21" t="s">
        <v>37</v>
      </c>
    </row>
    <row r="49" spans="1:2" x14ac:dyDescent="0.2">
      <c r="A49" s="19" t="s">
        <v>26</v>
      </c>
      <c r="B49" s="21" t="s">
        <v>31</v>
      </c>
    </row>
    <row r="50" spans="1:2" x14ac:dyDescent="0.2">
      <c r="A50" s="22" t="s">
        <v>22</v>
      </c>
      <c r="B50" s="21" t="s">
        <v>32</v>
      </c>
    </row>
    <row r="51" spans="1:2" x14ac:dyDescent="0.2">
      <c r="A51" s="23" t="s">
        <v>28</v>
      </c>
      <c r="B51" s="21" t="s">
        <v>34</v>
      </c>
    </row>
    <row r="52" spans="1:2" x14ac:dyDescent="0.2">
      <c r="A52" s="24" t="s">
        <v>29</v>
      </c>
      <c r="B52" s="21" t="s">
        <v>35</v>
      </c>
    </row>
    <row r="53" spans="1:2" x14ac:dyDescent="0.2">
      <c r="A53" s="18" t="s">
        <v>25</v>
      </c>
      <c r="B53" s="21" t="s">
        <v>33</v>
      </c>
    </row>
    <row r="54" spans="1:2" hidden="1" x14ac:dyDescent="0.2">
      <c r="A54" s="25" t="s">
        <v>44</v>
      </c>
    </row>
    <row r="55" spans="1:2" hidden="1" x14ac:dyDescent="0.2">
      <c r="A55" s="25" t="s">
        <v>45</v>
      </c>
    </row>
    <row r="56" spans="1:2" hidden="1" x14ac:dyDescent="0.2">
      <c r="A56" s="25" t="s">
        <v>46</v>
      </c>
    </row>
    <row r="57" spans="1:2" hidden="1" x14ac:dyDescent="0.2">
      <c r="A57" s="26" t="s">
        <v>47</v>
      </c>
    </row>
    <row r="58" spans="1:2" hidden="1" x14ac:dyDescent="0.2">
      <c r="A58" s="26" t="s">
        <v>48</v>
      </c>
    </row>
    <row r="59" spans="1:2" hidden="1" x14ac:dyDescent="0.2">
      <c r="A59" s="26" t="s">
        <v>49</v>
      </c>
    </row>
    <row r="60" spans="1:2" hidden="1" x14ac:dyDescent="0.2">
      <c r="A60" s="26" t="s">
        <v>50</v>
      </c>
    </row>
    <row r="61" spans="1:2" hidden="1" x14ac:dyDescent="0.2">
      <c r="A61" s="26" t="s">
        <v>51</v>
      </c>
    </row>
    <row r="62" spans="1:2" hidden="1" x14ac:dyDescent="0.2">
      <c r="A62" s="26" t="s">
        <v>52</v>
      </c>
    </row>
    <row r="63" spans="1:2" hidden="1" x14ac:dyDescent="0.2">
      <c r="A63" s="26" t="s">
        <v>53</v>
      </c>
    </row>
    <row r="64" spans="1:2" hidden="1" x14ac:dyDescent="0.2">
      <c r="A64" s="26" t="s">
        <v>54</v>
      </c>
    </row>
    <row r="65" spans="1:1" hidden="1" x14ac:dyDescent="0.2">
      <c r="A65" s="26" t="s">
        <v>55</v>
      </c>
    </row>
    <row r="66" spans="1:1" hidden="1" x14ac:dyDescent="0.2">
      <c r="A66" s="25">
        <v>2</v>
      </c>
    </row>
    <row r="67" spans="1:1" hidden="1" x14ac:dyDescent="0.2">
      <c r="A67" s="9">
        <v>7</v>
      </c>
    </row>
  </sheetData>
  <phoneticPr fontId="2" type="noConversion"/>
  <pageMargins left="0.75" right="0.75" top="1" bottom="1" header="0.5" footer="0.5"/>
  <pageSetup paperSize="9" scale="63" orientation="landscape" r:id="rId1"/>
  <headerFooter alignWithMargins="0">
    <oddHeader>&amp;L&amp;Z&amp;F  [&amp;A]</oddHeader>
    <oddFooter>&amp;LPage &amp;P of &amp;N&amp;R&amp;T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lassificationCbo">
              <controlPr defaultSize="0" autoLine="0" autoPict="0" macro="[0]!Classification_Cbo_Change">
                <anchor moveWithCells="1">
                  <from>
                    <xdr:col>1</xdr:col>
                    <xdr:colOff>0</xdr:colOff>
                    <xdr:row>5</xdr:row>
                    <xdr:rowOff>9525</xdr:rowOff>
                  </from>
                  <to>
                    <xdr:col>1</xdr:col>
                    <xdr:colOff>1933575</xdr:colOff>
                    <xdr:row>5</xdr:row>
                    <xdr:rowOff>219075</xdr:rowOff>
                  </to>
                </anchor>
              </controlPr>
            </control>
          </mc:Choice>
        </mc:AlternateContent>
        <mc:AlternateContent xmlns:mc="http://schemas.openxmlformats.org/markup-compatibility/2006">
          <mc:Choice Requires="x14">
            <control shapeId="1026" r:id="rId5" name="DescriptorCbo">
              <controlPr defaultSize="0" autoLine="0" autoPict="0" macro="[0]!Classification_Cbo_Change">
                <anchor moveWithCells="1">
                  <from>
                    <xdr:col>1</xdr:col>
                    <xdr:colOff>0</xdr:colOff>
                    <xdr:row>6</xdr:row>
                    <xdr:rowOff>9525</xdr:rowOff>
                  </from>
                  <to>
                    <xdr:col>1</xdr:col>
                    <xdr:colOff>1933575</xdr:colOff>
                    <xdr:row>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N309"/>
  <sheetViews>
    <sheetView topLeftCell="A37" workbookViewId="0">
      <selection activeCell="B133" sqref="B133"/>
    </sheetView>
  </sheetViews>
  <sheetFormatPr defaultRowHeight="12.75" x14ac:dyDescent="0.2"/>
  <sheetData>
    <row r="1" spans="1:14" ht="20.25" x14ac:dyDescent="0.3">
      <c r="A1" s="13" t="s">
        <v>19</v>
      </c>
      <c r="B1" s="12"/>
      <c r="C1" s="12"/>
      <c r="D1" s="12"/>
      <c r="E1" s="12"/>
      <c r="F1" s="12"/>
      <c r="G1" s="12"/>
      <c r="H1" s="12"/>
      <c r="I1" s="12"/>
    </row>
    <row r="2" spans="1:14" ht="15.75" x14ac:dyDescent="0.25">
      <c r="A2" s="27" t="str">
        <f>IF(title="&gt; Enter workbook title here","Enter workbook title in Cover sheet",title)</f>
        <v>Scottish Fire pension  projection calculator</v>
      </c>
      <c r="B2" s="11"/>
      <c r="C2" s="11"/>
      <c r="D2" s="11"/>
      <c r="E2" s="11"/>
      <c r="F2" s="11"/>
      <c r="G2" s="11"/>
      <c r="H2" s="11"/>
      <c r="I2" s="11"/>
    </row>
    <row r="3" spans="1:14" ht="15.75" x14ac:dyDescent="0.25">
      <c r="A3" s="14" t="s">
        <v>252</v>
      </c>
      <c r="B3" s="11"/>
      <c r="C3" s="11"/>
      <c r="D3" s="11"/>
      <c r="E3" s="11"/>
      <c r="F3" s="11"/>
      <c r="G3" s="11"/>
      <c r="H3" s="11"/>
      <c r="I3" s="11"/>
    </row>
    <row r="4" spans="1:14" x14ac:dyDescent="0.2">
      <c r="A4" s="7" t="str">
        <f ca="1">CELL("filename",A1)</f>
        <v>C:\Users\u205538\Downloads\[NHS_Pension_Calculator_v2.3 22 Dec 2020 (6).xlsx]ERF</v>
      </c>
    </row>
    <row r="6" spans="1:14" x14ac:dyDescent="0.2">
      <c r="B6" s="35" t="s">
        <v>632</v>
      </c>
    </row>
    <row r="10" spans="1:14" x14ac:dyDescent="0.2">
      <c r="B10" s="397" t="s">
        <v>559</v>
      </c>
      <c r="C10" s="398"/>
      <c r="D10" s="398"/>
      <c r="E10" s="398"/>
      <c r="F10" s="398"/>
      <c r="G10" s="398"/>
      <c r="H10" s="398"/>
      <c r="I10" s="398"/>
      <c r="J10" s="398"/>
      <c r="K10" s="398"/>
      <c r="L10" s="398"/>
      <c r="M10" s="398"/>
      <c r="N10" s="398"/>
    </row>
    <row r="11" spans="1:14" x14ac:dyDescent="0.2">
      <c r="B11" s="1" t="s">
        <v>633</v>
      </c>
      <c r="C11" s="398"/>
      <c r="D11" s="398"/>
      <c r="E11" s="398"/>
      <c r="F11" s="398"/>
      <c r="G11" s="398"/>
      <c r="H11" s="398"/>
      <c r="I11" s="398"/>
      <c r="J11" s="398"/>
      <c r="K11" s="398"/>
      <c r="L11" s="398"/>
      <c r="M11" s="398"/>
      <c r="N11" s="398"/>
    </row>
    <row r="12" spans="1:14" x14ac:dyDescent="0.2">
      <c r="B12" s="399" t="s">
        <v>560</v>
      </c>
      <c r="C12" s="398"/>
      <c r="D12" s="398"/>
      <c r="E12" s="398"/>
      <c r="F12" s="398"/>
      <c r="G12" s="398"/>
      <c r="H12" s="398"/>
      <c r="I12" s="398"/>
      <c r="J12" s="398"/>
      <c r="K12" s="398"/>
      <c r="L12" s="398"/>
      <c r="M12" s="398"/>
      <c r="N12" s="398"/>
    </row>
    <row r="13" spans="1:14" x14ac:dyDescent="0.2">
      <c r="B13" s="397" t="s">
        <v>561</v>
      </c>
      <c r="C13" s="398"/>
      <c r="D13" s="398"/>
      <c r="E13" s="398"/>
      <c r="F13" s="398"/>
      <c r="G13" s="398"/>
      <c r="H13" s="398"/>
      <c r="I13" s="398"/>
      <c r="J13" s="398"/>
      <c r="K13" s="398"/>
      <c r="L13" s="398"/>
      <c r="M13" s="398"/>
      <c r="N13" s="398"/>
    </row>
    <row r="14" spans="1:14" ht="13.5" thickBot="1" x14ac:dyDescent="0.25">
      <c r="B14" s="398"/>
      <c r="C14" s="398"/>
      <c r="D14" s="398"/>
      <c r="E14" s="398"/>
      <c r="F14" s="398"/>
      <c r="G14" s="398"/>
      <c r="H14" s="398"/>
      <c r="I14" s="398"/>
      <c r="J14" s="398"/>
      <c r="K14" s="398"/>
      <c r="L14" s="398"/>
      <c r="M14" s="398"/>
      <c r="N14" s="398"/>
    </row>
    <row r="15" spans="1:14" ht="13.5" thickBot="1" x14ac:dyDescent="0.25">
      <c r="B15" s="400" t="s">
        <v>562</v>
      </c>
      <c r="C15" s="401">
        <v>0</v>
      </c>
      <c r="D15" s="401">
        <v>1</v>
      </c>
      <c r="E15" s="401">
        <v>2</v>
      </c>
      <c r="F15" s="401">
        <v>3</v>
      </c>
      <c r="G15" s="401">
        <v>4</v>
      </c>
      <c r="H15" s="401">
        <v>5</v>
      </c>
      <c r="I15" s="401">
        <v>6</v>
      </c>
      <c r="J15" s="401">
        <v>7</v>
      </c>
      <c r="K15" s="401">
        <v>8</v>
      </c>
      <c r="L15" s="401">
        <v>9</v>
      </c>
      <c r="M15" s="401">
        <v>10</v>
      </c>
      <c r="N15" s="401">
        <v>11</v>
      </c>
    </row>
    <row r="16" spans="1:14" ht="13.5" thickBot="1" x14ac:dyDescent="0.25">
      <c r="B16" s="750" t="s">
        <v>563</v>
      </c>
      <c r="C16" s="751"/>
      <c r="D16" s="751"/>
      <c r="E16" s="751"/>
      <c r="F16" s="751"/>
      <c r="G16" s="751"/>
      <c r="H16" s="751"/>
      <c r="I16" s="751"/>
      <c r="J16" s="751"/>
      <c r="K16" s="751"/>
      <c r="L16" s="751"/>
      <c r="M16" s="751"/>
      <c r="N16" s="752"/>
    </row>
    <row r="17" spans="2:14" ht="15.75" thickBot="1" x14ac:dyDescent="0.3">
      <c r="B17" s="402">
        <v>50</v>
      </c>
      <c r="C17" s="403">
        <v>0.63300000000000001</v>
      </c>
      <c r="D17" s="403">
        <v>0.63500000000000001</v>
      </c>
      <c r="E17" s="403">
        <v>0.63700000000000001</v>
      </c>
      <c r="F17" s="403">
        <v>0.64</v>
      </c>
      <c r="G17" s="403">
        <v>0.64200000000000002</v>
      </c>
      <c r="H17" s="403">
        <v>0.64400000000000002</v>
      </c>
      <c r="I17" s="403">
        <v>0.64600000000000002</v>
      </c>
      <c r="J17" s="403">
        <v>0.64800000000000002</v>
      </c>
      <c r="K17" s="403">
        <v>0.65</v>
      </c>
      <c r="L17" s="403">
        <v>0.65300000000000002</v>
      </c>
      <c r="M17" s="403">
        <v>0.65500000000000003</v>
      </c>
      <c r="N17" s="403">
        <v>0.65700000000000003</v>
      </c>
    </row>
    <row r="18" spans="2:14" ht="13.5" thickBot="1" x14ac:dyDescent="0.25">
      <c r="B18" s="402">
        <v>51</v>
      </c>
      <c r="C18" s="404">
        <v>0.65900000000000003</v>
      </c>
      <c r="D18" s="404">
        <v>0.66100000000000003</v>
      </c>
      <c r="E18" s="404">
        <v>0.66400000000000003</v>
      </c>
      <c r="F18" s="404">
        <v>0.66600000000000004</v>
      </c>
      <c r="G18" s="404">
        <v>0.66800000000000004</v>
      </c>
      <c r="H18" s="404">
        <v>0.67100000000000004</v>
      </c>
      <c r="I18" s="404">
        <v>0.67300000000000004</v>
      </c>
      <c r="J18" s="404">
        <v>0.67500000000000004</v>
      </c>
      <c r="K18" s="404">
        <v>0.67800000000000005</v>
      </c>
      <c r="L18" s="404">
        <v>0.68</v>
      </c>
      <c r="M18" s="404">
        <v>0.68200000000000005</v>
      </c>
      <c r="N18" s="404">
        <v>0.68500000000000005</v>
      </c>
    </row>
    <row r="19" spans="2:14" ht="13.5" thickBot="1" x14ac:dyDescent="0.25">
      <c r="B19" s="402">
        <v>52</v>
      </c>
      <c r="C19" s="404">
        <v>0.68700000000000006</v>
      </c>
      <c r="D19" s="404">
        <v>0.69</v>
      </c>
      <c r="E19" s="404">
        <v>0.69199999999999995</v>
      </c>
      <c r="F19" s="404">
        <v>0.69499999999999995</v>
      </c>
      <c r="G19" s="404">
        <v>0.69699999999999995</v>
      </c>
      <c r="H19" s="404">
        <v>0.7</v>
      </c>
      <c r="I19" s="404">
        <v>0.70199999999999996</v>
      </c>
      <c r="J19" s="404">
        <v>0.70499999999999996</v>
      </c>
      <c r="K19" s="404">
        <v>0.70699999999999996</v>
      </c>
      <c r="L19" s="404">
        <v>0.71</v>
      </c>
      <c r="M19" s="404">
        <v>0.71199999999999997</v>
      </c>
      <c r="N19" s="404">
        <v>0.71499999999999997</v>
      </c>
    </row>
    <row r="20" spans="2:14" ht="13.5" thickBot="1" x14ac:dyDescent="0.25">
      <c r="B20" s="402">
        <v>53</v>
      </c>
      <c r="C20" s="404">
        <v>0.71699999999999997</v>
      </c>
      <c r="D20" s="404">
        <v>0.72</v>
      </c>
      <c r="E20" s="404">
        <v>0.72299999999999998</v>
      </c>
      <c r="F20" s="404">
        <v>0.72499999999999998</v>
      </c>
      <c r="G20" s="404">
        <v>0.72799999999999998</v>
      </c>
      <c r="H20" s="404">
        <v>0.73099999999999998</v>
      </c>
      <c r="I20" s="404">
        <v>0.73299999999999998</v>
      </c>
      <c r="J20" s="404">
        <v>0.73599999999999999</v>
      </c>
      <c r="K20" s="404">
        <v>0.73899999999999999</v>
      </c>
      <c r="L20" s="404">
        <v>0.74199999999999999</v>
      </c>
      <c r="M20" s="404">
        <v>0.74399999999999999</v>
      </c>
      <c r="N20" s="404">
        <v>0.747</v>
      </c>
    </row>
    <row r="21" spans="2:14" ht="13.5" thickBot="1" x14ac:dyDescent="0.25">
      <c r="B21" s="402">
        <v>54</v>
      </c>
      <c r="C21" s="404">
        <v>0.75</v>
      </c>
      <c r="D21" s="404">
        <v>0.753</v>
      </c>
      <c r="E21" s="404">
        <v>0.75600000000000001</v>
      </c>
      <c r="F21" s="404">
        <v>0.75900000000000001</v>
      </c>
      <c r="G21" s="404">
        <v>0.76200000000000001</v>
      </c>
      <c r="H21" s="404">
        <v>0.76500000000000001</v>
      </c>
      <c r="I21" s="404">
        <v>0.76800000000000002</v>
      </c>
      <c r="J21" s="404">
        <v>0.77100000000000002</v>
      </c>
      <c r="K21" s="404">
        <v>0.77400000000000002</v>
      </c>
      <c r="L21" s="404">
        <v>0.77700000000000002</v>
      </c>
      <c r="M21" s="404">
        <v>0.78</v>
      </c>
      <c r="N21" s="404">
        <v>0.78300000000000003</v>
      </c>
    </row>
    <row r="22" spans="2:14" ht="13.5" thickBot="1" x14ac:dyDescent="0.25">
      <c r="B22" s="402">
        <v>55</v>
      </c>
      <c r="C22" s="404">
        <v>0.78600000000000003</v>
      </c>
      <c r="D22" s="404">
        <v>0.78900000000000003</v>
      </c>
      <c r="E22" s="404">
        <v>0.79200000000000004</v>
      </c>
      <c r="F22" s="404">
        <v>0.79500000000000004</v>
      </c>
      <c r="G22" s="404">
        <v>0.79800000000000004</v>
      </c>
      <c r="H22" s="404">
        <v>0.80100000000000005</v>
      </c>
      <c r="I22" s="404">
        <v>0.80500000000000005</v>
      </c>
      <c r="J22" s="404">
        <v>0.80800000000000005</v>
      </c>
      <c r="K22" s="404">
        <v>0.81100000000000005</v>
      </c>
      <c r="L22" s="404">
        <v>0.81399999999999995</v>
      </c>
      <c r="M22" s="404">
        <v>0.81699999999999995</v>
      </c>
      <c r="N22" s="404">
        <v>0.82</v>
      </c>
    </row>
    <row r="23" spans="2:14" ht="13.5" thickBot="1" x14ac:dyDescent="0.25">
      <c r="B23" s="402">
        <v>56</v>
      </c>
      <c r="C23" s="404">
        <v>0.82399999999999995</v>
      </c>
      <c r="D23" s="404">
        <v>0.82699999999999996</v>
      </c>
      <c r="E23" s="404">
        <v>0.83</v>
      </c>
      <c r="F23" s="404">
        <v>0.83399999999999996</v>
      </c>
      <c r="G23" s="404">
        <v>0.83699999999999997</v>
      </c>
      <c r="H23" s="404">
        <v>0.84</v>
      </c>
      <c r="I23" s="404">
        <v>0.84399999999999997</v>
      </c>
      <c r="J23" s="404">
        <v>0.84699999999999998</v>
      </c>
      <c r="K23" s="404">
        <v>0.85</v>
      </c>
      <c r="L23" s="404">
        <v>0.85399999999999998</v>
      </c>
      <c r="M23" s="404">
        <v>0.85699999999999998</v>
      </c>
      <c r="N23" s="404">
        <v>0.86</v>
      </c>
    </row>
    <row r="24" spans="2:14" ht="13.5" thickBot="1" x14ac:dyDescent="0.25">
      <c r="B24" s="402">
        <v>57</v>
      </c>
      <c r="C24" s="404">
        <v>0.86399999999999999</v>
      </c>
      <c r="D24" s="404">
        <v>0.86699999999999999</v>
      </c>
      <c r="E24" s="404">
        <v>0.871</v>
      </c>
      <c r="F24" s="404">
        <v>0.875</v>
      </c>
      <c r="G24" s="404">
        <v>0.878</v>
      </c>
      <c r="H24" s="404">
        <v>0.88200000000000001</v>
      </c>
      <c r="I24" s="404">
        <v>0.88500000000000001</v>
      </c>
      <c r="J24" s="404">
        <v>0.88900000000000001</v>
      </c>
      <c r="K24" s="404">
        <v>0.89200000000000002</v>
      </c>
      <c r="L24" s="404">
        <v>0.89600000000000002</v>
      </c>
      <c r="M24" s="404">
        <v>0.9</v>
      </c>
      <c r="N24" s="404">
        <v>0.90300000000000002</v>
      </c>
    </row>
    <row r="25" spans="2:14" ht="13.5" thickBot="1" x14ac:dyDescent="0.25">
      <c r="B25" s="402">
        <v>58</v>
      </c>
      <c r="C25" s="404">
        <v>0.90700000000000003</v>
      </c>
      <c r="D25" s="404">
        <v>0.91100000000000003</v>
      </c>
      <c r="E25" s="404">
        <v>0.91500000000000004</v>
      </c>
      <c r="F25" s="404">
        <v>0.91800000000000004</v>
      </c>
      <c r="G25" s="404">
        <v>0.92200000000000004</v>
      </c>
      <c r="H25" s="404">
        <v>0.92600000000000005</v>
      </c>
      <c r="I25" s="404">
        <v>0.93</v>
      </c>
      <c r="J25" s="404">
        <v>0.93400000000000005</v>
      </c>
      <c r="K25" s="404">
        <v>0.93799999999999994</v>
      </c>
      <c r="L25" s="404">
        <v>0.94099999999999995</v>
      </c>
      <c r="M25" s="404">
        <v>0.94499999999999995</v>
      </c>
      <c r="N25" s="404">
        <v>0.94899999999999995</v>
      </c>
    </row>
    <row r="26" spans="2:14" ht="13.5" thickBot="1" x14ac:dyDescent="0.25">
      <c r="B26" s="402">
        <v>59</v>
      </c>
      <c r="C26" s="404">
        <v>0.95299999999999996</v>
      </c>
      <c r="D26" s="404">
        <v>0.95699999999999996</v>
      </c>
      <c r="E26" s="404">
        <v>0.96099999999999997</v>
      </c>
      <c r="F26" s="404">
        <v>0.96499999999999997</v>
      </c>
      <c r="G26" s="404">
        <v>0.96899999999999997</v>
      </c>
      <c r="H26" s="404">
        <v>0.97299999999999998</v>
      </c>
      <c r="I26" s="404">
        <v>0.97699999999999998</v>
      </c>
      <c r="J26" s="404">
        <v>0.98199999999999998</v>
      </c>
      <c r="K26" s="404">
        <v>0.98599999999999999</v>
      </c>
      <c r="L26" s="404">
        <v>0.99</v>
      </c>
      <c r="M26" s="404">
        <v>0.99399999999999999</v>
      </c>
      <c r="N26" s="404">
        <v>0.998</v>
      </c>
    </row>
    <row r="27" spans="2:14" x14ac:dyDescent="0.2">
      <c r="B27" s="405"/>
      <c r="C27" s="398"/>
      <c r="D27" s="398"/>
      <c r="E27" s="398"/>
      <c r="F27" s="398"/>
      <c r="G27" s="398"/>
      <c r="H27" s="398"/>
      <c r="I27" s="398"/>
      <c r="J27" s="398"/>
      <c r="K27" s="398"/>
      <c r="L27" s="398"/>
      <c r="M27" s="398"/>
      <c r="N27" s="398"/>
    </row>
    <row r="29" spans="2:14" x14ac:dyDescent="0.2">
      <c r="B29" s="397" t="s">
        <v>564</v>
      </c>
      <c r="C29" s="398"/>
      <c r="D29" s="398"/>
      <c r="E29" s="398"/>
      <c r="F29" s="398"/>
      <c r="G29" s="398"/>
      <c r="H29" s="398"/>
      <c r="I29" s="398"/>
      <c r="J29" s="398"/>
      <c r="K29" s="398"/>
      <c r="L29" s="398"/>
      <c r="M29" s="398"/>
      <c r="N29" s="398"/>
    </row>
    <row r="30" spans="2:14" x14ac:dyDescent="0.2">
      <c r="B30" s="1" t="s">
        <v>633</v>
      </c>
      <c r="C30" s="398"/>
      <c r="D30" s="398"/>
      <c r="E30" s="398"/>
      <c r="F30" s="398"/>
      <c r="G30" s="398"/>
      <c r="H30" s="398"/>
      <c r="I30" s="398"/>
      <c r="J30" s="398"/>
      <c r="K30" s="398"/>
      <c r="L30" s="398"/>
      <c r="M30" s="398"/>
      <c r="N30" s="398"/>
    </row>
    <row r="31" spans="2:14" x14ac:dyDescent="0.2">
      <c r="B31" s="399" t="s">
        <v>560</v>
      </c>
      <c r="C31" s="398"/>
      <c r="D31" s="398"/>
      <c r="E31" s="398"/>
      <c r="F31" s="398"/>
      <c r="G31" s="398"/>
      <c r="H31" s="398"/>
      <c r="I31" s="398"/>
      <c r="J31" s="398"/>
      <c r="K31" s="398"/>
      <c r="L31" s="398"/>
      <c r="M31" s="398"/>
      <c r="N31" s="398"/>
    </row>
    <row r="32" spans="2:14" x14ac:dyDescent="0.2">
      <c r="B32" s="397" t="s">
        <v>565</v>
      </c>
      <c r="C32" s="398"/>
      <c r="D32" s="398"/>
      <c r="E32" s="398"/>
      <c r="F32" s="398"/>
      <c r="G32" s="398"/>
      <c r="H32" s="398"/>
      <c r="I32" s="398"/>
      <c r="J32" s="398"/>
      <c r="K32" s="398"/>
      <c r="L32" s="398"/>
      <c r="M32" s="398"/>
      <c r="N32" s="398"/>
    </row>
    <row r="33" spans="2:14" ht="13.5" thickBot="1" x14ac:dyDescent="0.25">
      <c r="B33" s="397"/>
      <c r="C33" s="398"/>
      <c r="D33" s="398"/>
      <c r="E33" s="398"/>
      <c r="F33" s="398"/>
      <c r="G33" s="398"/>
      <c r="H33" s="398"/>
      <c r="I33" s="398"/>
      <c r="J33" s="398"/>
      <c r="K33" s="398"/>
      <c r="L33" s="398"/>
      <c r="M33" s="398"/>
      <c r="N33" s="398"/>
    </row>
    <row r="34" spans="2:14" ht="13.5" thickBot="1" x14ac:dyDescent="0.25">
      <c r="B34" s="400" t="s">
        <v>562</v>
      </c>
      <c r="C34" s="401">
        <v>0</v>
      </c>
      <c r="D34" s="401">
        <v>1</v>
      </c>
      <c r="E34" s="401">
        <v>2</v>
      </c>
      <c r="F34" s="401">
        <v>3</v>
      </c>
      <c r="G34" s="401">
        <v>4</v>
      </c>
      <c r="H34" s="401">
        <v>5</v>
      </c>
      <c r="I34" s="401">
        <v>6</v>
      </c>
      <c r="J34" s="401">
        <v>7</v>
      </c>
      <c r="K34" s="401">
        <v>8</v>
      </c>
      <c r="L34" s="401">
        <v>9</v>
      </c>
      <c r="M34" s="401">
        <v>10</v>
      </c>
      <c r="N34" s="401">
        <v>11</v>
      </c>
    </row>
    <row r="35" spans="2:14" ht="13.5" thickBot="1" x14ac:dyDescent="0.25">
      <c r="B35" s="750" t="s">
        <v>563</v>
      </c>
      <c r="C35" s="751"/>
      <c r="D35" s="751"/>
      <c r="E35" s="751"/>
      <c r="F35" s="751"/>
      <c r="G35" s="751"/>
      <c r="H35" s="751"/>
      <c r="I35" s="751"/>
      <c r="J35" s="751"/>
      <c r="K35" s="751"/>
      <c r="L35" s="751"/>
      <c r="M35" s="751"/>
      <c r="N35" s="752"/>
    </row>
    <row r="36" spans="2:14" ht="15.75" thickBot="1" x14ac:dyDescent="0.3">
      <c r="B36" s="406" t="s">
        <v>566</v>
      </c>
      <c r="C36" s="403"/>
      <c r="D36" s="403"/>
      <c r="E36" s="403"/>
      <c r="F36" s="403"/>
      <c r="G36" s="403"/>
      <c r="H36" s="403"/>
      <c r="I36" s="403"/>
      <c r="J36" s="403"/>
      <c r="K36" s="403"/>
      <c r="L36" s="403"/>
      <c r="M36" s="403"/>
      <c r="N36" s="403"/>
    </row>
    <row r="37" spans="2:14" ht="13.5" thickBot="1" x14ac:dyDescent="0.25">
      <c r="B37" s="402">
        <v>50</v>
      </c>
      <c r="C37" s="407">
        <v>0.48499999999999999</v>
      </c>
      <c r="D37" s="407">
        <v>0.48599999999999999</v>
      </c>
      <c r="E37" s="407">
        <v>0.48799999999999999</v>
      </c>
      <c r="F37" s="407">
        <v>0.49</v>
      </c>
      <c r="G37" s="407">
        <v>0.49099999999999999</v>
      </c>
      <c r="H37" s="407">
        <v>0.49299999999999999</v>
      </c>
      <c r="I37" s="407">
        <v>0.495</v>
      </c>
      <c r="J37" s="407">
        <v>0.496</v>
      </c>
      <c r="K37" s="407">
        <v>0.498</v>
      </c>
      <c r="L37" s="407">
        <v>0.5</v>
      </c>
      <c r="M37" s="407">
        <v>0.501</v>
      </c>
      <c r="N37" s="407">
        <v>0.503</v>
      </c>
    </row>
    <row r="38" spans="2:14" ht="13.5" thickBot="1" x14ac:dyDescent="0.25">
      <c r="B38" s="402">
        <v>51</v>
      </c>
      <c r="C38" s="407">
        <v>0.505</v>
      </c>
      <c r="D38" s="407">
        <v>0.50600000000000001</v>
      </c>
      <c r="E38" s="407">
        <v>0.50800000000000001</v>
      </c>
      <c r="F38" s="407">
        <v>0.51</v>
      </c>
      <c r="G38" s="407">
        <v>0.51200000000000001</v>
      </c>
      <c r="H38" s="407">
        <v>0.51400000000000001</v>
      </c>
      <c r="I38" s="407">
        <v>0.51500000000000001</v>
      </c>
      <c r="J38" s="407">
        <v>0.51700000000000002</v>
      </c>
      <c r="K38" s="407">
        <v>0.51900000000000002</v>
      </c>
      <c r="L38" s="407">
        <v>0.52100000000000002</v>
      </c>
      <c r="M38" s="407">
        <v>0.52200000000000002</v>
      </c>
      <c r="N38" s="407">
        <v>0.52400000000000002</v>
      </c>
    </row>
    <row r="39" spans="2:14" ht="13.5" thickBot="1" x14ac:dyDescent="0.25">
      <c r="B39" s="402">
        <v>52</v>
      </c>
      <c r="C39" s="407">
        <v>0.52600000000000002</v>
      </c>
      <c r="D39" s="407">
        <v>0.52800000000000002</v>
      </c>
      <c r="E39" s="407">
        <v>0.53</v>
      </c>
      <c r="F39" s="407">
        <v>0.53200000000000003</v>
      </c>
      <c r="G39" s="407">
        <v>0.53400000000000003</v>
      </c>
      <c r="H39" s="407">
        <v>0.53600000000000003</v>
      </c>
      <c r="I39" s="407">
        <v>0.53800000000000003</v>
      </c>
      <c r="J39" s="407">
        <v>0.53900000000000003</v>
      </c>
      <c r="K39" s="407">
        <v>0.54100000000000004</v>
      </c>
      <c r="L39" s="407">
        <v>0.54300000000000004</v>
      </c>
      <c r="M39" s="407">
        <v>0.54500000000000004</v>
      </c>
      <c r="N39" s="407">
        <v>0.54700000000000004</v>
      </c>
    </row>
    <row r="40" spans="2:14" ht="13.5" thickBot="1" x14ac:dyDescent="0.25">
      <c r="B40" s="402">
        <v>53</v>
      </c>
      <c r="C40" s="407">
        <v>0.54900000000000004</v>
      </c>
      <c r="D40" s="407">
        <v>0.55100000000000005</v>
      </c>
      <c r="E40" s="407">
        <v>0.55300000000000005</v>
      </c>
      <c r="F40" s="407">
        <v>0.55500000000000005</v>
      </c>
      <c r="G40" s="407">
        <v>0.55700000000000005</v>
      </c>
      <c r="H40" s="407">
        <v>0.55900000000000005</v>
      </c>
      <c r="I40" s="407">
        <v>0.56200000000000006</v>
      </c>
      <c r="J40" s="407">
        <v>0.56399999999999995</v>
      </c>
      <c r="K40" s="407">
        <v>0.56599999999999995</v>
      </c>
      <c r="L40" s="407">
        <v>0.56799999999999995</v>
      </c>
      <c r="M40" s="407">
        <v>0.56999999999999995</v>
      </c>
      <c r="N40" s="407">
        <v>0.57199999999999995</v>
      </c>
    </row>
    <row r="41" spans="2:14" ht="13.5" thickBot="1" x14ac:dyDescent="0.25">
      <c r="B41" s="402">
        <v>54</v>
      </c>
      <c r="C41" s="407">
        <v>0.57399999999999995</v>
      </c>
      <c r="D41" s="407">
        <v>0.57599999999999996</v>
      </c>
      <c r="E41" s="407">
        <v>0.57899999999999996</v>
      </c>
      <c r="F41" s="407">
        <v>0.58099999999999996</v>
      </c>
      <c r="G41" s="407">
        <v>0.58299999999999996</v>
      </c>
      <c r="H41" s="407">
        <v>0.58499999999999996</v>
      </c>
      <c r="I41" s="407">
        <v>0.58799999999999997</v>
      </c>
      <c r="J41" s="407">
        <v>0.59</v>
      </c>
      <c r="K41" s="407">
        <v>0.59199999999999997</v>
      </c>
      <c r="L41" s="407">
        <v>0.59499999999999997</v>
      </c>
      <c r="M41" s="407">
        <v>0.59699999999999998</v>
      </c>
      <c r="N41" s="407">
        <v>0.59899999999999998</v>
      </c>
    </row>
    <row r="42" spans="2:14" ht="13.5" thickBot="1" x14ac:dyDescent="0.25">
      <c r="B42" s="402">
        <v>55</v>
      </c>
      <c r="C42" s="404">
        <v>0.60099999999999998</v>
      </c>
      <c r="D42" s="404">
        <v>0.60399999999999998</v>
      </c>
      <c r="E42" s="404">
        <v>0.60599999999999998</v>
      </c>
      <c r="F42" s="404">
        <v>0.60899999999999999</v>
      </c>
      <c r="G42" s="404">
        <v>0.61099999999999999</v>
      </c>
      <c r="H42" s="404">
        <v>0.61399999999999999</v>
      </c>
      <c r="I42" s="404">
        <v>0.61599999999999999</v>
      </c>
      <c r="J42" s="404">
        <v>0.61799999999999999</v>
      </c>
      <c r="K42" s="404">
        <v>0.621</v>
      </c>
      <c r="L42" s="404">
        <v>0.623</v>
      </c>
      <c r="M42" s="404">
        <v>0.626</v>
      </c>
      <c r="N42" s="404">
        <v>0.628</v>
      </c>
    </row>
    <row r="43" spans="2:14" ht="13.5" thickBot="1" x14ac:dyDescent="0.25">
      <c r="B43" s="402">
        <v>56</v>
      </c>
      <c r="C43" s="404">
        <v>0.63</v>
      </c>
      <c r="D43" s="404">
        <v>0.63300000000000001</v>
      </c>
      <c r="E43" s="404">
        <v>0.63600000000000001</v>
      </c>
      <c r="F43" s="404">
        <v>0.63800000000000001</v>
      </c>
      <c r="G43" s="404">
        <v>0.64100000000000001</v>
      </c>
      <c r="H43" s="404">
        <v>0.64300000000000002</v>
      </c>
      <c r="I43" s="404">
        <v>0.64600000000000002</v>
      </c>
      <c r="J43" s="404">
        <v>0.64800000000000002</v>
      </c>
      <c r="K43" s="404">
        <v>0.65100000000000002</v>
      </c>
      <c r="L43" s="404">
        <v>0.65400000000000003</v>
      </c>
      <c r="M43" s="404">
        <v>0.65600000000000003</v>
      </c>
      <c r="N43" s="404">
        <v>0.65900000000000003</v>
      </c>
    </row>
    <row r="44" spans="2:14" ht="13.5" thickBot="1" x14ac:dyDescent="0.25">
      <c r="B44" s="402">
        <v>57</v>
      </c>
      <c r="C44" s="404">
        <v>0.66100000000000003</v>
      </c>
      <c r="D44" s="404">
        <v>0.66400000000000003</v>
      </c>
      <c r="E44" s="404">
        <v>0.66700000000000004</v>
      </c>
      <c r="F44" s="404">
        <v>0.67</v>
      </c>
      <c r="G44" s="404">
        <v>0.67200000000000004</v>
      </c>
      <c r="H44" s="404">
        <v>0.67500000000000004</v>
      </c>
      <c r="I44" s="404">
        <v>0.67800000000000005</v>
      </c>
      <c r="J44" s="404">
        <v>0.68100000000000005</v>
      </c>
      <c r="K44" s="404">
        <v>0.68300000000000005</v>
      </c>
      <c r="L44" s="404">
        <v>0.68600000000000005</v>
      </c>
      <c r="M44" s="404">
        <v>0.68899999999999995</v>
      </c>
      <c r="N44" s="404">
        <v>0.69199999999999995</v>
      </c>
    </row>
    <row r="45" spans="2:14" ht="13.5" thickBot="1" x14ac:dyDescent="0.25">
      <c r="B45" s="402">
        <v>58</v>
      </c>
      <c r="C45" s="404">
        <v>0.69399999999999995</v>
      </c>
      <c r="D45" s="404">
        <v>0.69699999999999995</v>
      </c>
      <c r="E45" s="404">
        <v>0.7</v>
      </c>
      <c r="F45" s="404">
        <v>0.70299999999999996</v>
      </c>
      <c r="G45" s="404">
        <v>0.70599999999999996</v>
      </c>
      <c r="H45" s="404">
        <v>0.70899999999999996</v>
      </c>
      <c r="I45" s="404">
        <v>0.71199999999999997</v>
      </c>
      <c r="J45" s="404">
        <v>0.71499999999999997</v>
      </c>
      <c r="K45" s="404">
        <v>0.71799999999999997</v>
      </c>
      <c r="L45" s="404">
        <v>0.72099999999999997</v>
      </c>
      <c r="M45" s="404">
        <v>0.72399999999999998</v>
      </c>
      <c r="N45" s="404">
        <v>0.72699999999999998</v>
      </c>
    </row>
    <row r="46" spans="2:14" ht="13.5" thickBot="1" x14ac:dyDescent="0.25">
      <c r="B46" s="402">
        <v>59</v>
      </c>
      <c r="C46" s="404">
        <v>0.73</v>
      </c>
      <c r="D46" s="404">
        <v>0.73299999999999998</v>
      </c>
      <c r="E46" s="404">
        <v>0.73599999999999999</v>
      </c>
      <c r="F46" s="404">
        <v>0.73899999999999999</v>
      </c>
      <c r="G46" s="404">
        <v>0.74199999999999999</v>
      </c>
      <c r="H46" s="404">
        <v>0.745</v>
      </c>
      <c r="I46" s="404">
        <v>0.748</v>
      </c>
      <c r="J46" s="404">
        <v>0.752</v>
      </c>
      <c r="K46" s="404">
        <v>0.755</v>
      </c>
      <c r="L46" s="404">
        <v>0.75800000000000001</v>
      </c>
      <c r="M46" s="404">
        <v>0.76100000000000001</v>
      </c>
      <c r="N46" s="404">
        <v>0.76400000000000001</v>
      </c>
    </row>
    <row r="47" spans="2:14" ht="13.5" thickBot="1" x14ac:dyDescent="0.25">
      <c r="B47" s="402">
        <v>60</v>
      </c>
      <c r="C47" s="404">
        <v>0.76700000000000002</v>
      </c>
      <c r="D47" s="404">
        <v>0.77100000000000002</v>
      </c>
      <c r="E47" s="404">
        <v>0.77400000000000002</v>
      </c>
      <c r="F47" s="404">
        <v>0.77700000000000002</v>
      </c>
      <c r="G47" s="404">
        <v>0.78100000000000003</v>
      </c>
      <c r="H47" s="404">
        <v>0.78400000000000003</v>
      </c>
      <c r="I47" s="404">
        <v>0.78700000000000003</v>
      </c>
      <c r="J47" s="404">
        <v>0.79100000000000004</v>
      </c>
      <c r="K47" s="404">
        <v>0.79400000000000004</v>
      </c>
      <c r="L47" s="404">
        <v>0.79700000000000004</v>
      </c>
      <c r="M47" s="404">
        <v>0.80100000000000005</v>
      </c>
      <c r="N47" s="404">
        <v>0.80400000000000005</v>
      </c>
    </row>
    <row r="48" spans="2:14" ht="13.5" thickBot="1" x14ac:dyDescent="0.25">
      <c r="B48" s="402">
        <v>61</v>
      </c>
      <c r="C48" s="404">
        <v>0.80800000000000005</v>
      </c>
      <c r="D48" s="404">
        <v>0.81100000000000005</v>
      </c>
      <c r="E48" s="404">
        <v>0.81499999999999995</v>
      </c>
      <c r="F48" s="404">
        <v>0.81899999999999995</v>
      </c>
      <c r="G48" s="404">
        <v>0.82199999999999995</v>
      </c>
      <c r="H48" s="404">
        <v>0.82599999999999996</v>
      </c>
      <c r="I48" s="404">
        <v>0.82899999999999996</v>
      </c>
      <c r="J48" s="404">
        <v>0.83299999999999996</v>
      </c>
      <c r="K48" s="404">
        <v>0.83699999999999997</v>
      </c>
      <c r="L48" s="404">
        <v>0.84</v>
      </c>
      <c r="M48" s="404">
        <v>0.84399999999999997</v>
      </c>
      <c r="N48" s="404">
        <v>0.84699999999999998</v>
      </c>
    </row>
    <row r="49" spans="2:14" ht="13.5" thickBot="1" x14ac:dyDescent="0.25">
      <c r="B49" s="402">
        <v>62</v>
      </c>
      <c r="C49" s="404">
        <v>0.85099999999999998</v>
      </c>
      <c r="D49" s="404">
        <v>0.85499999999999998</v>
      </c>
      <c r="E49" s="404">
        <v>0.85899999999999999</v>
      </c>
      <c r="F49" s="404">
        <v>0.86299999999999999</v>
      </c>
      <c r="G49" s="404">
        <v>0.86699999999999999</v>
      </c>
      <c r="H49" s="404">
        <v>0.87</v>
      </c>
      <c r="I49" s="404">
        <v>0.874</v>
      </c>
      <c r="J49" s="404">
        <v>0.878</v>
      </c>
      <c r="K49" s="404">
        <v>0.88200000000000001</v>
      </c>
      <c r="L49" s="404">
        <v>0.88600000000000001</v>
      </c>
      <c r="M49" s="404">
        <v>0.89</v>
      </c>
      <c r="N49" s="404">
        <v>0.89400000000000002</v>
      </c>
    </row>
    <row r="50" spans="2:14" ht="13.5" thickBot="1" x14ac:dyDescent="0.25">
      <c r="B50" s="402">
        <v>63</v>
      </c>
      <c r="C50" s="404">
        <v>0.89800000000000002</v>
      </c>
      <c r="D50" s="404">
        <v>0.90200000000000002</v>
      </c>
      <c r="E50" s="404">
        <v>0.90600000000000003</v>
      </c>
      <c r="F50" s="404">
        <v>0.91</v>
      </c>
      <c r="G50" s="404">
        <v>0.91400000000000003</v>
      </c>
      <c r="H50" s="404">
        <v>0.91900000000000004</v>
      </c>
      <c r="I50" s="404">
        <v>0.92300000000000004</v>
      </c>
      <c r="J50" s="404">
        <v>0.92700000000000005</v>
      </c>
      <c r="K50" s="404">
        <v>0.93100000000000005</v>
      </c>
      <c r="L50" s="404">
        <v>0.93500000000000005</v>
      </c>
      <c r="M50" s="404">
        <v>0.94</v>
      </c>
      <c r="N50" s="404">
        <v>0.94399999999999995</v>
      </c>
    </row>
    <row r="51" spans="2:14" ht="13.5" thickBot="1" x14ac:dyDescent="0.25">
      <c r="B51" s="402">
        <v>64</v>
      </c>
      <c r="C51" s="404">
        <v>0.94799999999999995</v>
      </c>
      <c r="D51" s="404">
        <v>0.95299999999999996</v>
      </c>
      <c r="E51" s="404">
        <v>0.95699999999999996</v>
      </c>
      <c r="F51" s="404">
        <v>0.96199999999999997</v>
      </c>
      <c r="G51" s="404">
        <v>0.96599999999999997</v>
      </c>
      <c r="H51" s="404">
        <v>0.97099999999999997</v>
      </c>
      <c r="I51" s="404">
        <v>0.97499999999999998</v>
      </c>
      <c r="J51" s="404">
        <v>0.98</v>
      </c>
      <c r="K51" s="404">
        <v>0.98399999999999999</v>
      </c>
      <c r="L51" s="404">
        <v>0.98899999999999999</v>
      </c>
      <c r="M51" s="404">
        <v>0.99299999999999999</v>
      </c>
      <c r="N51" s="404">
        <v>0.998</v>
      </c>
    </row>
    <row r="52" spans="2:14" x14ac:dyDescent="0.2">
      <c r="B52" s="405"/>
      <c r="C52" s="398"/>
      <c r="D52" s="398"/>
      <c r="E52" s="398"/>
      <c r="F52" s="398"/>
      <c r="G52" s="398"/>
      <c r="H52" s="398"/>
      <c r="I52" s="398"/>
      <c r="J52" s="398"/>
      <c r="K52" s="398"/>
      <c r="L52" s="398"/>
      <c r="M52" s="398"/>
      <c r="N52" s="398"/>
    </row>
    <row r="53" spans="2:14" x14ac:dyDescent="0.2">
      <c r="B53" s="397" t="s">
        <v>568</v>
      </c>
      <c r="C53" s="398"/>
      <c r="D53" s="398"/>
      <c r="E53" s="398"/>
      <c r="F53" s="398"/>
      <c r="G53" s="398"/>
      <c r="H53" s="398"/>
      <c r="I53" s="398"/>
      <c r="J53" s="398"/>
      <c r="K53" s="398"/>
      <c r="L53" s="398"/>
      <c r="M53" s="398"/>
      <c r="N53" s="398"/>
    </row>
    <row r="54" spans="2:14" s="9" customFormat="1" x14ac:dyDescent="0.2">
      <c r="B54" s="1" t="s">
        <v>633</v>
      </c>
      <c r="C54" s="398"/>
      <c r="D54" s="398"/>
      <c r="E54" s="398"/>
      <c r="F54" s="398"/>
      <c r="G54" s="398"/>
      <c r="H54" s="398"/>
      <c r="I54" s="398"/>
      <c r="J54" s="398"/>
      <c r="K54" s="398"/>
      <c r="L54" s="398"/>
      <c r="M54" s="398"/>
      <c r="N54" s="398"/>
    </row>
    <row r="55" spans="2:14" s="9" customFormat="1" x14ac:dyDescent="0.2">
      <c r="B55" s="399" t="s">
        <v>560</v>
      </c>
      <c r="C55" s="398"/>
      <c r="D55" s="398"/>
      <c r="E55" s="398"/>
      <c r="F55" s="398"/>
      <c r="G55" s="398"/>
      <c r="H55" s="398"/>
      <c r="I55" s="398"/>
      <c r="J55" s="398"/>
      <c r="K55" s="398"/>
      <c r="L55" s="398"/>
      <c r="M55" s="398"/>
      <c r="N55" s="398"/>
    </row>
    <row r="56" spans="2:14" s="9" customFormat="1" x14ac:dyDescent="0.2">
      <c r="B56" s="399" t="s">
        <v>561</v>
      </c>
      <c r="C56" s="398"/>
      <c r="D56" s="398"/>
      <c r="E56" s="398"/>
      <c r="F56" s="398"/>
      <c r="G56" s="398"/>
      <c r="H56" s="398"/>
      <c r="I56" s="398"/>
      <c r="J56" s="398"/>
      <c r="K56" s="398"/>
      <c r="L56" s="398"/>
      <c r="M56" s="398"/>
      <c r="N56" s="398"/>
    </row>
    <row r="57" spans="2:14" s="9" customFormat="1" ht="13.5" thickBot="1" x14ac:dyDescent="0.25">
      <c r="B57" s="398"/>
      <c r="C57" s="398"/>
      <c r="D57" s="398"/>
      <c r="E57" s="398"/>
      <c r="F57" s="398"/>
      <c r="G57" s="398"/>
      <c r="H57" s="398"/>
      <c r="I57" s="398"/>
      <c r="J57" s="398"/>
      <c r="K57" s="398"/>
      <c r="L57" s="398"/>
      <c r="M57" s="398"/>
      <c r="N57" s="398"/>
    </row>
    <row r="58" spans="2:14" s="9" customFormat="1" ht="13.5" thickBot="1" x14ac:dyDescent="0.25">
      <c r="B58" s="400" t="s">
        <v>569</v>
      </c>
      <c r="C58" s="401">
        <v>0</v>
      </c>
      <c r="D58" s="401">
        <v>1</v>
      </c>
      <c r="E58" s="401">
        <v>2</v>
      </c>
      <c r="F58" s="401">
        <v>3</v>
      </c>
      <c r="G58" s="401">
        <v>4</v>
      </c>
      <c r="H58" s="401">
        <v>5</v>
      </c>
      <c r="I58" s="401">
        <v>6</v>
      </c>
      <c r="J58" s="401">
        <v>7</v>
      </c>
      <c r="K58" s="401">
        <v>8</v>
      </c>
      <c r="L58" s="401">
        <v>9</v>
      </c>
      <c r="M58" s="401">
        <v>10</v>
      </c>
      <c r="N58" s="401">
        <v>11</v>
      </c>
    </row>
    <row r="59" spans="2:14" s="9" customFormat="1" ht="13.5" thickBot="1" x14ac:dyDescent="0.25">
      <c r="B59" s="750" t="s">
        <v>570</v>
      </c>
      <c r="C59" s="751"/>
      <c r="D59" s="751"/>
      <c r="E59" s="751"/>
      <c r="F59" s="751"/>
      <c r="G59" s="751"/>
      <c r="H59" s="751"/>
      <c r="I59" s="751"/>
      <c r="J59" s="751"/>
      <c r="K59" s="751"/>
      <c r="L59" s="751"/>
      <c r="M59" s="751"/>
      <c r="N59" s="752"/>
    </row>
    <row r="60" spans="2:14" s="9" customFormat="1" ht="15.75" thickBot="1" x14ac:dyDescent="0.3">
      <c r="B60" s="406" t="s">
        <v>567</v>
      </c>
      <c r="C60" s="403"/>
      <c r="D60" s="403"/>
      <c r="E60" s="403"/>
      <c r="F60" s="403"/>
      <c r="G60" s="403"/>
      <c r="H60" s="403"/>
      <c r="I60" s="403"/>
      <c r="J60" s="403"/>
      <c r="K60" s="403"/>
      <c r="L60" s="403"/>
      <c r="M60" s="403"/>
      <c r="N60" s="403"/>
    </row>
    <row r="61" spans="2:14" s="9" customFormat="1" ht="13.5" thickBot="1" x14ac:dyDescent="0.25">
      <c r="B61" s="402">
        <v>50</v>
      </c>
      <c r="C61" s="404">
        <v>0.73199999999999998</v>
      </c>
      <c r="D61" s="404">
        <v>0.73399999999999999</v>
      </c>
      <c r="E61" s="404">
        <v>0.73599999999999999</v>
      </c>
      <c r="F61" s="404">
        <v>0.73799999999999999</v>
      </c>
      <c r="G61" s="404">
        <v>0.74</v>
      </c>
      <c r="H61" s="404">
        <v>0.74199999999999999</v>
      </c>
      <c r="I61" s="404">
        <v>0.74399999999999999</v>
      </c>
      <c r="J61" s="404">
        <v>0.746</v>
      </c>
      <c r="K61" s="404">
        <v>0.748</v>
      </c>
      <c r="L61" s="404">
        <v>0.75</v>
      </c>
      <c r="M61" s="404">
        <v>0.751</v>
      </c>
      <c r="N61" s="404">
        <v>0.753</v>
      </c>
    </row>
    <row r="62" spans="2:14" s="9" customFormat="1" ht="13.5" thickBot="1" x14ac:dyDescent="0.25">
      <c r="B62" s="402">
        <v>51</v>
      </c>
      <c r="C62" s="404">
        <v>0.755</v>
      </c>
      <c r="D62" s="404">
        <v>0.75700000000000001</v>
      </c>
      <c r="E62" s="404">
        <v>0.75900000000000001</v>
      </c>
      <c r="F62" s="404">
        <v>0.76100000000000001</v>
      </c>
      <c r="G62" s="404">
        <v>0.76300000000000001</v>
      </c>
      <c r="H62" s="404">
        <v>0.76500000000000001</v>
      </c>
      <c r="I62" s="404">
        <v>0.76700000000000002</v>
      </c>
      <c r="J62" s="404">
        <v>0.76900000000000002</v>
      </c>
      <c r="K62" s="404">
        <v>0.77100000000000002</v>
      </c>
      <c r="L62" s="404">
        <v>0.77300000000000002</v>
      </c>
      <c r="M62" s="404">
        <v>0.77500000000000002</v>
      </c>
      <c r="N62" s="404">
        <v>0.77700000000000002</v>
      </c>
    </row>
    <row r="63" spans="2:14" s="9" customFormat="1" ht="13.5" thickBot="1" x14ac:dyDescent="0.25">
      <c r="B63" s="402">
        <v>52</v>
      </c>
      <c r="C63" s="404">
        <v>0.77900000000000003</v>
      </c>
      <c r="D63" s="404">
        <v>0.78100000000000003</v>
      </c>
      <c r="E63" s="404">
        <v>0.78300000000000003</v>
      </c>
      <c r="F63" s="404">
        <v>0.78500000000000003</v>
      </c>
      <c r="G63" s="404">
        <v>0.78700000000000003</v>
      </c>
      <c r="H63" s="404">
        <v>0.78900000000000003</v>
      </c>
      <c r="I63" s="404">
        <v>0.79100000000000004</v>
      </c>
      <c r="J63" s="404">
        <v>0.79300000000000004</v>
      </c>
      <c r="K63" s="404">
        <v>0.79500000000000004</v>
      </c>
      <c r="L63" s="404">
        <v>0.79700000000000004</v>
      </c>
      <c r="M63" s="404">
        <v>0.79900000000000004</v>
      </c>
      <c r="N63" s="404">
        <v>0.80100000000000005</v>
      </c>
    </row>
    <row r="64" spans="2:14" s="9" customFormat="1" ht="13.5" thickBot="1" x14ac:dyDescent="0.25">
      <c r="B64" s="402">
        <v>53</v>
      </c>
      <c r="C64" s="404">
        <v>0.80300000000000005</v>
      </c>
      <c r="D64" s="404">
        <v>0.80500000000000005</v>
      </c>
      <c r="E64" s="404">
        <v>0.80800000000000005</v>
      </c>
      <c r="F64" s="404">
        <v>0.81</v>
      </c>
      <c r="G64" s="404">
        <v>0.81200000000000006</v>
      </c>
      <c r="H64" s="404">
        <v>0.81399999999999995</v>
      </c>
      <c r="I64" s="404">
        <v>0.81599999999999995</v>
      </c>
      <c r="J64" s="404">
        <v>0.81799999999999995</v>
      </c>
      <c r="K64" s="404">
        <v>0.82</v>
      </c>
      <c r="L64" s="404">
        <v>0.82199999999999995</v>
      </c>
      <c r="M64" s="404">
        <v>0.82399999999999995</v>
      </c>
      <c r="N64" s="404">
        <v>0.82699999999999996</v>
      </c>
    </row>
    <row r="65" spans="2:14" s="9" customFormat="1" ht="13.5" thickBot="1" x14ac:dyDescent="0.25">
      <c r="B65" s="402">
        <v>54</v>
      </c>
      <c r="C65" s="404">
        <v>0.82899999999999996</v>
      </c>
      <c r="D65" s="404">
        <v>0.83099999999999996</v>
      </c>
      <c r="E65" s="404">
        <v>0.83299999999999996</v>
      </c>
      <c r="F65" s="404">
        <v>0.83499999999999996</v>
      </c>
      <c r="G65" s="404">
        <v>0.83699999999999997</v>
      </c>
      <c r="H65" s="404">
        <v>0.84</v>
      </c>
      <c r="I65" s="404">
        <v>0.84199999999999997</v>
      </c>
      <c r="J65" s="404">
        <v>0.84399999999999997</v>
      </c>
      <c r="K65" s="404">
        <v>0.84599999999999997</v>
      </c>
      <c r="L65" s="404">
        <v>0.84799999999999998</v>
      </c>
      <c r="M65" s="404">
        <v>0.85099999999999998</v>
      </c>
      <c r="N65" s="404">
        <v>0.85299999999999998</v>
      </c>
    </row>
    <row r="66" spans="2:14" s="9" customFormat="1" ht="13.5" thickBot="1" x14ac:dyDescent="0.25">
      <c r="B66" s="402">
        <v>55</v>
      </c>
      <c r="C66" s="404">
        <v>0.85499999999999998</v>
      </c>
      <c r="D66" s="404">
        <v>0.85699999999999998</v>
      </c>
      <c r="E66" s="404">
        <v>0.85899999999999999</v>
      </c>
      <c r="F66" s="404">
        <v>0.86199999999999999</v>
      </c>
      <c r="G66" s="404">
        <v>0.86399999999999999</v>
      </c>
      <c r="H66" s="404">
        <v>0.86599999999999999</v>
      </c>
      <c r="I66" s="404">
        <v>0.86899999999999999</v>
      </c>
      <c r="J66" s="404">
        <v>0.871</v>
      </c>
      <c r="K66" s="404">
        <v>0.873</v>
      </c>
      <c r="L66" s="404">
        <v>0.875</v>
      </c>
      <c r="M66" s="404">
        <v>0.878</v>
      </c>
      <c r="N66" s="404">
        <v>0.88</v>
      </c>
    </row>
    <row r="67" spans="2:14" s="9" customFormat="1" ht="13.5" thickBot="1" x14ac:dyDescent="0.25">
      <c r="B67" s="402">
        <v>56</v>
      </c>
      <c r="C67" s="404">
        <v>0.88200000000000001</v>
      </c>
      <c r="D67" s="404">
        <v>0.88500000000000001</v>
      </c>
      <c r="E67" s="404">
        <v>0.88700000000000001</v>
      </c>
      <c r="F67" s="404">
        <v>0.88900000000000001</v>
      </c>
      <c r="G67" s="404">
        <v>0.89200000000000002</v>
      </c>
      <c r="H67" s="404">
        <v>0.89400000000000002</v>
      </c>
      <c r="I67" s="404">
        <v>0.89600000000000002</v>
      </c>
      <c r="J67" s="404">
        <v>0.89900000000000002</v>
      </c>
      <c r="K67" s="404">
        <v>0.90100000000000002</v>
      </c>
      <c r="L67" s="404">
        <v>0.90300000000000002</v>
      </c>
      <c r="M67" s="404">
        <v>0.90600000000000003</v>
      </c>
      <c r="N67" s="404">
        <v>0.90800000000000003</v>
      </c>
    </row>
    <row r="68" spans="2:14" s="9" customFormat="1" ht="13.5" thickBot="1" x14ac:dyDescent="0.25">
      <c r="B68" s="402">
        <v>57</v>
      </c>
      <c r="C68" s="404">
        <v>0.91</v>
      </c>
      <c r="D68" s="404">
        <v>0.91300000000000003</v>
      </c>
      <c r="E68" s="404">
        <v>0.91500000000000004</v>
      </c>
      <c r="F68" s="404">
        <v>0.91800000000000004</v>
      </c>
      <c r="G68" s="404">
        <v>0.92</v>
      </c>
      <c r="H68" s="404">
        <v>0.92300000000000004</v>
      </c>
      <c r="I68" s="404">
        <v>0.92500000000000004</v>
      </c>
      <c r="J68" s="404">
        <v>0.92700000000000005</v>
      </c>
      <c r="K68" s="404">
        <v>0.93</v>
      </c>
      <c r="L68" s="404">
        <v>0.93200000000000005</v>
      </c>
      <c r="M68" s="404">
        <v>0.93500000000000005</v>
      </c>
      <c r="N68" s="404">
        <v>0.93700000000000006</v>
      </c>
    </row>
    <row r="69" spans="2:14" s="9" customFormat="1" ht="13.5" thickBot="1" x14ac:dyDescent="0.25">
      <c r="B69" s="402">
        <v>58</v>
      </c>
      <c r="C69" s="404">
        <v>0.94</v>
      </c>
      <c r="D69" s="404">
        <v>0.94199999999999995</v>
      </c>
      <c r="E69" s="404">
        <v>0.94499999999999995</v>
      </c>
      <c r="F69" s="404">
        <v>0.94699999999999995</v>
      </c>
      <c r="G69" s="404">
        <v>0.95</v>
      </c>
      <c r="H69" s="404">
        <v>0.95199999999999996</v>
      </c>
      <c r="I69" s="404">
        <v>0.95499999999999996</v>
      </c>
      <c r="J69" s="404">
        <v>0.95699999999999996</v>
      </c>
      <c r="K69" s="404">
        <v>0.96</v>
      </c>
      <c r="L69" s="404">
        <v>0.96199999999999997</v>
      </c>
      <c r="M69" s="404">
        <v>0.96499999999999997</v>
      </c>
      <c r="N69" s="404">
        <v>0.96699999999999997</v>
      </c>
    </row>
    <row r="70" spans="2:14" s="9" customFormat="1" ht="13.5" thickBot="1" x14ac:dyDescent="0.25">
      <c r="B70" s="402">
        <v>59</v>
      </c>
      <c r="C70" s="404">
        <v>0.97</v>
      </c>
      <c r="D70" s="404">
        <v>0.97299999999999998</v>
      </c>
      <c r="E70" s="404">
        <v>0.97499999999999998</v>
      </c>
      <c r="F70" s="404">
        <v>0.97799999999999998</v>
      </c>
      <c r="G70" s="404">
        <v>0.98</v>
      </c>
      <c r="H70" s="404">
        <v>0.98299999999999998</v>
      </c>
      <c r="I70" s="404">
        <v>0.98599999999999999</v>
      </c>
      <c r="J70" s="404">
        <v>0.98799999999999999</v>
      </c>
      <c r="K70" s="404">
        <v>0.99099999999999999</v>
      </c>
      <c r="L70" s="404">
        <v>0.99299999999999999</v>
      </c>
      <c r="M70" s="404">
        <v>0.996</v>
      </c>
      <c r="N70" s="404">
        <v>0.999</v>
      </c>
    </row>
    <row r="71" spans="2:14" s="9" customFormat="1" x14ac:dyDescent="0.2">
      <c r="B71" s="545"/>
      <c r="C71" s="252"/>
      <c r="D71" s="252"/>
      <c r="E71" s="252"/>
      <c r="F71" s="252"/>
      <c r="G71" s="252"/>
      <c r="H71" s="252"/>
      <c r="I71" s="252"/>
      <c r="J71" s="252"/>
      <c r="K71" s="252"/>
      <c r="L71" s="252"/>
      <c r="M71" s="252"/>
      <c r="N71" s="252"/>
    </row>
    <row r="72" spans="2:14" s="9" customFormat="1" x14ac:dyDescent="0.2">
      <c r="B72" s="545"/>
      <c r="C72" s="252"/>
      <c r="D72" s="252"/>
      <c r="E72" s="252"/>
      <c r="F72" s="252"/>
      <c r="G72" s="252"/>
      <c r="H72" s="252"/>
      <c r="I72" s="252"/>
      <c r="J72" s="252"/>
      <c r="K72" s="252"/>
      <c r="L72" s="252"/>
      <c r="M72" s="252"/>
      <c r="N72" s="252"/>
    </row>
    <row r="73" spans="2:14" s="9" customFormat="1" x14ac:dyDescent="0.2">
      <c r="B73" s="252"/>
      <c r="C73" s="252"/>
      <c r="D73" s="252"/>
      <c r="E73" s="252"/>
      <c r="F73" s="252"/>
      <c r="G73" s="252"/>
      <c r="H73" s="252"/>
      <c r="I73" s="252"/>
      <c r="J73" s="252"/>
      <c r="K73" s="252"/>
      <c r="L73" s="252"/>
      <c r="M73" s="252"/>
      <c r="N73" s="252"/>
    </row>
    <row r="74" spans="2:14" s="9" customFormat="1" x14ac:dyDescent="0.2">
      <c r="B74" s="547"/>
      <c r="C74" s="548"/>
      <c r="D74" s="548"/>
      <c r="E74" s="548"/>
      <c r="F74" s="548"/>
      <c r="G74" s="548"/>
      <c r="H74" s="548"/>
      <c r="I74" s="548"/>
      <c r="J74" s="548"/>
      <c r="K74" s="548"/>
      <c r="L74" s="548"/>
      <c r="M74" s="548"/>
      <c r="N74" s="548"/>
    </row>
    <row r="75" spans="2:14" s="9" customFormat="1" x14ac:dyDescent="0.2">
      <c r="B75" s="753"/>
      <c r="C75" s="753"/>
      <c r="D75" s="753"/>
      <c r="E75" s="753"/>
      <c r="F75" s="753"/>
      <c r="G75" s="753"/>
      <c r="H75" s="753"/>
      <c r="I75" s="753"/>
      <c r="J75" s="753"/>
      <c r="K75" s="753"/>
      <c r="L75" s="753"/>
      <c r="M75" s="753"/>
      <c r="N75" s="753"/>
    </row>
    <row r="76" spans="2:14" s="9" customFormat="1" ht="15" x14ac:dyDescent="0.25">
      <c r="B76" s="547"/>
      <c r="C76" s="549"/>
      <c r="D76" s="549"/>
      <c r="E76" s="549"/>
      <c r="F76" s="549"/>
      <c r="G76" s="549"/>
      <c r="H76" s="549"/>
      <c r="I76" s="549"/>
      <c r="J76" s="549"/>
      <c r="K76" s="549"/>
      <c r="L76" s="549"/>
      <c r="M76" s="549"/>
      <c r="N76" s="549"/>
    </row>
    <row r="77" spans="2:14" s="9" customFormat="1" x14ac:dyDescent="0.2">
      <c r="B77" s="548"/>
      <c r="C77" s="550"/>
      <c r="D77" s="550"/>
      <c r="E77" s="550"/>
      <c r="F77" s="550"/>
      <c r="G77" s="550"/>
      <c r="H77" s="550"/>
      <c r="I77" s="550"/>
      <c r="J77" s="550"/>
      <c r="K77" s="550"/>
      <c r="L77" s="550"/>
      <c r="M77" s="550"/>
      <c r="N77" s="550"/>
    </row>
    <row r="78" spans="2:14" s="9" customFormat="1" x14ac:dyDescent="0.2">
      <c r="B78" s="548"/>
      <c r="C78" s="550"/>
      <c r="D78" s="550"/>
      <c r="E78" s="550"/>
      <c r="F78" s="550"/>
      <c r="G78" s="550"/>
      <c r="H78" s="550"/>
      <c r="I78" s="550"/>
      <c r="J78" s="550"/>
      <c r="K78" s="550"/>
      <c r="L78" s="550"/>
      <c r="M78" s="550"/>
      <c r="N78" s="550"/>
    </row>
    <row r="79" spans="2:14" s="9" customFormat="1" x14ac:dyDescent="0.2">
      <c r="B79" s="548"/>
      <c r="C79" s="550"/>
      <c r="D79" s="550"/>
      <c r="E79" s="550"/>
      <c r="F79" s="550"/>
      <c r="G79" s="550"/>
      <c r="H79" s="550"/>
      <c r="I79" s="550"/>
      <c r="J79" s="550"/>
      <c r="K79" s="550"/>
      <c r="L79" s="550"/>
      <c r="M79" s="550"/>
      <c r="N79" s="550"/>
    </row>
    <row r="80" spans="2:14" s="9" customFormat="1" x14ac:dyDescent="0.2">
      <c r="B80" s="548"/>
      <c r="C80" s="550"/>
      <c r="D80" s="550"/>
      <c r="E80" s="550"/>
      <c r="F80" s="550"/>
      <c r="G80" s="550"/>
      <c r="H80" s="550"/>
      <c r="I80" s="550"/>
      <c r="J80" s="550"/>
      <c r="K80" s="550"/>
      <c r="L80" s="550"/>
      <c r="M80" s="550"/>
      <c r="N80" s="550"/>
    </row>
    <row r="81" spans="2:14" s="9" customFormat="1" x14ac:dyDescent="0.2">
      <c r="B81" s="548"/>
      <c r="C81" s="550"/>
      <c r="D81" s="550"/>
      <c r="E81" s="550"/>
      <c r="F81" s="550"/>
      <c r="G81" s="550"/>
      <c r="H81" s="550"/>
      <c r="I81" s="550"/>
      <c r="J81" s="550"/>
      <c r="K81" s="550"/>
      <c r="L81" s="550"/>
      <c r="M81" s="550"/>
      <c r="N81" s="550"/>
    </row>
    <row r="82" spans="2:14" s="9" customFormat="1" x14ac:dyDescent="0.2">
      <c r="B82" s="551"/>
      <c r="C82" s="252"/>
      <c r="D82" s="252"/>
      <c r="E82" s="252"/>
      <c r="F82" s="252"/>
      <c r="G82" s="252"/>
      <c r="H82" s="252"/>
      <c r="I82" s="252"/>
      <c r="J82" s="252"/>
      <c r="K82" s="252"/>
      <c r="L82" s="252"/>
      <c r="M82" s="252"/>
      <c r="N82" s="252"/>
    </row>
    <row r="83" spans="2:14" s="9" customFormat="1" x14ac:dyDescent="0.2"/>
    <row r="84" spans="2:14" s="9" customFormat="1" x14ac:dyDescent="0.2">
      <c r="B84" s="545"/>
      <c r="C84" s="252"/>
      <c r="D84" s="252"/>
      <c r="E84" s="252"/>
      <c r="F84" s="252"/>
      <c r="G84" s="252"/>
      <c r="H84" s="252"/>
      <c r="I84" s="252"/>
      <c r="J84" s="252"/>
      <c r="K84" s="252"/>
      <c r="L84" s="252"/>
      <c r="M84" s="252"/>
      <c r="N84" s="252"/>
    </row>
    <row r="85" spans="2:14" s="9" customFormat="1" x14ac:dyDescent="0.2">
      <c r="B85" s="16"/>
      <c r="C85" s="252"/>
      <c r="D85" s="252"/>
      <c r="E85" s="252"/>
      <c r="F85" s="252"/>
      <c r="G85" s="252"/>
      <c r="H85" s="252"/>
      <c r="I85" s="252"/>
      <c r="J85" s="252"/>
      <c r="K85" s="252"/>
      <c r="L85" s="252"/>
      <c r="M85" s="252"/>
      <c r="N85" s="252"/>
    </row>
    <row r="86" spans="2:14" s="9" customFormat="1" x14ac:dyDescent="0.2">
      <c r="B86" s="545"/>
      <c r="C86" s="252"/>
      <c r="D86" s="252"/>
      <c r="E86" s="252"/>
      <c r="F86" s="252"/>
      <c r="G86" s="252"/>
      <c r="H86" s="252"/>
      <c r="I86" s="252"/>
      <c r="J86" s="252"/>
      <c r="K86" s="252"/>
      <c r="L86" s="252"/>
      <c r="M86" s="252"/>
      <c r="N86" s="252"/>
    </row>
    <row r="87" spans="2:14" s="9" customFormat="1" x14ac:dyDescent="0.2">
      <c r="B87" s="545"/>
      <c r="C87" s="252"/>
      <c r="D87" s="252"/>
      <c r="E87" s="252"/>
      <c r="F87" s="252"/>
      <c r="G87" s="252"/>
      <c r="H87" s="252"/>
      <c r="I87" s="252"/>
      <c r="J87" s="252"/>
      <c r="K87" s="252"/>
      <c r="L87" s="252"/>
      <c r="M87" s="252"/>
      <c r="N87" s="252"/>
    </row>
    <row r="88" spans="2:14" s="9" customFormat="1" x14ac:dyDescent="0.2">
      <c r="B88" s="252"/>
      <c r="C88" s="252"/>
      <c r="D88" s="252"/>
      <c r="E88" s="252"/>
      <c r="F88" s="252"/>
      <c r="G88" s="252"/>
      <c r="H88" s="252"/>
      <c r="I88" s="252"/>
      <c r="J88" s="252"/>
      <c r="K88" s="252"/>
      <c r="L88" s="252"/>
      <c r="M88" s="252"/>
      <c r="N88" s="252"/>
    </row>
    <row r="89" spans="2:14" s="9" customFormat="1" x14ac:dyDescent="0.2">
      <c r="B89" s="547"/>
      <c r="C89" s="548"/>
      <c r="D89" s="548"/>
      <c r="E89" s="548"/>
      <c r="F89" s="548"/>
      <c r="G89" s="548"/>
      <c r="H89" s="548"/>
      <c r="I89" s="548"/>
      <c r="J89" s="548"/>
      <c r="K89" s="548"/>
      <c r="L89" s="548"/>
      <c r="M89" s="548"/>
      <c r="N89" s="548"/>
    </row>
    <row r="90" spans="2:14" s="9" customFormat="1" x14ac:dyDescent="0.2">
      <c r="B90" s="753"/>
      <c r="C90" s="753"/>
      <c r="D90" s="753"/>
      <c r="E90" s="753"/>
      <c r="F90" s="753"/>
      <c r="G90" s="753"/>
      <c r="H90" s="753"/>
      <c r="I90" s="753"/>
      <c r="J90" s="753"/>
      <c r="K90" s="753"/>
      <c r="L90" s="753"/>
      <c r="M90" s="753"/>
      <c r="N90" s="753"/>
    </row>
    <row r="91" spans="2:14" s="9" customFormat="1" ht="15" x14ac:dyDescent="0.25">
      <c r="B91" s="547"/>
      <c r="C91" s="549"/>
      <c r="D91" s="549"/>
      <c r="E91" s="549"/>
      <c r="F91" s="549"/>
      <c r="G91" s="549"/>
      <c r="H91" s="549"/>
      <c r="I91" s="549"/>
      <c r="J91" s="549"/>
      <c r="K91" s="549"/>
      <c r="L91" s="549"/>
      <c r="M91" s="549"/>
      <c r="N91" s="549"/>
    </row>
    <row r="92" spans="2:14" s="9" customFormat="1" x14ac:dyDescent="0.2">
      <c r="B92" s="548"/>
      <c r="C92" s="550"/>
      <c r="D92" s="550"/>
      <c r="E92" s="550"/>
      <c r="F92" s="550"/>
      <c r="G92" s="550"/>
      <c r="H92" s="550"/>
      <c r="I92" s="550"/>
      <c r="J92" s="550"/>
      <c r="K92" s="550"/>
      <c r="L92" s="550"/>
      <c r="M92" s="550"/>
      <c r="N92" s="550"/>
    </row>
    <row r="93" spans="2:14" s="9" customFormat="1" x14ac:dyDescent="0.2">
      <c r="B93" s="548"/>
      <c r="C93" s="550"/>
      <c r="D93" s="550"/>
      <c r="E93" s="550"/>
      <c r="F93" s="550"/>
      <c r="G93" s="550"/>
      <c r="H93" s="550"/>
      <c r="I93" s="550"/>
      <c r="J93" s="550"/>
      <c r="K93" s="550"/>
      <c r="L93" s="550"/>
      <c r="M93" s="550"/>
      <c r="N93" s="550"/>
    </row>
    <row r="94" spans="2:14" s="9" customFormat="1" x14ac:dyDescent="0.2">
      <c r="B94" s="548"/>
      <c r="C94" s="550"/>
      <c r="D94" s="550"/>
      <c r="E94" s="550"/>
      <c r="F94" s="550"/>
      <c r="G94" s="550"/>
      <c r="H94" s="550"/>
      <c r="I94" s="550"/>
      <c r="J94" s="550"/>
      <c r="K94" s="550"/>
      <c r="L94" s="550"/>
      <c r="M94" s="550"/>
      <c r="N94" s="550"/>
    </row>
    <row r="95" spans="2:14" s="9" customFormat="1" x14ac:dyDescent="0.2">
      <c r="B95" s="548"/>
      <c r="C95" s="550"/>
      <c r="D95" s="550"/>
      <c r="E95" s="550"/>
      <c r="F95" s="550"/>
      <c r="G95" s="550"/>
      <c r="H95" s="550"/>
      <c r="I95" s="550"/>
      <c r="J95" s="550"/>
      <c r="K95" s="550"/>
      <c r="L95" s="550"/>
      <c r="M95" s="550"/>
      <c r="N95" s="550"/>
    </row>
    <row r="96" spans="2:14" s="9" customFormat="1" x14ac:dyDescent="0.2">
      <c r="B96" s="548"/>
      <c r="C96" s="550"/>
      <c r="D96" s="550"/>
      <c r="E96" s="550"/>
      <c r="F96" s="550"/>
      <c r="G96" s="550"/>
      <c r="H96" s="550"/>
      <c r="I96" s="550"/>
      <c r="J96" s="550"/>
      <c r="K96" s="550"/>
      <c r="L96" s="550"/>
      <c r="M96" s="550"/>
      <c r="N96" s="550"/>
    </row>
    <row r="97" spans="2:14" s="9" customFormat="1" x14ac:dyDescent="0.2">
      <c r="B97" s="548"/>
      <c r="C97" s="550"/>
      <c r="D97" s="550"/>
      <c r="E97" s="550"/>
      <c r="F97" s="550"/>
      <c r="G97" s="550"/>
      <c r="H97" s="550"/>
      <c r="I97" s="550"/>
      <c r="J97" s="550"/>
      <c r="K97" s="550"/>
      <c r="L97" s="550"/>
      <c r="M97" s="550"/>
      <c r="N97" s="550"/>
    </row>
    <row r="98" spans="2:14" s="9" customFormat="1" x14ac:dyDescent="0.2">
      <c r="B98" s="548"/>
      <c r="C98" s="550"/>
      <c r="D98" s="550"/>
      <c r="E98" s="550"/>
      <c r="F98" s="550"/>
      <c r="G98" s="550"/>
      <c r="H98" s="550"/>
      <c r="I98" s="550"/>
      <c r="J98" s="550"/>
      <c r="K98" s="550"/>
      <c r="L98" s="550"/>
      <c r="M98" s="550"/>
      <c r="N98" s="550"/>
    </row>
    <row r="99" spans="2:14" s="9" customFormat="1" x14ac:dyDescent="0.2">
      <c r="B99" s="548"/>
      <c r="C99" s="550"/>
      <c r="D99" s="550"/>
      <c r="E99" s="550"/>
      <c r="F99" s="550"/>
      <c r="G99" s="550"/>
      <c r="H99" s="550"/>
      <c r="I99" s="550"/>
      <c r="J99" s="550"/>
      <c r="K99" s="550"/>
      <c r="L99" s="550"/>
      <c r="M99" s="550"/>
      <c r="N99" s="550"/>
    </row>
    <row r="100" spans="2:14" s="9" customFormat="1" x14ac:dyDescent="0.2">
      <c r="B100" s="548"/>
      <c r="C100" s="550"/>
      <c r="D100" s="550"/>
      <c r="E100" s="550"/>
      <c r="F100" s="550"/>
      <c r="G100" s="550"/>
      <c r="H100" s="550"/>
      <c r="I100" s="550"/>
      <c r="J100" s="550"/>
      <c r="K100" s="550"/>
      <c r="L100" s="550"/>
      <c r="M100" s="550"/>
      <c r="N100" s="550"/>
    </row>
    <row r="101" spans="2:14" s="9" customFormat="1" x14ac:dyDescent="0.2">
      <c r="B101" s="548"/>
      <c r="C101" s="550"/>
      <c r="D101" s="550"/>
      <c r="E101" s="550"/>
      <c r="F101" s="550"/>
      <c r="G101" s="550"/>
      <c r="H101" s="550"/>
      <c r="I101" s="550"/>
      <c r="J101" s="550"/>
      <c r="K101" s="550"/>
      <c r="L101" s="550"/>
      <c r="M101" s="550"/>
      <c r="N101" s="550"/>
    </row>
    <row r="102" spans="2:14" s="9" customFormat="1" ht="14.25" x14ac:dyDescent="0.2">
      <c r="B102" s="552"/>
      <c r="C102" s="252"/>
      <c r="D102" s="252"/>
      <c r="E102" s="252"/>
      <c r="F102" s="252"/>
      <c r="G102" s="252"/>
      <c r="H102" s="252"/>
      <c r="I102" s="252"/>
      <c r="J102" s="252"/>
      <c r="K102" s="252"/>
      <c r="L102" s="252"/>
      <c r="M102" s="252"/>
      <c r="N102" s="252"/>
    </row>
    <row r="103" spans="2:14" s="9" customFormat="1" x14ac:dyDescent="0.2"/>
    <row r="104" spans="2:14" s="9" customFormat="1" x14ac:dyDescent="0.2">
      <c r="B104" s="545"/>
      <c r="C104" s="252"/>
      <c r="D104" s="252"/>
      <c r="E104" s="252"/>
      <c r="F104" s="252"/>
      <c r="G104" s="252"/>
      <c r="H104" s="252"/>
      <c r="I104" s="252"/>
      <c r="J104" s="252"/>
      <c r="K104" s="252"/>
      <c r="L104" s="252"/>
      <c r="M104" s="252"/>
      <c r="N104" s="252"/>
    </row>
    <row r="105" spans="2:14" s="9" customFormat="1" x14ac:dyDescent="0.2">
      <c r="B105" s="16"/>
      <c r="C105" s="252"/>
      <c r="D105" s="252"/>
      <c r="E105" s="252"/>
      <c r="F105" s="252"/>
      <c r="G105" s="252"/>
      <c r="H105" s="252"/>
      <c r="I105" s="252"/>
      <c r="J105" s="252"/>
      <c r="K105" s="252"/>
      <c r="L105" s="252"/>
      <c r="M105" s="252"/>
      <c r="N105" s="252"/>
    </row>
    <row r="106" spans="2:14" s="9" customFormat="1" x14ac:dyDescent="0.2">
      <c r="B106" s="545"/>
      <c r="C106" s="252"/>
      <c r="D106" s="252"/>
      <c r="E106" s="252"/>
      <c r="F106" s="252"/>
      <c r="G106" s="252"/>
      <c r="H106" s="252"/>
      <c r="I106" s="252"/>
      <c r="J106" s="252"/>
      <c r="K106" s="252"/>
      <c r="L106" s="252"/>
      <c r="M106" s="252"/>
      <c r="N106" s="252"/>
    </row>
    <row r="107" spans="2:14" s="9" customFormat="1" x14ac:dyDescent="0.2">
      <c r="B107" s="545"/>
      <c r="C107" s="252"/>
      <c r="D107" s="252"/>
      <c r="E107" s="252"/>
      <c r="F107" s="252"/>
      <c r="G107" s="252"/>
      <c r="H107" s="252"/>
      <c r="I107" s="252"/>
      <c r="J107" s="252"/>
      <c r="K107" s="252"/>
      <c r="L107" s="252"/>
      <c r="M107" s="252"/>
      <c r="N107" s="252"/>
    </row>
    <row r="108" spans="2:14" s="9" customFormat="1" x14ac:dyDescent="0.2">
      <c r="B108" s="252"/>
      <c r="C108" s="252"/>
      <c r="D108" s="252"/>
      <c r="E108" s="252"/>
      <c r="F108" s="252"/>
      <c r="G108" s="252"/>
      <c r="H108" s="252"/>
      <c r="I108" s="252"/>
      <c r="J108" s="252"/>
      <c r="K108" s="252"/>
      <c r="L108" s="252"/>
      <c r="M108" s="252"/>
      <c r="N108" s="252"/>
    </row>
    <row r="109" spans="2:14" s="9" customFormat="1" x14ac:dyDescent="0.2">
      <c r="B109" s="547"/>
      <c r="C109" s="548"/>
      <c r="D109" s="548"/>
      <c r="E109" s="548"/>
      <c r="F109" s="548"/>
      <c r="G109" s="548"/>
      <c r="H109" s="548"/>
      <c r="I109" s="548"/>
      <c r="J109" s="548"/>
      <c r="K109" s="548"/>
      <c r="L109" s="548"/>
      <c r="M109" s="548"/>
      <c r="N109" s="548"/>
    </row>
    <row r="110" spans="2:14" s="9" customFormat="1" x14ac:dyDescent="0.2">
      <c r="B110" s="753"/>
      <c r="C110" s="753"/>
      <c r="D110" s="753"/>
      <c r="E110" s="753"/>
      <c r="F110" s="753"/>
      <c r="G110" s="753"/>
      <c r="H110" s="753"/>
      <c r="I110" s="753"/>
      <c r="J110" s="753"/>
      <c r="K110" s="753"/>
      <c r="L110" s="753"/>
      <c r="M110" s="753"/>
      <c r="N110" s="753"/>
    </row>
    <row r="111" spans="2:14" s="9" customFormat="1" ht="15" x14ac:dyDescent="0.25">
      <c r="B111" s="547"/>
      <c r="C111" s="549"/>
      <c r="D111" s="549"/>
      <c r="E111" s="549"/>
      <c r="F111" s="549"/>
      <c r="G111" s="549"/>
      <c r="H111" s="549"/>
      <c r="I111" s="549"/>
      <c r="J111" s="549"/>
      <c r="K111" s="549"/>
      <c r="L111" s="549"/>
      <c r="M111" s="549"/>
      <c r="N111" s="549"/>
    </row>
    <row r="112" spans="2:14" s="9" customFormat="1" x14ac:dyDescent="0.2">
      <c r="B112" s="548"/>
      <c r="C112" s="550"/>
      <c r="D112" s="550"/>
      <c r="E112" s="550"/>
      <c r="F112" s="550"/>
      <c r="G112" s="550"/>
      <c r="H112" s="550"/>
      <c r="I112" s="550"/>
      <c r="J112" s="550"/>
      <c r="K112" s="550"/>
      <c r="L112" s="550"/>
      <c r="M112" s="550"/>
      <c r="N112" s="550"/>
    </row>
    <row r="113" spans="2:14" s="9" customFormat="1" x14ac:dyDescent="0.2">
      <c r="B113" s="548"/>
      <c r="C113" s="550"/>
      <c r="D113" s="550"/>
      <c r="E113" s="550"/>
      <c r="F113" s="550"/>
      <c r="G113" s="550"/>
      <c r="H113" s="550"/>
      <c r="I113" s="550"/>
      <c r="J113" s="550"/>
      <c r="K113" s="550"/>
      <c r="L113" s="550"/>
      <c r="M113" s="550"/>
      <c r="N113" s="550"/>
    </row>
    <row r="114" spans="2:14" s="9" customFormat="1" x14ac:dyDescent="0.2">
      <c r="B114" s="548"/>
      <c r="C114" s="550"/>
      <c r="D114" s="550"/>
      <c r="E114" s="550"/>
      <c r="F114" s="550"/>
      <c r="G114" s="550"/>
      <c r="H114" s="550"/>
      <c r="I114" s="550"/>
      <c r="J114" s="550"/>
      <c r="K114" s="550"/>
      <c r="L114" s="550"/>
      <c r="M114" s="550"/>
      <c r="N114" s="550"/>
    </row>
    <row r="115" spans="2:14" s="9" customFormat="1" x14ac:dyDescent="0.2">
      <c r="B115" s="548"/>
      <c r="C115" s="550"/>
      <c r="D115" s="550"/>
      <c r="E115" s="550"/>
      <c r="F115" s="550"/>
      <c r="G115" s="550"/>
      <c r="H115" s="550"/>
      <c r="I115" s="550"/>
      <c r="J115" s="550"/>
      <c r="K115" s="550"/>
      <c r="L115" s="550"/>
      <c r="M115" s="550"/>
      <c r="N115" s="550"/>
    </row>
    <row r="116" spans="2:14" s="9" customFormat="1" x14ac:dyDescent="0.2">
      <c r="B116" s="548"/>
      <c r="C116" s="550"/>
      <c r="D116" s="550"/>
      <c r="E116" s="550"/>
      <c r="F116" s="550"/>
      <c r="G116" s="550"/>
      <c r="H116" s="550"/>
      <c r="I116" s="550"/>
      <c r="J116" s="550"/>
      <c r="K116" s="550"/>
      <c r="L116" s="550"/>
      <c r="M116" s="550"/>
      <c r="N116" s="550"/>
    </row>
    <row r="117" spans="2:14" s="9" customFormat="1" x14ac:dyDescent="0.2">
      <c r="B117" s="548"/>
      <c r="C117" s="550"/>
      <c r="D117" s="550"/>
      <c r="E117" s="550"/>
      <c r="F117" s="550"/>
      <c r="G117" s="550"/>
      <c r="H117" s="550"/>
      <c r="I117" s="550"/>
      <c r="J117" s="550"/>
      <c r="K117" s="550"/>
      <c r="L117" s="550"/>
      <c r="M117" s="550"/>
      <c r="N117" s="550"/>
    </row>
    <row r="118" spans="2:14" s="9" customFormat="1" x14ac:dyDescent="0.2">
      <c r="B118" s="548"/>
      <c r="C118" s="550"/>
      <c r="D118" s="550"/>
      <c r="E118" s="550"/>
      <c r="F118" s="550"/>
      <c r="G118" s="550"/>
      <c r="H118" s="550"/>
      <c r="I118" s="550"/>
      <c r="J118" s="550"/>
      <c r="K118" s="550"/>
      <c r="L118" s="550"/>
      <c r="M118" s="550"/>
      <c r="N118" s="550"/>
    </row>
    <row r="119" spans="2:14" s="9" customFormat="1" x14ac:dyDescent="0.2">
      <c r="B119" s="548"/>
      <c r="C119" s="550"/>
      <c r="D119" s="550"/>
      <c r="E119" s="550"/>
      <c r="F119" s="550"/>
      <c r="G119" s="550"/>
      <c r="H119" s="550"/>
      <c r="I119" s="550"/>
      <c r="J119" s="550"/>
      <c r="K119" s="550"/>
      <c r="L119" s="550"/>
      <c r="M119" s="550"/>
      <c r="N119" s="550"/>
    </row>
    <row r="120" spans="2:14" s="9" customFormat="1" x14ac:dyDescent="0.2">
      <c r="B120" s="548"/>
      <c r="C120" s="550"/>
      <c r="D120" s="550"/>
      <c r="E120" s="550"/>
      <c r="F120" s="550"/>
      <c r="G120" s="550"/>
      <c r="H120" s="550"/>
      <c r="I120" s="550"/>
      <c r="J120" s="550"/>
      <c r="K120" s="550"/>
      <c r="L120" s="550"/>
      <c r="M120" s="550"/>
      <c r="N120" s="550"/>
    </row>
    <row r="121" spans="2:14" s="9" customFormat="1" x14ac:dyDescent="0.2">
      <c r="B121" s="548"/>
      <c r="C121" s="550"/>
      <c r="D121" s="550"/>
      <c r="E121" s="550"/>
      <c r="F121" s="550"/>
      <c r="G121" s="550"/>
      <c r="H121" s="550"/>
      <c r="I121" s="550"/>
      <c r="J121" s="550"/>
      <c r="K121" s="550"/>
      <c r="L121" s="550"/>
      <c r="M121" s="550"/>
      <c r="N121" s="550"/>
    </row>
    <row r="122" spans="2:14" s="9" customFormat="1" x14ac:dyDescent="0.2">
      <c r="B122" s="548"/>
      <c r="C122" s="550"/>
      <c r="D122" s="550"/>
      <c r="E122" s="550"/>
      <c r="F122" s="550"/>
      <c r="G122" s="550"/>
      <c r="H122" s="550"/>
      <c r="I122" s="550"/>
      <c r="J122" s="550"/>
      <c r="K122" s="550"/>
      <c r="L122" s="550"/>
      <c r="M122" s="550"/>
      <c r="N122" s="550"/>
    </row>
    <row r="123" spans="2:14" s="9" customFormat="1" x14ac:dyDescent="0.2">
      <c r="B123" s="548"/>
      <c r="C123" s="550"/>
      <c r="D123" s="550"/>
      <c r="E123" s="550"/>
      <c r="F123" s="550"/>
      <c r="G123" s="550"/>
      <c r="H123" s="550"/>
      <c r="I123" s="550"/>
      <c r="J123" s="550"/>
      <c r="K123" s="550"/>
      <c r="L123" s="550"/>
      <c r="M123" s="550"/>
      <c r="N123" s="550"/>
    </row>
    <row r="124" spans="2:14" s="9" customFormat="1" x14ac:dyDescent="0.2">
      <c r="B124" s="548"/>
      <c r="C124" s="550"/>
      <c r="D124" s="550"/>
      <c r="E124" s="550"/>
      <c r="F124" s="550"/>
      <c r="G124" s="550"/>
      <c r="H124" s="550"/>
      <c r="I124" s="550"/>
      <c r="J124" s="550"/>
      <c r="K124" s="550"/>
      <c r="L124" s="550"/>
      <c r="M124" s="550"/>
      <c r="N124" s="550"/>
    </row>
    <row r="125" spans="2:14" s="9" customFormat="1" x14ac:dyDescent="0.2">
      <c r="B125" s="548"/>
      <c r="C125" s="550"/>
      <c r="D125" s="550"/>
      <c r="E125" s="550"/>
      <c r="F125" s="550"/>
      <c r="G125" s="550"/>
      <c r="H125" s="550"/>
      <c r="I125" s="550"/>
      <c r="J125" s="550"/>
      <c r="K125" s="550"/>
      <c r="L125" s="550"/>
      <c r="M125" s="550"/>
      <c r="N125" s="550"/>
    </row>
    <row r="126" spans="2:14" s="9" customFormat="1" x14ac:dyDescent="0.2">
      <c r="B126" s="548"/>
      <c r="C126" s="550"/>
      <c r="D126" s="550"/>
      <c r="E126" s="550"/>
      <c r="F126" s="550"/>
      <c r="G126" s="550"/>
      <c r="H126" s="550"/>
      <c r="I126" s="550"/>
      <c r="J126" s="550"/>
      <c r="K126" s="550"/>
      <c r="L126" s="550"/>
      <c r="M126" s="550"/>
      <c r="N126" s="550"/>
    </row>
    <row r="127" spans="2:14" s="9" customFormat="1" ht="14.25" x14ac:dyDescent="0.2">
      <c r="B127" s="552"/>
      <c r="C127" s="252"/>
      <c r="D127" s="252"/>
      <c r="E127" s="252"/>
      <c r="F127" s="252"/>
      <c r="G127" s="252"/>
      <c r="H127" s="252"/>
      <c r="I127" s="252"/>
      <c r="J127" s="252"/>
      <c r="K127" s="252"/>
      <c r="L127" s="252"/>
      <c r="M127" s="252"/>
      <c r="N127" s="252"/>
    </row>
    <row r="128" spans="2:14" s="9" customFormat="1" x14ac:dyDescent="0.2"/>
    <row r="129" spans="2:14" s="9" customFormat="1" x14ac:dyDescent="0.2">
      <c r="B129" s="545"/>
      <c r="C129" s="252"/>
      <c r="D129" s="252"/>
      <c r="E129" s="252"/>
      <c r="F129" s="252"/>
      <c r="G129" s="252"/>
      <c r="H129" s="252"/>
      <c r="I129" s="252"/>
      <c r="J129" s="252"/>
      <c r="K129" s="252"/>
      <c r="L129" s="252"/>
      <c r="M129" s="252"/>
      <c r="N129" s="252"/>
    </row>
    <row r="130" spans="2:14" s="9" customFormat="1" x14ac:dyDescent="0.2">
      <c r="B130" s="16"/>
      <c r="C130" s="252"/>
      <c r="D130" s="252"/>
      <c r="E130" s="252"/>
      <c r="F130" s="252"/>
      <c r="G130" s="252"/>
      <c r="H130" s="252"/>
      <c r="I130" s="252"/>
      <c r="J130" s="252"/>
      <c r="K130" s="252"/>
      <c r="L130" s="252"/>
      <c r="M130" s="252"/>
      <c r="N130" s="252"/>
    </row>
    <row r="131" spans="2:14" s="9" customFormat="1" x14ac:dyDescent="0.2">
      <c r="B131" s="546"/>
      <c r="C131" s="252"/>
      <c r="D131" s="252"/>
      <c r="E131" s="252"/>
      <c r="F131" s="252"/>
      <c r="G131" s="252"/>
      <c r="H131" s="252"/>
      <c r="I131" s="252"/>
      <c r="J131" s="252"/>
      <c r="K131" s="252"/>
      <c r="L131" s="252"/>
      <c r="M131" s="252"/>
      <c r="N131" s="252"/>
    </row>
    <row r="132" spans="2:14" s="9" customFormat="1" x14ac:dyDescent="0.2">
      <c r="B132" s="546"/>
      <c r="C132" s="252"/>
      <c r="D132" s="252"/>
      <c r="E132" s="252"/>
      <c r="F132" s="252"/>
      <c r="G132" s="252"/>
      <c r="H132" s="252"/>
      <c r="I132" s="252"/>
      <c r="J132" s="252"/>
      <c r="K132" s="252"/>
      <c r="L132" s="252"/>
      <c r="M132" s="252"/>
      <c r="N132" s="252"/>
    </row>
    <row r="133" spans="2:14" s="9" customFormat="1" x14ac:dyDescent="0.2">
      <c r="B133" s="252"/>
      <c r="C133" s="252"/>
      <c r="D133" s="252"/>
      <c r="E133" s="252"/>
      <c r="F133" s="252"/>
      <c r="G133" s="252"/>
      <c r="H133" s="252"/>
      <c r="I133" s="252"/>
      <c r="J133" s="252"/>
      <c r="K133" s="252"/>
      <c r="L133" s="252"/>
      <c r="M133" s="252"/>
      <c r="N133" s="252"/>
    </row>
    <row r="134" spans="2:14" s="9" customFormat="1" x14ac:dyDescent="0.2">
      <c r="B134" s="547"/>
      <c r="C134" s="548"/>
      <c r="D134" s="548"/>
      <c r="E134" s="548"/>
      <c r="F134" s="548"/>
      <c r="G134" s="548"/>
      <c r="H134" s="548"/>
      <c r="I134" s="548"/>
      <c r="J134" s="548"/>
      <c r="K134" s="548"/>
      <c r="L134" s="548"/>
      <c r="M134" s="548"/>
      <c r="N134" s="548"/>
    </row>
    <row r="135" spans="2:14" s="9" customFormat="1" x14ac:dyDescent="0.2">
      <c r="B135" s="753"/>
      <c r="C135" s="753"/>
      <c r="D135" s="753"/>
      <c r="E135" s="753"/>
      <c r="F135" s="753"/>
      <c r="G135" s="753"/>
      <c r="H135" s="753"/>
      <c r="I135" s="753"/>
      <c r="J135" s="753"/>
      <c r="K135" s="753"/>
      <c r="L135" s="753"/>
      <c r="M135" s="753"/>
      <c r="N135" s="753"/>
    </row>
    <row r="136" spans="2:14" s="9" customFormat="1" ht="15" x14ac:dyDescent="0.25">
      <c r="B136" s="547"/>
      <c r="C136" s="549"/>
      <c r="D136" s="549"/>
      <c r="E136" s="549"/>
      <c r="F136" s="549"/>
      <c r="G136" s="549"/>
      <c r="H136" s="549"/>
      <c r="I136" s="549"/>
      <c r="J136" s="549"/>
      <c r="K136" s="549"/>
      <c r="L136" s="549"/>
      <c r="M136" s="549"/>
      <c r="N136" s="549"/>
    </row>
    <row r="137" spans="2:14" s="9" customFormat="1" x14ac:dyDescent="0.2">
      <c r="B137" s="548"/>
      <c r="C137" s="550"/>
      <c r="D137" s="550"/>
      <c r="E137" s="550"/>
      <c r="F137" s="550"/>
      <c r="G137" s="550"/>
      <c r="H137" s="550"/>
      <c r="I137" s="550"/>
      <c r="J137" s="550"/>
      <c r="K137" s="550"/>
      <c r="L137" s="550"/>
      <c r="M137" s="550"/>
      <c r="N137" s="550"/>
    </row>
    <row r="138" spans="2:14" s="9" customFormat="1" x14ac:dyDescent="0.2">
      <c r="B138" s="548"/>
      <c r="C138" s="550"/>
      <c r="D138" s="550"/>
      <c r="E138" s="550"/>
      <c r="F138" s="550"/>
      <c r="G138" s="550"/>
      <c r="H138" s="550"/>
      <c r="I138" s="550"/>
      <c r="J138" s="550"/>
      <c r="K138" s="550"/>
      <c r="L138" s="550"/>
      <c r="M138" s="550"/>
      <c r="N138" s="550"/>
    </row>
    <row r="139" spans="2:14" s="9" customFormat="1" x14ac:dyDescent="0.2">
      <c r="B139" s="548"/>
      <c r="C139" s="550"/>
      <c r="D139" s="550"/>
      <c r="E139" s="550"/>
      <c r="F139" s="550"/>
      <c r="G139" s="550"/>
      <c r="H139" s="550"/>
      <c r="I139" s="550"/>
      <c r="J139" s="550"/>
      <c r="K139" s="550"/>
      <c r="L139" s="550"/>
      <c r="M139" s="550"/>
      <c r="N139" s="550"/>
    </row>
    <row r="140" spans="2:14" s="9" customFormat="1" x14ac:dyDescent="0.2">
      <c r="B140" s="548"/>
      <c r="C140" s="550"/>
      <c r="D140" s="550"/>
      <c r="E140" s="550"/>
      <c r="F140" s="550"/>
      <c r="G140" s="550"/>
      <c r="H140" s="550"/>
      <c r="I140" s="550"/>
      <c r="J140" s="550"/>
      <c r="K140" s="550"/>
      <c r="L140" s="550"/>
      <c r="M140" s="550"/>
      <c r="N140" s="550"/>
    </row>
    <row r="141" spans="2:14" s="9" customFormat="1" x14ac:dyDescent="0.2">
      <c r="B141" s="548"/>
      <c r="C141" s="550"/>
      <c r="D141" s="550"/>
      <c r="E141" s="550"/>
      <c r="F141" s="550"/>
      <c r="G141" s="550"/>
      <c r="H141" s="550"/>
      <c r="I141" s="550"/>
      <c r="J141" s="550"/>
      <c r="K141" s="550"/>
      <c r="L141" s="550"/>
      <c r="M141" s="550"/>
      <c r="N141" s="550"/>
    </row>
    <row r="142" spans="2:14" s="9" customFormat="1" x14ac:dyDescent="0.2">
      <c r="B142" s="548"/>
      <c r="C142" s="550"/>
      <c r="D142" s="550"/>
      <c r="E142" s="550"/>
      <c r="F142" s="550"/>
      <c r="G142" s="550"/>
      <c r="H142" s="550"/>
      <c r="I142" s="550"/>
      <c r="J142" s="550"/>
      <c r="K142" s="550"/>
      <c r="L142" s="550"/>
      <c r="M142" s="550"/>
      <c r="N142" s="550"/>
    </row>
    <row r="143" spans="2:14" s="9" customFormat="1" x14ac:dyDescent="0.2">
      <c r="B143" s="548"/>
      <c r="C143" s="550"/>
      <c r="D143" s="550"/>
      <c r="E143" s="550"/>
      <c r="F143" s="550"/>
      <c r="G143" s="550"/>
      <c r="H143" s="550"/>
      <c r="I143" s="550"/>
      <c r="J143" s="550"/>
      <c r="K143" s="550"/>
      <c r="L143" s="550"/>
      <c r="M143" s="550"/>
      <c r="N143" s="550"/>
    </row>
    <row r="144" spans="2:14" s="9" customFormat="1" x14ac:dyDescent="0.2">
      <c r="B144" s="548"/>
      <c r="C144" s="550"/>
      <c r="D144" s="550"/>
      <c r="E144" s="550"/>
      <c r="F144" s="550"/>
      <c r="G144" s="550"/>
      <c r="H144" s="550"/>
      <c r="I144" s="550"/>
      <c r="J144" s="550"/>
      <c r="K144" s="550"/>
      <c r="L144" s="550"/>
      <c r="M144" s="550"/>
      <c r="N144" s="550"/>
    </row>
    <row r="145" spans="2:14" s="9" customFormat="1" x14ac:dyDescent="0.2">
      <c r="B145" s="548"/>
      <c r="C145" s="550"/>
      <c r="D145" s="550"/>
      <c r="E145" s="550"/>
      <c r="F145" s="550"/>
      <c r="G145" s="550"/>
      <c r="H145" s="550"/>
      <c r="I145" s="550"/>
      <c r="J145" s="550"/>
      <c r="K145" s="550"/>
      <c r="L145" s="550"/>
      <c r="M145" s="550"/>
      <c r="N145" s="550"/>
    </row>
    <row r="146" spans="2:14" s="9" customFormat="1" x14ac:dyDescent="0.2">
      <c r="B146" s="548"/>
      <c r="C146" s="550"/>
      <c r="D146" s="550"/>
      <c r="E146" s="550"/>
      <c r="F146" s="550"/>
      <c r="G146" s="550"/>
      <c r="H146" s="550"/>
      <c r="I146" s="550"/>
      <c r="J146" s="550"/>
      <c r="K146" s="550"/>
      <c r="L146" s="550"/>
      <c r="M146" s="550"/>
      <c r="N146" s="550"/>
    </row>
    <row r="147" spans="2:14" s="9" customFormat="1" x14ac:dyDescent="0.2">
      <c r="B147" s="553"/>
      <c r="C147" s="252"/>
      <c r="D147" s="252"/>
      <c r="E147" s="252"/>
      <c r="F147" s="252"/>
      <c r="G147" s="252"/>
      <c r="H147" s="252"/>
      <c r="I147" s="252"/>
      <c r="J147" s="252"/>
      <c r="K147" s="252"/>
      <c r="L147" s="252"/>
      <c r="M147" s="252"/>
      <c r="N147" s="252"/>
    </row>
    <row r="148" spans="2:14" s="9" customFormat="1" x14ac:dyDescent="0.2"/>
    <row r="149" spans="2:14" s="9" customFormat="1" x14ac:dyDescent="0.2">
      <c r="B149" s="545"/>
      <c r="C149" s="252"/>
      <c r="D149" s="252"/>
      <c r="E149" s="252"/>
      <c r="F149" s="252"/>
      <c r="G149" s="252"/>
      <c r="H149" s="252"/>
      <c r="I149" s="252"/>
      <c r="J149" s="252"/>
      <c r="K149" s="252"/>
      <c r="L149" s="252"/>
      <c r="M149" s="252"/>
      <c r="N149" s="252"/>
    </row>
    <row r="150" spans="2:14" s="9" customFormat="1" x14ac:dyDescent="0.2">
      <c r="B150" s="16"/>
      <c r="C150" s="252"/>
      <c r="D150" s="252"/>
      <c r="E150" s="252"/>
      <c r="F150" s="252"/>
      <c r="G150" s="252"/>
      <c r="H150" s="252"/>
      <c r="I150" s="252"/>
      <c r="J150" s="252"/>
      <c r="K150" s="252"/>
      <c r="L150" s="252"/>
      <c r="M150" s="252"/>
      <c r="N150" s="252"/>
    </row>
    <row r="151" spans="2:14" s="9" customFormat="1" x14ac:dyDescent="0.2">
      <c r="B151" s="545"/>
      <c r="C151" s="252"/>
      <c r="D151" s="252"/>
      <c r="E151" s="252"/>
      <c r="F151" s="252"/>
      <c r="G151" s="252"/>
      <c r="H151" s="252"/>
      <c r="I151" s="252"/>
      <c r="J151" s="252"/>
      <c r="K151" s="252"/>
      <c r="L151" s="252"/>
      <c r="M151" s="252"/>
      <c r="N151" s="252"/>
    </row>
    <row r="152" spans="2:14" s="9" customFormat="1" x14ac:dyDescent="0.2">
      <c r="B152" s="545"/>
      <c r="C152" s="252"/>
      <c r="D152" s="252"/>
      <c r="E152" s="252"/>
      <c r="F152" s="252"/>
      <c r="G152" s="252"/>
      <c r="H152" s="252"/>
      <c r="I152" s="252"/>
      <c r="J152" s="252"/>
      <c r="K152" s="252"/>
      <c r="L152" s="252"/>
      <c r="M152" s="252"/>
      <c r="N152" s="252"/>
    </row>
    <row r="153" spans="2:14" s="9" customFormat="1" x14ac:dyDescent="0.2">
      <c r="B153" s="252"/>
      <c r="C153" s="252"/>
      <c r="D153" s="252"/>
      <c r="E153" s="252"/>
      <c r="F153" s="252"/>
      <c r="G153" s="252"/>
      <c r="H153" s="252"/>
      <c r="I153" s="252"/>
      <c r="J153" s="252"/>
      <c r="K153" s="252"/>
      <c r="L153" s="252"/>
      <c r="M153" s="252"/>
      <c r="N153" s="252"/>
    </row>
    <row r="154" spans="2:14" s="9" customFormat="1" x14ac:dyDescent="0.2">
      <c r="B154" s="547"/>
      <c r="C154" s="548"/>
      <c r="D154" s="548"/>
      <c r="E154" s="548"/>
      <c r="F154" s="548"/>
      <c r="G154" s="548"/>
      <c r="H154" s="548"/>
      <c r="I154" s="548"/>
      <c r="J154" s="548"/>
      <c r="K154" s="548"/>
      <c r="L154" s="548"/>
      <c r="M154" s="548"/>
      <c r="N154" s="548"/>
    </row>
    <row r="155" spans="2:14" s="9" customFormat="1" x14ac:dyDescent="0.2">
      <c r="B155" s="753"/>
      <c r="C155" s="753"/>
      <c r="D155" s="753"/>
      <c r="E155" s="753"/>
      <c r="F155" s="753"/>
      <c r="G155" s="753"/>
      <c r="H155" s="753"/>
      <c r="I155" s="753"/>
      <c r="J155" s="753"/>
      <c r="K155" s="753"/>
      <c r="L155" s="753"/>
      <c r="M155" s="753"/>
      <c r="N155" s="753"/>
    </row>
    <row r="156" spans="2:14" s="9" customFormat="1" ht="15" x14ac:dyDescent="0.25">
      <c r="B156" s="547"/>
      <c r="C156" s="549"/>
      <c r="D156" s="549"/>
      <c r="E156" s="549"/>
      <c r="F156" s="549"/>
      <c r="G156" s="549"/>
      <c r="H156" s="549"/>
      <c r="I156" s="549"/>
      <c r="J156" s="549"/>
      <c r="K156" s="549"/>
      <c r="L156" s="549"/>
      <c r="M156" s="549"/>
      <c r="N156" s="549"/>
    </row>
    <row r="157" spans="2:14" s="9" customFormat="1" x14ac:dyDescent="0.2">
      <c r="B157" s="548"/>
      <c r="C157" s="550"/>
      <c r="D157" s="550"/>
      <c r="E157" s="550"/>
      <c r="F157" s="550"/>
      <c r="G157" s="550"/>
      <c r="H157" s="550"/>
      <c r="I157" s="550"/>
      <c r="J157" s="550"/>
      <c r="K157" s="550"/>
      <c r="L157" s="550"/>
      <c r="M157" s="550"/>
      <c r="N157" s="550"/>
    </row>
    <row r="158" spans="2:14" s="9" customFormat="1" x14ac:dyDescent="0.2">
      <c r="B158" s="548"/>
      <c r="C158" s="550"/>
      <c r="D158" s="550"/>
      <c r="E158" s="550"/>
      <c r="F158" s="550"/>
      <c r="G158" s="550"/>
      <c r="H158" s="550"/>
      <c r="I158" s="550"/>
      <c r="J158" s="550"/>
      <c r="K158" s="550"/>
      <c r="L158" s="550"/>
      <c r="M158" s="550"/>
      <c r="N158" s="550"/>
    </row>
    <row r="159" spans="2:14" s="9" customFormat="1" x14ac:dyDescent="0.2">
      <c r="B159" s="548"/>
      <c r="C159" s="550"/>
      <c r="D159" s="550"/>
      <c r="E159" s="550"/>
      <c r="F159" s="550"/>
      <c r="G159" s="550"/>
      <c r="H159" s="550"/>
      <c r="I159" s="550"/>
      <c r="J159" s="550"/>
      <c r="K159" s="550"/>
      <c r="L159" s="550"/>
      <c r="M159" s="550"/>
      <c r="N159" s="550"/>
    </row>
    <row r="160" spans="2:14" s="9" customFormat="1" x14ac:dyDescent="0.2">
      <c r="B160" s="548"/>
      <c r="C160" s="550"/>
      <c r="D160" s="550"/>
      <c r="E160" s="550"/>
      <c r="F160" s="550"/>
      <c r="G160" s="550"/>
      <c r="H160" s="550"/>
      <c r="I160" s="550"/>
      <c r="J160" s="550"/>
      <c r="K160" s="550"/>
      <c r="L160" s="550"/>
      <c r="M160" s="550"/>
      <c r="N160" s="550"/>
    </row>
    <row r="161" spans="2:14" s="9" customFormat="1" x14ac:dyDescent="0.2">
      <c r="B161" s="548"/>
      <c r="C161" s="550"/>
      <c r="D161" s="550"/>
      <c r="E161" s="550"/>
      <c r="F161" s="550"/>
      <c r="G161" s="550"/>
      <c r="H161" s="550"/>
      <c r="I161" s="550"/>
      <c r="J161" s="550"/>
      <c r="K161" s="550"/>
      <c r="L161" s="550"/>
      <c r="M161" s="550"/>
      <c r="N161" s="550"/>
    </row>
    <row r="162" spans="2:14" s="9" customFormat="1" x14ac:dyDescent="0.2">
      <c r="B162" s="548"/>
      <c r="C162" s="550"/>
      <c r="D162" s="550"/>
      <c r="E162" s="550"/>
      <c r="F162" s="550"/>
      <c r="G162" s="550"/>
      <c r="H162" s="550"/>
      <c r="I162" s="550"/>
      <c r="J162" s="550"/>
      <c r="K162" s="550"/>
      <c r="L162" s="550"/>
      <c r="M162" s="550"/>
      <c r="N162" s="550"/>
    </row>
    <row r="163" spans="2:14" s="9" customFormat="1" x14ac:dyDescent="0.2">
      <c r="B163" s="548"/>
      <c r="C163" s="550"/>
      <c r="D163" s="550"/>
      <c r="E163" s="550"/>
      <c r="F163" s="550"/>
      <c r="G163" s="550"/>
      <c r="H163" s="550"/>
      <c r="I163" s="550"/>
      <c r="J163" s="550"/>
      <c r="K163" s="550"/>
      <c r="L163" s="550"/>
      <c r="M163" s="550"/>
      <c r="N163" s="550"/>
    </row>
    <row r="164" spans="2:14" s="9" customFormat="1" x14ac:dyDescent="0.2">
      <c r="B164" s="548"/>
      <c r="C164" s="550"/>
      <c r="D164" s="550"/>
      <c r="E164" s="550"/>
      <c r="F164" s="550"/>
      <c r="G164" s="550"/>
      <c r="H164" s="550"/>
      <c r="I164" s="550"/>
      <c r="J164" s="550"/>
      <c r="K164" s="550"/>
      <c r="L164" s="550"/>
      <c r="M164" s="550"/>
      <c r="N164" s="550"/>
    </row>
    <row r="165" spans="2:14" s="9" customFormat="1" x14ac:dyDescent="0.2">
      <c r="B165" s="548"/>
      <c r="C165" s="550"/>
      <c r="D165" s="550"/>
      <c r="E165" s="550"/>
      <c r="F165" s="550"/>
      <c r="G165" s="550"/>
      <c r="H165" s="550"/>
      <c r="I165" s="550"/>
      <c r="J165" s="550"/>
      <c r="K165" s="550"/>
      <c r="L165" s="550"/>
      <c r="M165" s="550"/>
      <c r="N165" s="550"/>
    </row>
    <row r="166" spans="2:14" s="9" customFormat="1" x14ac:dyDescent="0.2">
      <c r="B166" s="548"/>
      <c r="C166" s="550"/>
      <c r="D166" s="550"/>
      <c r="E166" s="550"/>
      <c r="F166" s="550"/>
      <c r="G166" s="550"/>
      <c r="H166" s="550"/>
      <c r="I166" s="550"/>
      <c r="J166" s="550"/>
      <c r="K166" s="550"/>
      <c r="L166" s="550"/>
      <c r="M166" s="550"/>
      <c r="N166" s="550"/>
    </row>
    <row r="167" spans="2:14" s="9" customFormat="1" x14ac:dyDescent="0.2">
      <c r="B167" s="548"/>
      <c r="C167" s="550"/>
      <c r="D167" s="550"/>
      <c r="E167" s="550"/>
      <c r="F167" s="550"/>
      <c r="G167" s="550"/>
      <c r="H167" s="550"/>
      <c r="I167" s="550"/>
      <c r="J167" s="550"/>
      <c r="K167" s="550"/>
      <c r="L167" s="550"/>
      <c r="M167" s="550"/>
      <c r="N167" s="550"/>
    </row>
    <row r="168" spans="2:14" s="9" customFormat="1" x14ac:dyDescent="0.2">
      <c r="B168" s="548"/>
      <c r="C168" s="550"/>
      <c r="D168" s="550"/>
      <c r="E168" s="550"/>
      <c r="F168" s="550"/>
      <c r="G168" s="550"/>
      <c r="H168" s="550"/>
      <c r="I168" s="550"/>
      <c r="J168" s="550"/>
      <c r="K168" s="550"/>
      <c r="L168" s="550"/>
      <c r="M168" s="550"/>
      <c r="N168" s="550"/>
    </row>
    <row r="169" spans="2:14" s="9" customFormat="1" x14ac:dyDescent="0.2">
      <c r="B169" s="548"/>
      <c r="C169" s="550"/>
      <c r="D169" s="550"/>
      <c r="E169" s="550"/>
      <c r="F169" s="550"/>
      <c r="G169" s="550"/>
      <c r="H169" s="550"/>
      <c r="I169" s="550"/>
      <c r="J169" s="550"/>
      <c r="K169" s="550"/>
      <c r="L169" s="550"/>
      <c r="M169" s="550"/>
      <c r="N169" s="550"/>
    </row>
    <row r="170" spans="2:14" s="9" customFormat="1" x14ac:dyDescent="0.2">
      <c r="B170" s="548"/>
      <c r="C170" s="550"/>
      <c r="D170" s="550"/>
      <c r="E170" s="550"/>
      <c r="F170" s="550"/>
      <c r="G170" s="550"/>
      <c r="H170" s="550"/>
      <c r="I170" s="550"/>
      <c r="J170" s="550"/>
      <c r="K170" s="550"/>
      <c r="L170" s="550"/>
      <c r="M170" s="550"/>
      <c r="N170" s="550"/>
    </row>
    <row r="171" spans="2:14" s="9" customFormat="1" x14ac:dyDescent="0.2">
      <c r="B171" s="548"/>
      <c r="C171" s="550"/>
      <c r="D171" s="550"/>
      <c r="E171" s="550"/>
      <c r="F171" s="550"/>
      <c r="G171" s="550"/>
      <c r="H171" s="550"/>
      <c r="I171" s="550"/>
      <c r="J171" s="550"/>
      <c r="K171" s="550"/>
      <c r="L171" s="550"/>
      <c r="M171" s="550"/>
      <c r="N171" s="550"/>
    </row>
    <row r="172" spans="2:14" s="9" customFormat="1" x14ac:dyDescent="0.2">
      <c r="B172" s="551"/>
      <c r="C172" s="252"/>
      <c r="D172" s="252"/>
      <c r="E172" s="252"/>
      <c r="F172" s="252"/>
      <c r="G172" s="252"/>
      <c r="H172" s="252"/>
      <c r="I172" s="252"/>
      <c r="J172" s="252"/>
      <c r="K172" s="252"/>
      <c r="L172" s="252"/>
      <c r="M172" s="252"/>
      <c r="N172" s="252"/>
    </row>
    <row r="173" spans="2:14" s="9" customFormat="1" x14ac:dyDescent="0.2"/>
    <row r="174" spans="2:14" s="9" customFormat="1" x14ac:dyDescent="0.2">
      <c r="B174" s="545"/>
      <c r="C174" s="252"/>
      <c r="D174" s="252"/>
      <c r="E174" s="252"/>
      <c r="F174" s="252"/>
      <c r="G174" s="252"/>
      <c r="H174" s="252"/>
      <c r="I174" s="252"/>
      <c r="J174" s="252"/>
      <c r="K174" s="252"/>
      <c r="L174" s="252"/>
      <c r="M174" s="252"/>
      <c r="N174" s="252"/>
    </row>
    <row r="175" spans="2:14" s="9" customFormat="1" x14ac:dyDescent="0.2">
      <c r="B175" s="16"/>
      <c r="C175" s="252"/>
      <c r="D175" s="252"/>
      <c r="E175" s="252"/>
      <c r="F175" s="252"/>
      <c r="G175" s="252"/>
      <c r="H175" s="252"/>
      <c r="I175" s="252"/>
      <c r="J175" s="252"/>
      <c r="K175" s="252"/>
      <c r="L175" s="252"/>
      <c r="M175" s="252"/>
      <c r="N175" s="252"/>
    </row>
    <row r="176" spans="2:14" s="9" customFormat="1" x14ac:dyDescent="0.2">
      <c r="B176" s="546"/>
      <c r="C176" s="252"/>
      <c r="D176" s="252"/>
      <c r="E176" s="252"/>
      <c r="F176" s="252"/>
      <c r="G176" s="252"/>
      <c r="H176" s="252"/>
      <c r="I176" s="252"/>
      <c r="J176" s="252"/>
      <c r="K176" s="252"/>
      <c r="L176" s="252"/>
      <c r="M176" s="252"/>
      <c r="N176" s="252"/>
    </row>
    <row r="177" spans="2:14" s="9" customFormat="1" x14ac:dyDescent="0.2">
      <c r="B177" s="545"/>
      <c r="C177" s="252"/>
      <c r="D177" s="252"/>
      <c r="E177" s="252"/>
      <c r="F177" s="252"/>
      <c r="G177" s="252"/>
      <c r="H177" s="252"/>
      <c r="I177" s="252"/>
      <c r="J177" s="252"/>
      <c r="K177" s="252"/>
      <c r="L177" s="252"/>
      <c r="M177" s="252"/>
      <c r="N177" s="252"/>
    </row>
    <row r="178" spans="2:14" s="9" customFormat="1" x14ac:dyDescent="0.2">
      <c r="B178" s="252"/>
      <c r="C178" s="252"/>
      <c r="D178" s="252"/>
      <c r="E178" s="252"/>
      <c r="F178" s="252"/>
      <c r="G178" s="252"/>
      <c r="H178" s="252"/>
      <c r="I178" s="252"/>
      <c r="J178" s="252"/>
      <c r="K178" s="252"/>
      <c r="L178" s="252"/>
      <c r="M178" s="252"/>
      <c r="N178" s="252"/>
    </row>
    <row r="179" spans="2:14" s="9" customFormat="1" x14ac:dyDescent="0.2">
      <c r="B179" s="547"/>
      <c r="C179" s="548"/>
      <c r="D179" s="548"/>
      <c r="E179" s="548"/>
      <c r="F179" s="548"/>
      <c r="G179" s="548"/>
      <c r="H179" s="548"/>
      <c r="I179" s="548"/>
      <c r="J179" s="548"/>
      <c r="K179" s="548"/>
      <c r="L179" s="548"/>
      <c r="M179" s="548"/>
      <c r="N179" s="548"/>
    </row>
    <row r="180" spans="2:14" s="9" customFormat="1" x14ac:dyDescent="0.2">
      <c r="B180" s="753"/>
      <c r="C180" s="753"/>
      <c r="D180" s="753"/>
      <c r="E180" s="753"/>
      <c r="F180" s="753"/>
      <c r="G180" s="753"/>
      <c r="H180" s="753"/>
      <c r="I180" s="753"/>
      <c r="J180" s="753"/>
      <c r="K180" s="753"/>
      <c r="L180" s="753"/>
      <c r="M180" s="753"/>
      <c r="N180" s="753"/>
    </row>
    <row r="181" spans="2:14" s="9" customFormat="1" ht="15" x14ac:dyDescent="0.25">
      <c r="B181" s="547"/>
      <c r="C181" s="549"/>
      <c r="D181" s="549"/>
      <c r="E181" s="549"/>
      <c r="F181" s="549"/>
      <c r="G181" s="549"/>
      <c r="H181" s="549"/>
      <c r="I181" s="549"/>
      <c r="J181" s="549"/>
      <c r="K181" s="549"/>
      <c r="L181" s="549"/>
      <c r="M181" s="549"/>
      <c r="N181" s="549"/>
    </row>
    <row r="182" spans="2:14" s="9" customFormat="1" x14ac:dyDescent="0.2">
      <c r="B182" s="548"/>
      <c r="C182" s="550"/>
      <c r="D182" s="550"/>
      <c r="E182" s="550"/>
      <c r="F182" s="550"/>
      <c r="G182" s="550"/>
      <c r="H182" s="550"/>
      <c r="I182" s="550"/>
      <c r="J182" s="550"/>
      <c r="K182" s="550"/>
      <c r="L182" s="550"/>
      <c r="M182" s="550"/>
      <c r="N182" s="550"/>
    </row>
    <row r="183" spans="2:14" s="9" customFormat="1" x14ac:dyDescent="0.2">
      <c r="B183" s="548"/>
      <c r="C183" s="550"/>
      <c r="D183" s="550"/>
      <c r="E183" s="550"/>
      <c r="F183" s="550"/>
      <c r="G183" s="550"/>
      <c r="H183" s="550"/>
      <c r="I183" s="550"/>
      <c r="J183" s="550"/>
      <c r="K183" s="550"/>
      <c r="L183" s="550"/>
      <c r="M183" s="550"/>
      <c r="N183" s="550"/>
    </row>
    <row r="184" spans="2:14" s="9" customFormat="1" x14ac:dyDescent="0.2">
      <c r="B184" s="548"/>
      <c r="C184" s="550"/>
      <c r="D184" s="550"/>
      <c r="E184" s="550"/>
      <c r="F184" s="550"/>
      <c r="G184" s="550"/>
      <c r="H184" s="550"/>
      <c r="I184" s="550"/>
      <c r="J184" s="550"/>
      <c r="K184" s="550"/>
      <c r="L184" s="550"/>
      <c r="M184" s="550"/>
      <c r="N184" s="550"/>
    </row>
    <row r="185" spans="2:14" s="9" customFormat="1" x14ac:dyDescent="0.2">
      <c r="B185" s="548"/>
      <c r="C185" s="550"/>
      <c r="D185" s="550"/>
      <c r="E185" s="550"/>
      <c r="F185" s="550"/>
      <c r="G185" s="550"/>
      <c r="H185" s="550"/>
      <c r="I185" s="550"/>
      <c r="J185" s="550"/>
      <c r="K185" s="550"/>
      <c r="L185" s="550"/>
      <c r="M185" s="550"/>
      <c r="N185" s="550"/>
    </row>
    <row r="186" spans="2:14" s="9" customFormat="1" x14ac:dyDescent="0.2">
      <c r="B186" s="548"/>
      <c r="C186" s="550"/>
      <c r="D186" s="550"/>
      <c r="E186" s="550"/>
      <c r="F186" s="550"/>
      <c r="G186" s="550"/>
      <c r="H186" s="550"/>
      <c r="I186" s="550"/>
      <c r="J186" s="550"/>
      <c r="K186" s="550"/>
      <c r="L186" s="550"/>
      <c r="M186" s="550"/>
      <c r="N186" s="550"/>
    </row>
    <row r="187" spans="2:14" s="9" customFormat="1" ht="14.25" x14ac:dyDescent="0.2">
      <c r="B187" s="554"/>
      <c r="C187" s="555"/>
      <c r="D187" s="555"/>
      <c r="E187" s="555"/>
      <c r="F187" s="555"/>
      <c r="G187" s="555"/>
      <c r="H187" s="555"/>
      <c r="I187" s="555"/>
      <c r="J187" s="555"/>
      <c r="K187" s="555"/>
      <c r="L187" s="555"/>
      <c r="M187" s="555"/>
      <c r="N187" s="555"/>
    </row>
    <row r="188" spans="2:14" s="9" customFormat="1" x14ac:dyDescent="0.2">
      <c r="B188" s="547"/>
      <c r="C188" s="548"/>
      <c r="D188" s="548"/>
      <c r="E188" s="548"/>
      <c r="F188" s="548"/>
      <c r="G188" s="548"/>
      <c r="H188" s="548"/>
      <c r="I188" s="548"/>
      <c r="J188" s="548"/>
      <c r="K188" s="548"/>
      <c r="L188" s="548"/>
      <c r="M188" s="548"/>
      <c r="N188" s="548"/>
    </row>
    <row r="189" spans="2:14" s="9" customFormat="1" x14ac:dyDescent="0.2">
      <c r="B189" s="753"/>
      <c r="C189" s="753"/>
      <c r="D189" s="753"/>
      <c r="E189" s="753"/>
      <c r="F189" s="753"/>
      <c r="G189" s="753"/>
      <c r="H189" s="753"/>
      <c r="I189" s="753"/>
      <c r="J189" s="753"/>
      <c r="K189" s="753"/>
      <c r="L189" s="753"/>
      <c r="M189" s="753"/>
      <c r="N189" s="753"/>
    </row>
    <row r="190" spans="2:14" s="9" customFormat="1" ht="15" x14ac:dyDescent="0.25">
      <c r="B190" s="547"/>
      <c r="C190" s="549"/>
      <c r="D190" s="549"/>
      <c r="E190" s="549"/>
      <c r="F190" s="549"/>
      <c r="G190" s="549"/>
      <c r="H190" s="549"/>
      <c r="I190" s="549"/>
      <c r="J190" s="549"/>
      <c r="K190" s="549"/>
      <c r="L190" s="549"/>
      <c r="M190" s="549"/>
      <c r="N190" s="549"/>
    </row>
    <row r="191" spans="2:14" s="9" customFormat="1" x14ac:dyDescent="0.2">
      <c r="B191" s="548"/>
      <c r="C191" s="550"/>
      <c r="D191" s="550"/>
      <c r="E191" s="550"/>
      <c r="F191" s="550"/>
      <c r="G191" s="550"/>
      <c r="H191" s="550"/>
      <c r="I191" s="550"/>
      <c r="J191" s="550"/>
      <c r="K191" s="550"/>
      <c r="L191" s="550"/>
      <c r="M191" s="550"/>
      <c r="N191" s="550"/>
    </row>
    <row r="192" spans="2:14" s="9" customFormat="1" x14ac:dyDescent="0.2">
      <c r="B192" s="548"/>
      <c r="C192" s="550"/>
      <c r="D192" s="550"/>
      <c r="E192" s="550"/>
      <c r="F192" s="550"/>
      <c r="G192" s="550"/>
      <c r="H192" s="550"/>
      <c r="I192" s="550"/>
      <c r="J192" s="550"/>
      <c r="K192" s="550"/>
      <c r="L192" s="550"/>
      <c r="M192" s="550"/>
      <c r="N192" s="550"/>
    </row>
    <row r="193" spans="2:14" s="9" customFormat="1" x14ac:dyDescent="0.2">
      <c r="B193" s="548"/>
      <c r="C193" s="550"/>
      <c r="D193" s="550"/>
      <c r="E193" s="550"/>
      <c r="F193" s="550"/>
      <c r="G193" s="550"/>
      <c r="H193" s="550"/>
      <c r="I193" s="550"/>
      <c r="J193" s="550"/>
      <c r="K193" s="550"/>
      <c r="L193" s="550"/>
      <c r="M193" s="550"/>
      <c r="N193" s="550"/>
    </row>
    <row r="194" spans="2:14" s="9" customFormat="1" x14ac:dyDescent="0.2">
      <c r="B194" s="548"/>
      <c r="C194" s="550"/>
      <c r="D194" s="550"/>
      <c r="E194" s="550"/>
      <c r="F194" s="550"/>
      <c r="G194" s="550"/>
      <c r="H194" s="550"/>
      <c r="I194" s="550"/>
      <c r="J194" s="550"/>
      <c r="K194" s="550"/>
      <c r="L194" s="550"/>
      <c r="M194" s="550"/>
      <c r="N194" s="550"/>
    </row>
    <row r="195" spans="2:14" s="9" customFormat="1" x14ac:dyDescent="0.2">
      <c r="B195" s="548"/>
      <c r="C195" s="550"/>
      <c r="D195" s="550"/>
      <c r="E195" s="550"/>
      <c r="F195" s="550"/>
      <c r="G195" s="550"/>
      <c r="H195" s="550"/>
      <c r="I195" s="550"/>
      <c r="J195" s="550"/>
      <c r="K195" s="550"/>
      <c r="L195" s="550"/>
      <c r="M195" s="550"/>
      <c r="N195" s="550"/>
    </row>
    <row r="196" spans="2:14" s="9" customFormat="1" x14ac:dyDescent="0.2">
      <c r="B196" s="553"/>
      <c r="C196" s="252"/>
      <c r="D196" s="252"/>
      <c r="E196" s="252"/>
      <c r="F196" s="252"/>
      <c r="G196" s="252"/>
      <c r="H196" s="252"/>
      <c r="I196" s="252"/>
      <c r="J196" s="252"/>
      <c r="K196" s="252"/>
      <c r="L196" s="252"/>
      <c r="M196" s="252"/>
      <c r="N196" s="252"/>
    </row>
    <row r="197" spans="2:14" s="9" customFormat="1" x14ac:dyDescent="0.2"/>
    <row r="198" spans="2:14" s="9" customFormat="1" x14ac:dyDescent="0.2">
      <c r="B198" s="545"/>
      <c r="C198" s="252"/>
      <c r="D198" s="252"/>
      <c r="E198" s="252"/>
      <c r="F198" s="252"/>
      <c r="G198" s="252"/>
      <c r="H198" s="252"/>
      <c r="I198" s="252"/>
      <c r="J198" s="252"/>
      <c r="K198" s="252"/>
      <c r="L198" s="252"/>
      <c r="M198" s="252"/>
      <c r="N198" s="252"/>
    </row>
    <row r="199" spans="2:14" s="9" customFormat="1" x14ac:dyDescent="0.2">
      <c r="B199" s="16"/>
      <c r="C199" s="252"/>
      <c r="D199" s="252"/>
      <c r="E199" s="252"/>
      <c r="F199" s="252"/>
      <c r="G199" s="252"/>
      <c r="H199" s="252"/>
      <c r="I199" s="252"/>
      <c r="J199" s="252"/>
      <c r="K199" s="252"/>
      <c r="L199" s="252"/>
      <c r="M199" s="252"/>
      <c r="N199" s="252"/>
    </row>
    <row r="200" spans="2:14" s="9" customFormat="1" x14ac:dyDescent="0.2">
      <c r="B200" s="545"/>
      <c r="C200" s="252"/>
      <c r="D200" s="252"/>
      <c r="E200" s="252"/>
      <c r="F200" s="252"/>
      <c r="G200" s="252"/>
      <c r="H200" s="252"/>
      <c r="I200" s="252"/>
      <c r="J200" s="252"/>
      <c r="K200" s="252"/>
      <c r="L200" s="252"/>
      <c r="M200" s="252"/>
      <c r="N200" s="252"/>
    </row>
    <row r="201" spans="2:14" s="9" customFormat="1" x14ac:dyDescent="0.2">
      <c r="B201" s="545"/>
      <c r="C201" s="252"/>
      <c r="D201" s="252"/>
      <c r="E201" s="252"/>
      <c r="F201" s="252"/>
      <c r="G201" s="252"/>
      <c r="H201" s="252"/>
      <c r="I201" s="252"/>
      <c r="J201" s="252"/>
      <c r="K201" s="252"/>
      <c r="L201" s="252"/>
      <c r="M201" s="252"/>
      <c r="N201" s="252"/>
    </row>
    <row r="202" spans="2:14" s="9" customFormat="1" x14ac:dyDescent="0.2">
      <c r="B202" s="252"/>
      <c r="C202" s="252"/>
      <c r="D202" s="252"/>
      <c r="E202" s="252"/>
      <c r="F202" s="252"/>
      <c r="G202" s="252"/>
      <c r="H202" s="252"/>
      <c r="I202" s="252"/>
      <c r="J202" s="252"/>
      <c r="K202" s="252"/>
      <c r="L202" s="252"/>
      <c r="M202" s="252"/>
      <c r="N202" s="252"/>
    </row>
    <row r="203" spans="2:14" s="9" customFormat="1" x14ac:dyDescent="0.2">
      <c r="B203" s="547"/>
      <c r="C203" s="548"/>
      <c r="D203" s="548"/>
      <c r="E203" s="548"/>
      <c r="F203" s="548"/>
      <c r="G203" s="548"/>
      <c r="H203" s="548"/>
      <c r="I203" s="548"/>
      <c r="J203" s="548"/>
      <c r="K203" s="548"/>
      <c r="L203" s="548"/>
      <c r="M203" s="548"/>
      <c r="N203" s="548"/>
    </row>
    <row r="204" spans="2:14" s="9" customFormat="1" x14ac:dyDescent="0.2">
      <c r="B204" s="753"/>
      <c r="C204" s="753"/>
      <c r="D204" s="753"/>
      <c r="E204" s="753"/>
      <c r="F204" s="753"/>
      <c r="G204" s="753"/>
      <c r="H204" s="753"/>
      <c r="I204" s="753"/>
      <c r="J204" s="753"/>
      <c r="K204" s="753"/>
      <c r="L204" s="753"/>
      <c r="M204" s="753"/>
      <c r="N204" s="753"/>
    </row>
    <row r="205" spans="2:14" s="9" customFormat="1" ht="15" x14ac:dyDescent="0.25">
      <c r="B205" s="547"/>
      <c r="C205" s="549"/>
      <c r="D205" s="549"/>
      <c r="E205" s="549"/>
      <c r="F205" s="549"/>
      <c r="G205" s="549"/>
      <c r="H205" s="549"/>
      <c r="I205" s="549"/>
      <c r="J205" s="549"/>
      <c r="K205" s="549"/>
      <c r="L205" s="549"/>
      <c r="M205" s="549"/>
      <c r="N205" s="549"/>
    </row>
    <row r="206" spans="2:14" s="9" customFormat="1" x14ac:dyDescent="0.2">
      <c r="B206" s="548"/>
      <c r="C206" s="550"/>
      <c r="D206" s="550"/>
      <c r="E206" s="550"/>
      <c r="F206" s="550"/>
      <c r="G206" s="550"/>
      <c r="H206" s="550"/>
      <c r="I206" s="550"/>
      <c r="J206" s="550"/>
      <c r="K206" s="550"/>
      <c r="L206" s="550"/>
      <c r="M206" s="550"/>
      <c r="N206" s="550"/>
    </row>
    <row r="207" spans="2:14" s="9" customFormat="1" x14ac:dyDescent="0.2">
      <c r="B207" s="548"/>
      <c r="C207" s="550"/>
      <c r="D207" s="550"/>
      <c r="E207" s="550"/>
      <c r="F207" s="550"/>
      <c r="G207" s="550"/>
      <c r="H207" s="550"/>
      <c r="I207" s="550"/>
      <c r="J207" s="550"/>
      <c r="K207" s="550"/>
      <c r="L207" s="550"/>
      <c r="M207" s="550"/>
      <c r="N207" s="550"/>
    </row>
    <row r="208" spans="2:14" s="9" customFormat="1" x14ac:dyDescent="0.2">
      <c r="B208" s="548"/>
      <c r="C208" s="550"/>
      <c r="D208" s="550"/>
      <c r="E208" s="550"/>
      <c r="F208" s="550"/>
      <c r="G208" s="550"/>
      <c r="H208" s="550"/>
      <c r="I208" s="550"/>
      <c r="J208" s="550"/>
      <c r="K208" s="550"/>
      <c r="L208" s="550"/>
      <c r="M208" s="550"/>
      <c r="N208" s="550"/>
    </row>
    <row r="209" spans="2:14" s="9" customFormat="1" x14ac:dyDescent="0.2">
      <c r="B209" s="548"/>
      <c r="C209" s="550"/>
      <c r="D209" s="550"/>
      <c r="E209" s="550"/>
      <c r="F209" s="550"/>
      <c r="G209" s="550"/>
      <c r="H209" s="550"/>
      <c r="I209" s="550"/>
      <c r="J209" s="550"/>
      <c r="K209" s="550"/>
      <c r="L209" s="550"/>
      <c r="M209" s="550"/>
      <c r="N209" s="550"/>
    </row>
    <row r="210" spans="2:14" s="9" customFormat="1" x14ac:dyDescent="0.2">
      <c r="B210" s="548"/>
      <c r="C210" s="550"/>
      <c r="D210" s="550"/>
      <c r="E210" s="550"/>
      <c r="F210" s="550"/>
      <c r="G210" s="550"/>
      <c r="H210" s="550"/>
      <c r="I210" s="550"/>
      <c r="J210" s="550"/>
      <c r="K210" s="550"/>
      <c r="L210" s="550"/>
      <c r="M210" s="550"/>
      <c r="N210" s="550"/>
    </row>
    <row r="211" spans="2:14" s="9" customFormat="1" ht="14.25" x14ac:dyDescent="0.2">
      <c r="B211" s="554"/>
      <c r="C211" s="555"/>
      <c r="D211" s="555"/>
      <c r="E211" s="555"/>
      <c r="F211" s="555"/>
      <c r="G211" s="555"/>
      <c r="H211" s="555"/>
      <c r="I211" s="555"/>
      <c r="J211" s="555"/>
      <c r="K211" s="555"/>
      <c r="L211" s="555"/>
      <c r="M211" s="555"/>
      <c r="N211" s="555"/>
    </row>
    <row r="212" spans="2:14" s="9" customFormat="1" x14ac:dyDescent="0.2">
      <c r="B212" s="547"/>
      <c r="C212" s="548"/>
      <c r="D212" s="548"/>
      <c r="E212" s="548"/>
      <c r="F212" s="548"/>
      <c r="G212" s="548"/>
      <c r="H212" s="548"/>
      <c r="I212" s="548"/>
      <c r="J212" s="548"/>
      <c r="K212" s="548"/>
      <c r="L212" s="548"/>
      <c r="M212" s="548"/>
      <c r="N212" s="548"/>
    </row>
    <row r="213" spans="2:14" s="9" customFormat="1" x14ac:dyDescent="0.2">
      <c r="B213" s="753"/>
      <c r="C213" s="753"/>
      <c r="D213" s="753"/>
      <c r="E213" s="753"/>
      <c r="F213" s="753"/>
      <c r="G213" s="753"/>
      <c r="H213" s="753"/>
      <c r="I213" s="753"/>
      <c r="J213" s="753"/>
      <c r="K213" s="753"/>
      <c r="L213" s="753"/>
      <c r="M213" s="753"/>
      <c r="N213" s="753"/>
    </row>
    <row r="214" spans="2:14" s="9" customFormat="1" ht="15" x14ac:dyDescent="0.25">
      <c r="B214" s="547"/>
      <c r="C214" s="549"/>
      <c r="D214" s="549"/>
      <c r="E214" s="549"/>
      <c r="F214" s="549"/>
      <c r="G214" s="549"/>
      <c r="H214" s="549"/>
      <c r="I214" s="549"/>
      <c r="J214" s="549"/>
      <c r="K214" s="549"/>
      <c r="L214" s="549"/>
      <c r="M214" s="549"/>
      <c r="N214" s="549"/>
    </row>
    <row r="215" spans="2:14" s="9" customFormat="1" x14ac:dyDescent="0.2">
      <c r="B215" s="548"/>
      <c r="C215" s="550"/>
      <c r="D215" s="550"/>
      <c r="E215" s="550"/>
      <c r="F215" s="550"/>
      <c r="G215" s="550"/>
      <c r="H215" s="550"/>
      <c r="I215" s="550"/>
      <c r="J215" s="550"/>
      <c r="K215" s="550"/>
      <c r="L215" s="550"/>
      <c r="M215" s="550"/>
      <c r="N215" s="550"/>
    </row>
    <row r="216" spans="2:14" s="9" customFormat="1" x14ac:dyDescent="0.2">
      <c r="B216" s="548"/>
      <c r="C216" s="550"/>
      <c r="D216" s="550"/>
      <c r="E216" s="550"/>
      <c r="F216" s="550"/>
      <c r="G216" s="550"/>
      <c r="H216" s="550"/>
      <c r="I216" s="550"/>
      <c r="J216" s="550"/>
      <c r="K216" s="550"/>
      <c r="L216" s="550"/>
      <c r="M216" s="550"/>
      <c r="N216" s="550"/>
    </row>
    <row r="217" spans="2:14" s="9" customFormat="1" x14ac:dyDescent="0.2">
      <c r="B217" s="548"/>
      <c r="C217" s="550"/>
      <c r="D217" s="550"/>
      <c r="E217" s="550"/>
      <c r="F217" s="550"/>
      <c r="G217" s="550"/>
      <c r="H217" s="550"/>
      <c r="I217" s="550"/>
      <c r="J217" s="550"/>
      <c r="K217" s="550"/>
      <c r="L217" s="550"/>
      <c r="M217" s="550"/>
      <c r="N217" s="550"/>
    </row>
    <row r="218" spans="2:14" s="9" customFormat="1" x14ac:dyDescent="0.2">
      <c r="B218" s="548"/>
      <c r="C218" s="550"/>
      <c r="D218" s="550"/>
      <c r="E218" s="550"/>
      <c r="F218" s="550"/>
      <c r="G218" s="550"/>
      <c r="H218" s="550"/>
      <c r="I218" s="550"/>
      <c r="J218" s="550"/>
      <c r="K218" s="550"/>
      <c r="L218" s="550"/>
      <c r="M218" s="550"/>
      <c r="N218" s="550"/>
    </row>
    <row r="219" spans="2:14" s="9" customFormat="1" x14ac:dyDescent="0.2">
      <c r="B219" s="548"/>
      <c r="C219" s="550"/>
      <c r="D219" s="550"/>
      <c r="E219" s="550"/>
      <c r="F219" s="550"/>
      <c r="G219" s="550"/>
      <c r="H219" s="550"/>
      <c r="I219" s="550"/>
      <c r="J219" s="550"/>
      <c r="K219" s="550"/>
      <c r="L219" s="550"/>
      <c r="M219" s="550"/>
      <c r="N219" s="550"/>
    </row>
    <row r="220" spans="2:14" s="9" customFormat="1" x14ac:dyDescent="0.2">
      <c r="B220" s="551"/>
      <c r="C220" s="252"/>
      <c r="D220" s="252"/>
      <c r="E220" s="252"/>
      <c r="F220" s="252"/>
      <c r="G220" s="252"/>
      <c r="H220" s="252"/>
      <c r="I220" s="252"/>
      <c r="J220" s="252"/>
      <c r="K220" s="252"/>
      <c r="L220" s="252"/>
      <c r="M220" s="252"/>
      <c r="N220" s="252"/>
    </row>
    <row r="221" spans="2:14" s="9" customFormat="1" x14ac:dyDescent="0.2"/>
    <row r="222" spans="2:14" s="9" customFormat="1" x14ac:dyDescent="0.2">
      <c r="B222" s="545"/>
      <c r="C222" s="252"/>
      <c r="D222" s="252"/>
      <c r="E222" s="252"/>
      <c r="F222" s="252"/>
      <c r="G222" s="252"/>
      <c r="H222" s="252"/>
      <c r="I222" s="252"/>
      <c r="J222" s="252"/>
      <c r="K222" s="252"/>
      <c r="L222" s="252"/>
      <c r="M222" s="252"/>
      <c r="N222" s="252"/>
    </row>
    <row r="223" spans="2:14" s="9" customFormat="1" x14ac:dyDescent="0.2">
      <c r="B223" s="16"/>
      <c r="C223" s="252"/>
      <c r="D223" s="252"/>
      <c r="E223" s="252"/>
      <c r="F223" s="252"/>
      <c r="G223" s="252"/>
      <c r="H223" s="252"/>
      <c r="I223" s="252"/>
      <c r="J223" s="252"/>
      <c r="K223" s="252"/>
      <c r="L223" s="252"/>
      <c r="M223" s="252"/>
      <c r="N223" s="252"/>
    </row>
    <row r="224" spans="2:14" s="9" customFormat="1" x14ac:dyDescent="0.2">
      <c r="B224" s="545"/>
      <c r="C224" s="252"/>
      <c r="D224" s="252"/>
      <c r="E224" s="252"/>
      <c r="F224" s="252"/>
      <c r="G224" s="252"/>
      <c r="H224" s="252"/>
      <c r="I224" s="252"/>
      <c r="J224" s="252"/>
      <c r="K224" s="252"/>
      <c r="L224" s="252"/>
      <c r="M224" s="252"/>
      <c r="N224" s="252"/>
    </row>
    <row r="225" spans="2:14" s="9" customFormat="1" x14ac:dyDescent="0.2">
      <c r="B225" s="546"/>
      <c r="C225" s="252"/>
      <c r="D225" s="252"/>
      <c r="E225" s="252"/>
      <c r="F225" s="252"/>
      <c r="G225" s="252"/>
      <c r="H225" s="252"/>
      <c r="I225" s="252"/>
      <c r="J225" s="252"/>
      <c r="K225" s="252"/>
      <c r="L225" s="252"/>
      <c r="M225" s="252"/>
      <c r="N225" s="252"/>
    </row>
    <row r="226" spans="2:14" s="9" customFormat="1" x14ac:dyDescent="0.2">
      <c r="B226" s="252"/>
      <c r="C226" s="252"/>
      <c r="D226" s="252"/>
      <c r="E226" s="252"/>
      <c r="F226" s="252"/>
      <c r="G226" s="252"/>
      <c r="H226" s="252"/>
      <c r="I226" s="252"/>
      <c r="J226" s="252"/>
      <c r="K226" s="252"/>
      <c r="L226" s="252"/>
      <c r="M226" s="252"/>
      <c r="N226" s="252"/>
    </row>
    <row r="227" spans="2:14" s="9" customFormat="1" x14ac:dyDescent="0.2">
      <c r="B227" s="547"/>
      <c r="C227" s="548"/>
      <c r="D227" s="548"/>
      <c r="E227" s="548"/>
      <c r="F227" s="548"/>
      <c r="G227" s="548"/>
      <c r="H227" s="548"/>
      <c r="I227" s="548"/>
      <c r="J227" s="548"/>
      <c r="K227" s="548"/>
      <c r="L227" s="548"/>
      <c r="M227" s="548"/>
      <c r="N227" s="548"/>
    </row>
    <row r="228" spans="2:14" s="9" customFormat="1" x14ac:dyDescent="0.2">
      <c r="B228" s="753"/>
      <c r="C228" s="753"/>
      <c r="D228" s="753"/>
      <c r="E228" s="753"/>
      <c r="F228" s="753"/>
      <c r="G228" s="753"/>
      <c r="H228" s="753"/>
      <c r="I228" s="753"/>
      <c r="J228" s="753"/>
      <c r="K228" s="753"/>
      <c r="L228" s="753"/>
      <c r="M228" s="753"/>
      <c r="N228" s="753"/>
    </row>
    <row r="229" spans="2:14" s="9" customFormat="1" ht="15" x14ac:dyDescent="0.25">
      <c r="B229" s="547"/>
      <c r="C229" s="549"/>
      <c r="D229" s="549"/>
      <c r="E229" s="549"/>
      <c r="F229" s="549"/>
      <c r="G229" s="549"/>
      <c r="H229" s="549"/>
      <c r="I229" s="549"/>
      <c r="J229" s="549"/>
      <c r="K229" s="549"/>
      <c r="L229" s="549"/>
      <c r="M229" s="549"/>
      <c r="N229" s="549"/>
    </row>
    <row r="230" spans="2:14" s="9" customFormat="1" x14ac:dyDescent="0.2">
      <c r="B230" s="548"/>
      <c r="C230" s="550"/>
      <c r="D230" s="550"/>
      <c r="E230" s="550"/>
      <c r="F230" s="550"/>
      <c r="G230" s="550"/>
      <c r="H230" s="550"/>
      <c r="I230" s="550"/>
      <c r="J230" s="550"/>
      <c r="K230" s="550"/>
      <c r="L230" s="550"/>
      <c r="M230" s="550"/>
      <c r="N230" s="550"/>
    </row>
    <row r="231" spans="2:14" s="9" customFormat="1" x14ac:dyDescent="0.2">
      <c r="B231" s="548"/>
      <c r="C231" s="550"/>
      <c r="D231" s="550"/>
      <c r="E231" s="550"/>
      <c r="F231" s="550"/>
      <c r="G231" s="550"/>
      <c r="H231" s="550"/>
      <c r="I231" s="550"/>
      <c r="J231" s="550"/>
      <c r="K231" s="550"/>
      <c r="L231" s="550"/>
      <c r="M231" s="550"/>
      <c r="N231" s="550"/>
    </row>
    <row r="232" spans="2:14" s="9" customFormat="1" x14ac:dyDescent="0.2">
      <c r="B232" s="548"/>
      <c r="C232" s="550"/>
      <c r="D232" s="550"/>
      <c r="E232" s="550"/>
      <c r="F232" s="550"/>
      <c r="G232" s="550"/>
      <c r="H232" s="550"/>
      <c r="I232" s="550"/>
      <c r="J232" s="550"/>
      <c r="K232" s="550"/>
      <c r="L232" s="550"/>
      <c r="M232" s="550"/>
      <c r="N232" s="550"/>
    </row>
    <row r="233" spans="2:14" s="9" customFormat="1" x14ac:dyDescent="0.2">
      <c r="B233" s="548"/>
      <c r="C233" s="550"/>
      <c r="D233" s="550"/>
      <c r="E233" s="550"/>
      <c r="F233" s="550"/>
      <c r="G233" s="550"/>
      <c r="H233" s="550"/>
      <c r="I233" s="550"/>
      <c r="J233" s="550"/>
      <c r="K233" s="550"/>
      <c r="L233" s="550"/>
      <c r="M233" s="550"/>
      <c r="N233" s="550"/>
    </row>
    <row r="234" spans="2:14" s="9" customFormat="1" x14ac:dyDescent="0.2">
      <c r="B234" s="548"/>
      <c r="C234" s="550"/>
      <c r="D234" s="550"/>
      <c r="E234" s="550"/>
      <c r="F234" s="550"/>
      <c r="G234" s="550"/>
      <c r="H234" s="550"/>
      <c r="I234" s="550"/>
      <c r="J234" s="550"/>
      <c r="K234" s="550"/>
      <c r="L234" s="550"/>
      <c r="M234" s="550"/>
      <c r="N234" s="550"/>
    </row>
    <row r="235" spans="2:14" s="9" customFormat="1" x14ac:dyDescent="0.2">
      <c r="B235" s="548"/>
      <c r="C235" s="550"/>
      <c r="D235" s="550"/>
      <c r="E235" s="550"/>
      <c r="F235" s="550"/>
      <c r="G235" s="550"/>
      <c r="H235" s="550"/>
      <c r="I235" s="550"/>
      <c r="J235" s="550"/>
      <c r="K235" s="550"/>
      <c r="L235" s="550"/>
      <c r="M235" s="550"/>
      <c r="N235" s="550"/>
    </row>
    <row r="236" spans="2:14" s="9" customFormat="1" x14ac:dyDescent="0.2">
      <c r="B236" s="548"/>
      <c r="C236" s="550"/>
      <c r="D236" s="550"/>
      <c r="E236" s="550"/>
      <c r="F236" s="550"/>
      <c r="G236" s="550"/>
      <c r="H236" s="550"/>
      <c r="I236" s="550"/>
      <c r="J236" s="550"/>
      <c r="K236" s="550"/>
      <c r="L236" s="550"/>
      <c r="M236" s="550"/>
      <c r="N236" s="550"/>
    </row>
    <row r="237" spans="2:14" s="9" customFormat="1" x14ac:dyDescent="0.2">
      <c r="B237" s="548"/>
      <c r="C237" s="550"/>
      <c r="D237" s="550"/>
      <c r="E237" s="550"/>
      <c r="F237" s="550"/>
      <c r="G237" s="550"/>
      <c r="H237" s="550"/>
      <c r="I237" s="550"/>
      <c r="J237" s="550"/>
      <c r="K237" s="550"/>
      <c r="L237" s="550"/>
      <c r="M237" s="550"/>
      <c r="N237" s="550"/>
    </row>
    <row r="238" spans="2:14" s="9" customFormat="1" x14ac:dyDescent="0.2">
      <c r="B238" s="548"/>
      <c r="C238" s="550"/>
      <c r="D238" s="550"/>
      <c r="E238" s="550"/>
      <c r="F238" s="550"/>
      <c r="G238" s="550"/>
      <c r="H238" s="550"/>
      <c r="I238" s="550"/>
      <c r="J238" s="550"/>
      <c r="K238" s="550"/>
      <c r="L238" s="550"/>
      <c r="M238" s="550"/>
      <c r="N238" s="550"/>
    </row>
    <row r="239" spans="2:14" s="9" customFormat="1" x14ac:dyDescent="0.2">
      <c r="B239" s="548"/>
      <c r="C239" s="550"/>
      <c r="D239" s="550"/>
      <c r="E239" s="550"/>
      <c r="F239" s="550"/>
      <c r="G239" s="550"/>
      <c r="H239" s="550"/>
      <c r="I239" s="550"/>
      <c r="J239" s="550"/>
      <c r="K239" s="550"/>
      <c r="L239" s="550"/>
      <c r="M239" s="550"/>
      <c r="N239" s="550"/>
    </row>
    <row r="240" spans="2:14" s="9" customFormat="1" x14ac:dyDescent="0.2">
      <c r="B240" s="551"/>
      <c r="C240" s="252"/>
      <c r="D240" s="252"/>
      <c r="E240" s="252"/>
      <c r="F240" s="252"/>
      <c r="G240" s="252"/>
      <c r="H240" s="252"/>
      <c r="I240" s="252"/>
      <c r="J240" s="252"/>
      <c r="K240" s="252"/>
      <c r="L240" s="252"/>
      <c r="M240" s="252"/>
      <c r="N240" s="252"/>
    </row>
    <row r="241" spans="2:14" s="9" customFormat="1" x14ac:dyDescent="0.2"/>
    <row r="242" spans="2:14" s="9" customFormat="1" x14ac:dyDescent="0.2">
      <c r="B242" s="545"/>
      <c r="C242" s="252"/>
      <c r="D242" s="252"/>
      <c r="E242" s="252"/>
      <c r="F242" s="252"/>
      <c r="G242" s="252"/>
      <c r="H242" s="252"/>
      <c r="I242" s="252"/>
      <c r="J242" s="252"/>
      <c r="K242" s="252"/>
      <c r="L242" s="252"/>
      <c r="M242" s="252"/>
      <c r="N242" s="252"/>
    </row>
    <row r="243" spans="2:14" s="9" customFormat="1" x14ac:dyDescent="0.2">
      <c r="B243" s="16"/>
      <c r="C243" s="252"/>
      <c r="D243" s="252"/>
      <c r="E243" s="252"/>
      <c r="F243" s="252"/>
      <c r="G243" s="252"/>
      <c r="H243" s="252"/>
      <c r="I243" s="252"/>
      <c r="J243" s="252"/>
      <c r="K243" s="252"/>
      <c r="L243" s="252"/>
      <c r="M243" s="252"/>
      <c r="N243" s="252"/>
    </row>
    <row r="244" spans="2:14" s="9" customFormat="1" x14ac:dyDescent="0.2">
      <c r="B244" s="546"/>
      <c r="C244" s="252"/>
      <c r="D244" s="252"/>
      <c r="E244" s="252"/>
      <c r="F244" s="252"/>
      <c r="G244" s="252"/>
      <c r="H244" s="252"/>
      <c r="I244" s="252"/>
      <c r="J244" s="252"/>
      <c r="K244" s="252"/>
      <c r="L244" s="252"/>
      <c r="M244" s="252"/>
      <c r="N244" s="252"/>
    </row>
    <row r="245" spans="2:14" s="9" customFormat="1" x14ac:dyDescent="0.2">
      <c r="B245" s="545"/>
      <c r="C245" s="252"/>
      <c r="D245" s="252"/>
      <c r="E245" s="252"/>
      <c r="F245" s="252"/>
      <c r="G245" s="252"/>
      <c r="H245" s="252"/>
      <c r="I245" s="252"/>
      <c r="J245" s="252"/>
      <c r="K245" s="252"/>
      <c r="L245" s="252"/>
      <c r="M245" s="252"/>
      <c r="N245" s="252"/>
    </row>
    <row r="246" spans="2:14" s="9" customFormat="1" x14ac:dyDescent="0.2">
      <c r="B246" s="252"/>
      <c r="C246" s="252"/>
      <c r="D246" s="252"/>
      <c r="E246" s="252"/>
      <c r="F246" s="252"/>
      <c r="G246" s="252"/>
      <c r="H246" s="252"/>
      <c r="I246" s="252"/>
      <c r="J246" s="252"/>
      <c r="K246" s="252"/>
      <c r="L246" s="252"/>
      <c r="M246" s="252"/>
      <c r="N246" s="252"/>
    </row>
    <row r="247" spans="2:14" s="9" customFormat="1" x14ac:dyDescent="0.2">
      <c r="B247" s="547"/>
      <c r="C247" s="548"/>
      <c r="D247" s="548"/>
      <c r="E247" s="548"/>
      <c r="F247" s="548"/>
      <c r="G247" s="548"/>
      <c r="H247" s="548"/>
      <c r="I247" s="548"/>
      <c r="J247" s="548"/>
      <c r="K247" s="548"/>
      <c r="L247" s="548"/>
      <c r="M247" s="548"/>
      <c r="N247" s="548"/>
    </row>
    <row r="248" spans="2:14" s="9" customFormat="1" x14ac:dyDescent="0.2">
      <c r="B248" s="753"/>
      <c r="C248" s="753"/>
      <c r="D248" s="753"/>
      <c r="E248" s="753"/>
      <c r="F248" s="753"/>
      <c r="G248" s="753"/>
      <c r="H248" s="753"/>
      <c r="I248" s="753"/>
      <c r="J248" s="753"/>
      <c r="K248" s="753"/>
      <c r="L248" s="753"/>
      <c r="M248" s="753"/>
      <c r="N248" s="753"/>
    </row>
    <row r="249" spans="2:14" s="9" customFormat="1" ht="15" x14ac:dyDescent="0.25">
      <c r="B249" s="547"/>
      <c r="C249" s="549"/>
      <c r="D249" s="549"/>
      <c r="E249" s="549"/>
      <c r="F249" s="549"/>
      <c r="G249" s="549"/>
      <c r="H249" s="549"/>
      <c r="I249" s="549"/>
      <c r="J249" s="549"/>
      <c r="K249" s="549"/>
      <c r="L249" s="549"/>
      <c r="M249" s="549"/>
      <c r="N249" s="549"/>
    </row>
    <row r="250" spans="2:14" s="9" customFormat="1" x14ac:dyDescent="0.2">
      <c r="B250" s="548"/>
      <c r="C250" s="550"/>
      <c r="D250" s="550"/>
      <c r="E250" s="550"/>
      <c r="F250" s="550"/>
      <c r="G250" s="550"/>
      <c r="H250" s="550"/>
      <c r="I250" s="550"/>
      <c r="J250" s="550"/>
      <c r="K250" s="550"/>
      <c r="L250" s="550"/>
      <c r="M250" s="550"/>
      <c r="N250" s="550"/>
    </row>
    <row r="251" spans="2:14" s="9" customFormat="1" x14ac:dyDescent="0.2">
      <c r="B251" s="548"/>
      <c r="C251" s="550"/>
      <c r="D251" s="550"/>
      <c r="E251" s="550"/>
      <c r="F251" s="550"/>
      <c r="G251" s="550"/>
      <c r="H251" s="550"/>
      <c r="I251" s="550"/>
      <c r="J251" s="550"/>
      <c r="K251" s="550"/>
      <c r="L251" s="550"/>
      <c r="M251" s="550"/>
      <c r="N251" s="550"/>
    </row>
    <row r="252" spans="2:14" s="9" customFormat="1" x14ac:dyDescent="0.2">
      <c r="B252" s="548"/>
      <c r="C252" s="550"/>
      <c r="D252" s="550"/>
      <c r="E252" s="550"/>
      <c r="F252" s="550"/>
      <c r="G252" s="550"/>
      <c r="H252" s="550"/>
      <c r="I252" s="550"/>
      <c r="J252" s="550"/>
      <c r="K252" s="550"/>
      <c r="L252" s="550"/>
      <c r="M252" s="550"/>
      <c r="N252" s="550"/>
    </row>
    <row r="253" spans="2:14" s="9" customFormat="1" x14ac:dyDescent="0.2">
      <c r="B253" s="548"/>
      <c r="C253" s="550"/>
      <c r="D253" s="550"/>
      <c r="E253" s="550"/>
      <c r="F253" s="550"/>
      <c r="G253" s="550"/>
      <c r="H253" s="550"/>
      <c r="I253" s="550"/>
      <c r="J253" s="550"/>
      <c r="K253" s="550"/>
      <c r="L253" s="550"/>
      <c r="M253" s="550"/>
      <c r="N253" s="550"/>
    </row>
    <row r="254" spans="2:14" s="9" customFormat="1" x14ac:dyDescent="0.2">
      <c r="B254" s="548"/>
      <c r="C254" s="550"/>
      <c r="D254" s="550"/>
      <c r="E254" s="550"/>
      <c r="F254" s="550"/>
      <c r="G254" s="550"/>
      <c r="H254" s="550"/>
      <c r="I254" s="550"/>
      <c r="J254" s="550"/>
      <c r="K254" s="550"/>
      <c r="L254" s="550"/>
      <c r="M254" s="550"/>
      <c r="N254" s="550"/>
    </row>
    <row r="255" spans="2:14" s="9" customFormat="1" x14ac:dyDescent="0.2">
      <c r="B255" s="409"/>
      <c r="C255" s="409"/>
      <c r="D255" s="409"/>
      <c r="E255" s="409"/>
      <c r="F255" s="409"/>
      <c r="G255" s="409"/>
      <c r="H255" s="409"/>
      <c r="I255" s="409"/>
      <c r="J255" s="409"/>
      <c r="K255" s="409"/>
      <c r="L255" s="409"/>
      <c r="M255" s="409"/>
      <c r="N255" s="409"/>
    </row>
    <row r="256" spans="2:14" s="9" customFormat="1" x14ac:dyDescent="0.2"/>
    <row r="257" spans="2:14" s="9" customFormat="1" x14ac:dyDescent="0.2">
      <c r="B257" s="545"/>
      <c r="C257" s="252"/>
      <c r="D257" s="252"/>
      <c r="E257" s="252"/>
      <c r="F257" s="252"/>
      <c r="G257" s="252"/>
      <c r="H257" s="252"/>
      <c r="I257" s="252"/>
      <c r="J257" s="252"/>
      <c r="K257" s="252"/>
      <c r="L257" s="252"/>
      <c r="M257" s="252"/>
      <c r="N257" s="252"/>
    </row>
    <row r="258" spans="2:14" s="9" customFormat="1" x14ac:dyDescent="0.2">
      <c r="B258" s="16"/>
      <c r="C258" s="252"/>
      <c r="D258" s="252"/>
      <c r="E258" s="252"/>
      <c r="F258" s="252"/>
      <c r="G258" s="252"/>
      <c r="H258" s="252"/>
      <c r="I258" s="252"/>
      <c r="J258" s="252"/>
      <c r="K258" s="252"/>
      <c r="L258" s="252"/>
      <c r="M258" s="252"/>
      <c r="N258" s="252"/>
    </row>
    <row r="259" spans="2:14" s="9" customFormat="1" x14ac:dyDescent="0.2">
      <c r="B259" s="545"/>
      <c r="C259" s="252"/>
      <c r="D259" s="252"/>
      <c r="E259" s="252"/>
      <c r="F259" s="252"/>
      <c r="G259" s="252"/>
      <c r="H259" s="252"/>
      <c r="I259" s="252"/>
      <c r="J259" s="252"/>
      <c r="K259" s="252"/>
      <c r="L259" s="252"/>
      <c r="M259" s="252"/>
      <c r="N259" s="252"/>
    </row>
    <row r="260" spans="2:14" s="9" customFormat="1" x14ac:dyDescent="0.2">
      <c r="B260" s="545"/>
      <c r="C260" s="252"/>
      <c r="D260" s="252"/>
      <c r="E260" s="252"/>
      <c r="F260" s="252"/>
      <c r="G260" s="252"/>
      <c r="H260" s="252"/>
      <c r="I260" s="252"/>
      <c r="J260" s="252"/>
      <c r="K260" s="252"/>
      <c r="L260" s="252"/>
      <c r="M260" s="252"/>
      <c r="N260" s="252"/>
    </row>
    <row r="261" spans="2:14" s="9" customFormat="1" x14ac:dyDescent="0.2">
      <c r="B261" s="252"/>
      <c r="C261" s="252"/>
      <c r="D261" s="252"/>
      <c r="E261" s="252"/>
      <c r="F261" s="252"/>
      <c r="G261" s="252"/>
      <c r="H261" s="252"/>
      <c r="I261" s="252"/>
      <c r="J261" s="252"/>
      <c r="K261" s="252"/>
      <c r="L261" s="252"/>
      <c r="M261" s="252"/>
      <c r="N261" s="252"/>
    </row>
    <row r="262" spans="2:14" s="9" customFormat="1" x14ac:dyDescent="0.2">
      <c r="B262" s="547"/>
      <c r="C262" s="548"/>
      <c r="D262" s="548"/>
      <c r="E262" s="548"/>
      <c r="F262" s="548"/>
      <c r="G262" s="548"/>
      <c r="H262" s="548"/>
      <c r="I262" s="548"/>
      <c r="J262" s="548"/>
      <c r="K262" s="548"/>
      <c r="L262" s="548"/>
      <c r="M262" s="548"/>
      <c r="N262" s="548"/>
    </row>
    <row r="263" spans="2:14" s="9" customFormat="1" x14ac:dyDescent="0.2">
      <c r="B263" s="753"/>
      <c r="C263" s="753"/>
      <c r="D263" s="753"/>
      <c r="E263" s="753"/>
      <c r="F263" s="753"/>
      <c r="G263" s="753"/>
      <c r="H263" s="753"/>
      <c r="I263" s="753"/>
      <c r="J263" s="753"/>
      <c r="K263" s="753"/>
      <c r="L263" s="753"/>
      <c r="M263" s="753"/>
      <c r="N263" s="753"/>
    </row>
    <row r="264" spans="2:14" s="9" customFormat="1" ht="15" x14ac:dyDescent="0.25">
      <c r="B264" s="547"/>
      <c r="C264" s="549"/>
      <c r="D264" s="549"/>
      <c r="E264" s="549"/>
      <c r="F264" s="549"/>
      <c r="G264" s="549"/>
      <c r="H264" s="549"/>
      <c r="I264" s="549"/>
      <c r="J264" s="549"/>
      <c r="K264" s="549"/>
      <c r="L264" s="549"/>
      <c r="M264" s="549"/>
      <c r="N264" s="549"/>
    </row>
    <row r="265" spans="2:14" s="9" customFormat="1" x14ac:dyDescent="0.2">
      <c r="B265" s="548"/>
      <c r="C265" s="550"/>
      <c r="D265" s="550"/>
      <c r="E265" s="550"/>
      <c r="F265" s="550"/>
      <c r="G265" s="550"/>
      <c r="H265" s="550"/>
      <c r="I265" s="550"/>
      <c r="J265" s="550"/>
      <c r="K265" s="550"/>
      <c r="L265" s="550"/>
      <c r="M265" s="550"/>
      <c r="N265" s="550"/>
    </row>
    <row r="266" spans="2:14" s="9" customFormat="1" x14ac:dyDescent="0.2">
      <c r="B266" s="548"/>
      <c r="C266" s="550"/>
      <c r="D266" s="550"/>
      <c r="E266" s="550"/>
      <c r="F266" s="550"/>
      <c r="G266" s="550"/>
      <c r="H266" s="550"/>
      <c r="I266" s="550"/>
      <c r="J266" s="550"/>
      <c r="K266" s="550"/>
      <c r="L266" s="550"/>
      <c r="M266" s="550"/>
      <c r="N266" s="550"/>
    </row>
    <row r="267" spans="2:14" s="9" customFormat="1" x14ac:dyDescent="0.2">
      <c r="B267" s="548"/>
      <c r="C267" s="550"/>
      <c r="D267" s="550"/>
      <c r="E267" s="550"/>
      <c r="F267" s="550"/>
      <c r="G267" s="550"/>
      <c r="H267" s="550"/>
      <c r="I267" s="550"/>
      <c r="J267" s="550"/>
      <c r="K267" s="550"/>
      <c r="L267" s="550"/>
      <c r="M267" s="550"/>
      <c r="N267" s="550"/>
    </row>
    <row r="268" spans="2:14" s="9" customFormat="1" x14ac:dyDescent="0.2">
      <c r="B268" s="548"/>
      <c r="C268" s="550"/>
      <c r="D268" s="550"/>
      <c r="E268" s="550"/>
      <c r="F268" s="550"/>
      <c r="G268" s="550"/>
      <c r="H268" s="550"/>
      <c r="I268" s="550"/>
      <c r="J268" s="550"/>
      <c r="K268" s="550"/>
      <c r="L268" s="550"/>
      <c r="M268" s="550"/>
      <c r="N268" s="550"/>
    </row>
    <row r="269" spans="2:14" s="9" customFormat="1" x14ac:dyDescent="0.2">
      <c r="B269" s="548"/>
      <c r="C269" s="550"/>
      <c r="D269" s="550"/>
      <c r="E269" s="550"/>
      <c r="F269" s="550"/>
      <c r="G269" s="550"/>
      <c r="H269" s="550"/>
      <c r="I269" s="550"/>
      <c r="J269" s="550"/>
      <c r="K269" s="550"/>
      <c r="L269" s="550"/>
      <c r="M269" s="550"/>
      <c r="N269" s="550"/>
    </row>
    <row r="270" spans="2:14" s="9" customFormat="1" x14ac:dyDescent="0.2">
      <c r="B270" s="553"/>
      <c r="C270" s="252"/>
      <c r="D270" s="252"/>
      <c r="E270" s="252"/>
      <c r="F270" s="252"/>
      <c r="G270" s="252"/>
      <c r="H270" s="252"/>
      <c r="I270" s="252"/>
      <c r="J270" s="252"/>
      <c r="K270" s="252"/>
      <c r="L270" s="252"/>
      <c r="M270" s="252"/>
      <c r="N270" s="252"/>
    </row>
    <row r="271" spans="2:14" s="9" customFormat="1" x14ac:dyDescent="0.2"/>
    <row r="272" spans="2:14" s="9" customFormat="1" x14ac:dyDescent="0.2">
      <c r="B272" s="545"/>
      <c r="C272" s="252"/>
      <c r="D272" s="252"/>
      <c r="E272" s="252"/>
      <c r="F272" s="252"/>
      <c r="G272" s="252"/>
      <c r="H272" s="252"/>
      <c r="I272" s="252"/>
      <c r="J272" s="252"/>
      <c r="K272" s="252"/>
      <c r="L272" s="252"/>
      <c r="M272" s="252"/>
      <c r="N272" s="252"/>
    </row>
    <row r="273" spans="2:14" s="9" customFormat="1" x14ac:dyDescent="0.2">
      <c r="B273" s="16"/>
      <c r="C273" s="252"/>
      <c r="D273" s="252"/>
      <c r="E273" s="252"/>
      <c r="F273" s="252"/>
      <c r="G273" s="252"/>
      <c r="H273" s="252"/>
      <c r="I273" s="252"/>
      <c r="J273" s="252"/>
      <c r="K273" s="252"/>
      <c r="L273" s="252"/>
      <c r="M273" s="252"/>
      <c r="N273" s="252"/>
    </row>
    <row r="274" spans="2:14" s="9" customFormat="1" x14ac:dyDescent="0.2">
      <c r="B274" s="545"/>
      <c r="C274" s="252"/>
      <c r="D274" s="252"/>
      <c r="E274" s="252"/>
      <c r="F274" s="252"/>
      <c r="G274" s="252"/>
      <c r="H274" s="252"/>
      <c r="I274" s="252"/>
      <c r="J274" s="252"/>
      <c r="K274" s="252"/>
      <c r="L274" s="252"/>
      <c r="M274" s="252"/>
      <c r="N274" s="252"/>
    </row>
    <row r="275" spans="2:14" s="9" customFormat="1" x14ac:dyDescent="0.2">
      <c r="B275" s="545"/>
      <c r="C275" s="252"/>
      <c r="D275" s="252"/>
      <c r="E275" s="252"/>
      <c r="F275" s="252"/>
      <c r="G275" s="252"/>
      <c r="H275" s="252"/>
      <c r="I275" s="252"/>
      <c r="J275" s="252"/>
      <c r="K275" s="252"/>
      <c r="L275" s="252"/>
      <c r="M275" s="252"/>
      <c r="N275" s="252"/>
    </row>
    <row r="276" spans="2:14" s="9" customFormat="1" x14ac:dyDescent="0.2">
      <c r="B276" s="252"/>
      <c r="C276" s="252"/>
      <c r="D276" s="252"/>
      <c r="E276" s="252"/>
      <c r="F276" s="252"/>
      <c r="G276" s="252"/>
      <c r="H276" s="252"/>
      <c r="I276" s="252"/>
      <c r="J276" s="252"/>
      <c r="K276" s="252"/>
      <c r="L276" s="252"/>
      <c r="M276" s="252"/>
      <c r="N276" s="252"/>
    </row>
    <row r="277" spans="2:14" s="9" customFormat="1" x14ac:dyDescent="0.2">
      <c r="B277" s="547"/>
      <c r="C277" s="548"/>
      <c r="D277" s="548"/>
      <c r="E277" s="548"/>
      <c r="F277" s="548"/>
      <c r="G277" s="548"/>
      <c r="H277" s="548"/>
      <c r="I277" s="548"/>
      <c r="J277" s="548"/>
      <c r="K277" s="548"/>
      <c r="L277" s="548"/>
      <c r="M277" s="548"/>
      <c r="N277" s="548"/>
    </row>
    <row r="278" spans="2:14" s="9" customFormat="1" x14ac:dyDescent="0.2">
      <c r="B278" s="753"/>
      <c r="C278" s="753"/>
      <c r="D278" s="753"/>
      <c r="E278" s="753"/>
      <c r="F278" s="753"/>
      <c r="G278" s="753"/>
      <c r="H278" s="753"/>
      <c r="I278" s="753"/>
      <c r="J278" s="753"/>
      <c r="K278" s="753"/>
      <c r="L278" s="753"/>
      <c r="M278" s="753"/>
      <c r="N278" s="753"/>
    </row>
    <row r="279" spans="2:14" s="9" customFormat="1" ht="15" x14ac:dyDescent="0.25">
      <c r="B279" s="550"/>
      <c r="C279" s="549"/>
      <c r="D279" s="549"/>
      <c r="E279" s="549"/>
      <c r="F279" s="549"/>
      <c r="G279" s="549"/>
      <c r="H279" s="549"/>
      <c r="I279" s="549"/>
      <c r="J279" s="549"/>
      <c r="K279" s="549"/>
      <c r="L279" s="549"/>
      <c r="M279" s="549"/>
      <c r="N279" s="549"/>
    </row>
    <row r="280" spans="2:14" s="9" customFormat="1" x14ac:dyDescent="0.2">
      <c r="B280" s="548"/>
      <c r="C280" s="550"/>
      <c r="D280" s="550"/>
      <c r="E280" s="550"/>
      <c r="F280" s="550"/>
      <c r="G280" s="550"/>
      <c r="H280" s="550"/>
      <c r="I280" s="550"/>
      <c r="J280" s="550"/>
      <c r="K280" s="550"/>
      <c r="L280" s="550"/>
      <c r="M280" s="550"/>
      <c r="N280" s="550"/>
    </row>
    <row r="281" spans="2:14" s="9" customFormat="1" x14ac:dyDescent="0.2">
      <c r="B281" s="548"/>
      <c r="C281" s="550"/>
      <c r="D281" s="550"/>
      <c r="E281" s="550"/>
      <c r="F281" s="550"/>
      <c r="G281" s="550"/>
      <c r="H281" s="550"/>
      <c r="I281" s="550"/>
      <c r="J281" s="550"/>
      <c r="K281" s="550"/>
      <c r="L281" s="550"/>
      <c r="M281" s="550"/>
      <c r="N281" s="550"/>
    </row>
    <row r="282" spans="2:14" s="9" customFormat="1" x14ac:dyDescent="0.2">
      <c r="B282" s="548"/>
      <c r="C282" s="550"/>
      <c r="D282" s="550"/>
      <c r="E282" s="550"/>
      <c r="F282" s="550"/>
      <c r="G282" s="550"/>
      <c r="H282" s="550"/>
      <c r="I282" s="550"/>
      <c r="J282" s="550"/>
      <c r="K282" s="550"/>
      <c r="L282" s="550"/>
      <c r="M282" s="550"/>
      <c r="N282" s="550"/>
    </row>
    <row r="283" spans="2:14" s="9" customFormat="1" x14ac:dyDescent="0.2">
      <c r="B283" s="548"/>
      <c r="C283" s="550"/>
      <c r="D283" s="550"/>
      <c r="E283" s="550"/>
      <c r="F283" s="550"/>
      <c r="G283" s="550"/>
      <c r="H283" s="550"/>
      <c r="I283" s="550"/>
      <c r="J283" s="550"/>
      <c r="K283" s="550"/>
      <c r="L283" s="550"/>
      <c r="M283" s="550"/>
      <c r="N283" s="550"/>
    </row>
    <row r="284" spans="2:14" s="9" customFormat="1" x14ac:dyDescent="0.2">
      <c r="B284" s="548"/>
      <c r="C284" s="550"/>
      <c r="D284" s="550"/>
      <c r="E284" s="550"/>
      <c r="F284" s="550"/>
      <c r="G284" s="550"/>
      <c r="H284" s="550"/>
      <c r="I284" s="550"/>
      <c r="J284" s="550"/>
      <c r="K284" s="550"/>
      <c r="L284" s="550"/>
      <c r="M284" s="550"/>
      <c r="N284" s="550"/>
    </row>
    <row r="285" spans="2:14" s="9" customFormat="1" x14ac:dyDescent="0.2">
      <c r="B285" s="551"/>
      <c r="C285" s="252"/>
      <c r="D285" s="252"/>
      <c r="E285" s="252"/>
      <c r="F285" s="252"/>
      <c r="G285" s="252"/>
      <c r="H285" s="252"/>
      <c r="I285" s="252"/>
      <c r="J285" s="252"/>
      <c r="K285" s="252"/>
      <c r="L285" s="252"/>
      <c r="M285" s="252"/>
      <c r="N285" s="252"/>
    </row>
    <row r="286" spans="2:14" s="9" customFormat="1" x14ac:dyDescent="0.2"/>
    <row r="287" spans="2:14" s="9" customFormat="1" x14ac:dyDescent="0.2">
      <c r="B287" s="545"/>
      <c r="C287" s="252"/>
      <c r="D287" s="252"/>
      <c r="E287" s="252"/>
      <c r="F287" s="252"/>
      <c r="G287" s="252"/>
      <c r="H287" s="252"/>
      <c r="I287" s="252"/>
      <c r="J287" s="252"/>
      <c r="K287" s="252"/>
      <c r="L287" s="252"/>
      <c r="M287" s="252"/>
      <c r="N287" s="252"/>
    </row>
    <row r="288" spans="2:14" s="9" customFormat="1" x14ac:dyDescent="0.2">
      <c r="B288" s="16"/>
      <c r="C288" s="252"/>
      <c r="D288" s="252"/>
      <c r="E288" s="252"/>
      <c r="F288" s="252"/>
      <c r="G288" s="252"/>
      <c r="H288" s="252"/>
      <c r="I288" s="252"/>
      <c r="J288" s="252"/>
      <c r="K288" s="252"/>
      <c r="L288" s="252"/>
      <c r="M288" s="252"/>
      <c r="N288" s="252"/>
    </row>
    <row r="289" spans="2:14" s="9" customFormat="1" x14ac:dyDescent="0.2">
      <c r="B289" s="546"/>
      <c r="C289" s="252"/>
      <c r="D289" s="252"/>
      <c r="E289" s="252"/>
      <c r="F289" s="252"/>
      <c r="G289" s="252"/>
      <c r="H289" s="252"/>
      <c r="I289" s="252"/>
      <c r="J289" s="252"/>
      <c r="K289" s="252"/>
      <c r="L289" s="252"/>
      <c r="M289" s="252"/>
      <c r="N289" s="252"/>
    </row>
    <row r="290" spans="2:14" s="9" customFormat="1" x14ac:dyDescent="0.2">
      <c r="B290" s="545"/>
      <c r="C290" s="252"/>
      <c r="D290" s="252"/>
      <c r="E290" s="252"/>
      <c r="F290" s="252"/>
      <c r="G290" s="252"/>
      <c r="H290" s="252"/>
      <c r="I290" s="252"/>
      <c r="J290" s="252"/>
      <c r="K290" s="252"/>
      <c r="L290" s="252"/>
      <c r="M290" s="252"/>
      <c r="N290" s="252"/>
    </row>
    <row r="291" spans="2:14" s="9" customFormat="1" x14ac:dyDescent="0.2">
      <c r="B291" s="252"/>
      <c r="C291" s="252"/>
      <c r="D291" s="252"/>
      <c r="E291" s="252"/>
      <c r="F291" s="252"/>
      <c r="G291" s="252"/>
      <c r="H291" s="252"/>
      <c r="I291" s="252"/>
      <c r="J291" s="252"/>
      <c r="K291" s="252"/>
      <c r="L291" s="252"/>
      <c r="M291" s="252"/>
      <c r="N291" s="252"/>
    </row>
    <row r="292" spans="2:14" s="9" customFormat="1" x14ac:dyDescent="0.2">
      <c r="B292" s="547"/>
      <c r="C292" s="548"/>
      <c r="D292" s="548"/>
      <c r="E292" s="548"/>
      <c r="F292" s="548"/>
      <c r="G292" s="548"/>
      <c r="H292" s="548"/>
      <c r="I292" s="548"/>
      <c r="J292" s="548"/>
      <c r="K292" s="548"/>
      <c r="L292" s="548"/>
      <c r="M292" s="548"/>
      <c r="N292" s="548"/>
    </row>
    <row r="293" spans="2:14" s="9" customFormat="1" x14ac:dyDescent="0.2">
      <c r="B293" s="753"/>
      <c r="C293" s="753"/>
      <c r="D293" s="753"/>
      <c r="E293" s="753"/>
      <c r="F293" s="753"/>
      <c r="G293" s="753"/>
      <c r="H293" s="753"/>
      <c r="I293" s="753"/>
      <c r="J293" s="753"/>
      <c r="K293" s="753"/>
      <c r="L293" s="753"/>
      <c r="M293" s="753"/>
      <c r="N293" s="753"/>
    </row>
    <row r="294" spans="2:14" s="9" customFormat="1" ht="15" x14ac:dyDescent="0.25">
      <c r="B294" s="547"/>
      <c r="C294" s="549"/>
      <c r="D294" s="549"/>
      <c r="E294" s="549"/>
      <c r="F294" s="549"/>
      <c r="G294" s="549"/>
      <c r="H294" s="549"/>
      <c r="I294" s="549"/>
      <c r="J294" s="549"/>
      <c r="K294" s="549"/>
      <c r="L294" s="549"/>
      <c r="M294" s="549"/>
      <c r="N294" s="549"/>
    </row>
    <row r="295" spans="2:14" s="9" customFormat="1" x14ac:dyDescent="0.2">
      <c r="B295" s="548"/>
      <c r="C295" s="550"/>
      <c r="D295" s="550"/>
      <c r="E295" s="550"/>
      <c r="F295" s="550"/>
      <c r="G295" s="550"/>
      <c r="H295" s="550"/>
      <c r="I295" s="550"/>
      <c r="J295" s="550"/>
      <c r="K295" s="550"/>
      <c r="L295" s="550"/>
      <c r="M295" s="550"/>
      <c r="N295" s="550"/>
    </row>
    <row r="296" spans="2:14" s="9" customFormat="1" x14ac:dyDescent="0.2">
      <c r="B296" s="548"/>
      <c r="C296" s="550"/>
      <c r="D296" s="550"/>
      <c r="E296" s="550"/>
      <c r="F296" s="550"/>
      <c r="G296" s="550"/>
      <c r="H296" s="550"/>
      <c r="I296" s="550"/>
      <c r="J296" s="550"/>
      <c r="K296" s="550"/>
      <c r="L296" s="550"/>
      <c r="M296" s="550"/>
      <c r="N296" s="550"/>
    </row>
    <row r="297" spans="2:14" s="9" customFormat="1" x14ac:dyDescent="0.2">
      <c r="B297" s="548"/>
      <c r="C297" s="550"/>
      <c r="D297" s="550"/>
      <c r="E297" s="550"/>
      <c r="F297" s="550"/>
      <c r="G297" s="550"/>
      <c r="H297" s="550"/>
      <c r="I297" s="550"/>
      <c r="J297" s="550"/>
      <c r="K297" s="550"/>
      <c r="L297" s="550"/>
      <c r="M297" s="550"/>
      <c r="N297" s="550"/>
    </row>
    <row r="298" spans="2:14" s="9" customFormat="1" x14ac:dyDescent="0.2">
      <c r="B298" s="548"/>
      <c r="C298" s="550"/>
      <c r="D298" s="550"/>
      <c r="E298" s="550"/>
      <c r="F298" s="550"/>
      <c r="G298" s="550"/>
      <c r="H298" s="550"/>
      <c r="I298" s="550"/>
      <c r="J298" s="550"/>
      <c r="K298" s="550"/>
      <c r="L298" s="550"/>
      <c r="M298" s="550"/>
      <c r="N298" s="550"/>
    </row>
    <row r="299" spans="2:14" s="9" customFormat="1" x14ac:dyDescent="0.2">
      <c r="B299" s="548"/>
      <c r="C299" s="550"/>
      <c r="D299" s="550"/>
      <c r="E299" s="550"/>
      <c r="F299" s="550"/>
      <c r="G299" s="550"/>
      <c r="H299" s="550"/>
      <c r="I299" s="550"/>
      <c r="J299" s="550"/>
      <c r="K299" s="550"/>
      <c r="L299" s="550"/>
      <c r="M299" s="550"/>
      <c r="N299" s="550"/>
    </row>
    <row r="300" spans="2:14" s="9" customFormat="1" ht="14.25" x14ac:dyDescent="0.2">
      <c r="B300" s="554"/>
      <c r="C300" s="555"/>
      <c r="D300" s="555"/>
      <c r="E300" s="555"/>
      <c r="F300" s="555"/>
      <c r="G300" s="555"/>
      <c r="H300" s="555"/>
      <c r="I300" s="555"/>
      <c r="J300" s="555"/>
      <c r="K300" s="555"/>
      <c r="L300" s="555"/>
      <c r="M300" s="555"/>
      <c r="N300" s="555"/>
    </row>
    <row r="301" spans="2:14" s="9" customFormat="1" x14ac:dyDescent="0.2">
      <c r="B301" s="547"/>
      <c r="C301" s="548"/>
      <c r="D301" s="548"/>
      <c r="E301" s="548"/>
      <c r="F301" s="548"/>
      <c r="G301" s="548"/>
      <c r="H301" s="548"/>
      <c r="I301" s="548"/>
      <c r="J301" s="548"/>
      <c r="K301" s="548"/>
      <c r="L301" s="548"/>
      <c r="M301" s="548"/>
      <c r="N301" s="548"/>
    </row>
    <row r="302" spans="2:14" s="9" customFormat="1" x14ac:dyDescent="0.2">
      <c r="B302" s="753"/>
      <c r="C302" s="753"/>
      <c r="D302" s="753"/>
      <c r="E302" s="753"/>
      <c r="F302" s="753"/>
      <c r="G302" s="753"/>
      <c r="H302" s="753"/>
      <c r="I302" s="753"/>
      <c r="J302" s="753"/>
      <c r="K302" s="753"/>
      <c r="L302" s="753"/>
      <c r="M302" s="753"/>
      <c r="N302" s="753"/>
    </row>
    <row r="303" spans="2:14" s="9" customFormat="1" ht="15" x14ac:dyDescent="0.25">
      <c r="B303" s="547"/>
      <c r="C303" s="549"/>
      <c r="D303" s="549"/>
      <c r="E303" s="549"/>
      <c r="F303" s="549"/>
      <c r="G303" s="549"/>
      <c r="H303" s="549"/>
      <c r="I303" s="549"/>
      <c r="J303" s="549"/>
      <c r="K303" s="549"/>
      <c r="L303" s="549"/>
      <c r="M303" s="549"/>
      <c r="N303" s="549"/>
    </row>
    <row r="304" spans="2:14" s="9" customFormat="1" x14ac:dyDescent="0.2">
      <c r="B304" s="548"/>
      <c r="C304" s="550"/>
      <c r="D304" s="550"/>
      <c r="E304" s="550"/>
      <c r="F304" s="550"/>
      <c r="G304" s="550"/>
      <c r="H304" s="550"/>
      <c r="I304" s="550"/>
      <c r="J304" s="550"/>
      <c r="K304" s="550"/>
      <c r="L304" s="550"/>
      <c r="M304" s="550"/>
      <c r="N304" s="550"/>
    </row>
    <row r="305" spans="2:14" s="9" customFormat="1" x14ac:dyDescent="0.2">
      <c r="B305" s="548"/>
      <c r="C305" s="550"/>
      <c r="D305" s="550"/>
      <c r="E305" s="550"/>
      <c r="F305" s="550"/>
      <c r="G305" s="550"/>
      <c r="H305" s="550"/>
      <c r="I305" s="550"/>
      <c r="J305" s="550"/>
      <c r="K305" s="550"/>
      <c r="L305" s="550"/>
      <c r="M305" s="550"/>
      <c r="N305" s="550"/>
    </row>
    <row r="306" spans="2:14" s="9" customFormat="1" x14ac:dyDescent="0.2">
      <c r="B306" s="548"/>
      <c r="C306" s="550"/>
      <c r="D306" s="550"/>
      <c r="E306" s="550"/>
      <c r="F306" s="550"/>
      <c r="G306" s="550"/>
      <c r="H306" s="550"/>
      <c r="I306" s="550"/>
      <c r="J306" s="550"/>
      <c r="K306" s="550"/>
      <c r="L306" s="550"/>
      <c r="M306" s="550"/>
      <c r="N306" s="550"/>
    </row>
    <row r="307" spans="2:14" s="9" customFormat="1" x14ac:dyDescent="0.2">
      <c r="B307" s="548"/>
      <c r="C307" s="550"/>
      <c r="D307" s="550"/>
      <c r="E307" s="550"/>
      <c r="F307" s="550"/>
      <c r="G307" s="550"/>
      <c r="H307" s="550"/>
      <c r="I307" s="550"/>
      <c r="J307" s="550"/>
      <c r="K307" s="550"/>
      <c r="L307" s="550"/>
      <c r="M307" s="550"/>
      <c r="N307" s="550"/>
    </row>
    <row r="308" spans="2:14" s="9" customFormat="1" x14ac:dyDescent="0.2">
      <c r="B308" s="548"/>
      <c r="C308" s="550"/>
      <c r="D308" s="550"/>
      <c r="E308" s="550"/>
      <c r="F308" s="550"/>
      <c r="G308" s="550"/>
      <c r="H308" s="550"/>
      <c r="I308" s="550"/>
      <c r="J308" s="550"/>
      <c r="K308" s="550"/>
      <c r="L308" s="550"/>
      <c r="M308" s="550"/>
      <c r="N308" s="550"/>
    </row>
    <row r="309" spans="2:14" x14ac:dyDescent="0.2">
      <c r="B309" s="409"/>
      <c r="C309" s="409"/>
      <c r="D309" s="409"/>
      <c r="E309" s="409"/>
      <c r="F309" s="409"/>
      <c r="G309" s="409"/>
      <c r="H309" s="409"/>
      <c r="I309" s="409"/>
      <c r="J309" s="409"/>
      <c r="K309" s="409"/>
      <c r="L309" s="409"/>
      <c r="M309" s="409"/>
      <c r="N309" s="409"/>
    </row>
  </sheetData>
  <mergeCells count="18">
    <mergeCell ref="B110:N110"/>
    <mergeCell ref="B16:N16"/>
    <mergeCell ref="B35:N35"/>
    <mergeCell ref="B75:N75"/>
    <mergeCell ref="B90:N90"/>
    <mergeCell ref="B59:N59"/>
    <mergeCell ref="B302:N302"/>
    <mergeCell ref="B135:N135"/>
    <mergeCell ref="B155:N155"/>
    <mergeCell ref="B180:N180"/>
    <mergeCell ref="B189:N189"/>
    <mergeCell ref="B204:N204"/>
    <mergeCell ref="B213:N213"/>
    <mergeCell ref="B228:N228"/>
    <mergeCell ref="B248:N248"/>
    <mergeCell ref="B263:N263"/>
    <mergeCell ref="B278:N278"/>
    <mergeCell ref="B293:N293"/>
  </mergeCells>
  <hyperlinks>
    <hyperlink ref="B6"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A1:O81"/>
  <sheetViews>
    <sheetView workbookViewId="0">
      <selection activeCell="B133" sqref="B133"/>
    </sheetView>
  </sheetViews>
  <sheetFormatPr defaultRowHeight="12.75" x14ac:dyDescent="0.2"/>
  <cols>
    <col min="2" max="2" width="22.5703125" customWidth="1"/>
  </cols>
  <sheetData>
    <row r="1" spans="1:15" ht="20.25" x14ac:dyDescent="0.3">
      <c r="A1" s="13" t="s">
        <v>19</v>
      </c>
      <c r="B1" s="12"/>
      <c r="C1" s="12"/>
      <c r="D1" s="12"/>
      <c r="E1" s="12"/>
      <c r="F1" s="12"/>
      <c r="G1" s="12"/>
      <c r="H1" s="12"/>
      <c r="I1" s="12"/>
    </row>
    <row r="2" spans="1:15" ht="15.75" x14ac:dyDescent="0.25">
      <c r="A2" s="27" t="str">
        <f>IF(title="&gt; Enter workbook title here","Enter workbook title in Cover sheet",title)</f>
        <v>Scottish Fire pension  projection calculator</v>
      </c>
      <c r="B2" s="11"/>
      <c r="C2" s="11"/>
      <c r="D2" s="11"/>
      <c r="E2" s="11"/>
      <c r="F2" s="11"/>
      <c r="G2" s="11"/>
      <c r="H2" s="11"/>
      <c r="I2" s="11"/>
    </row>
    <row r="3" spans="1:15" ht="15.75" x14ac:dyDescent="0.25">
      <c r="A3" s="14" t="s">
        <v>252</v>
      </c>
      <c r="B3" s="11"/>
      <c r="C3" s="11"/>
      <c r="D3" s="11"/>
      <c r="E3" s="11"/>
      <c r="F3" s="11"/>
      <c r="G3" s="11"/>
      <c r="H3" s="11"/>
      <c r="I3" s="11"/>
    </row>
    <row r="4" spans="1:15" x14ac:dyDescent="0.2">
      <c r="A4" s="7" t="str">
        <f ca="1">CELL("filename",A1)</f>
        <v>C:\Users\u205538\Downloads\[NHS_Pension_Calculator_v2.3 22 Dec 2020 (6).xlsx]ERF-LRF 2015</v>
      </c>
    </row>
    <row r="6" spans="1:15" x14ac:dyDescent="0.2">
      <c r="B6" s="35" t="s">
        <v>631</v>
      </c>
    </row>
    <row r="7" spans="1:15" x14ac:dyDescent="0.2">
      <c r="B7" s="35"/>
    </row>
    <row r="10" spans="1:15" x14ac:dyDescent="0.2">
      <c r="B10" s="755" t="s">
        <v>581</v>
      </c>
      <c r="C10" s="755"/>
      <c r="D10" s="755"/>
      <c r="E10" s="755"/>
      <c r="F10" s="755"/>
      <c r="G10" s="755"/>
      <c r="H10" s="755"/>
      <c r="I10" s="755"/>
      <c r="J10" s="755"/>
      <c r="K10" s="755"/>
      <c r="L10" s="755"/>
      <c r="M10" s="755"/>
      <c r="N10" s="755"/>
      <c r="O10" s="755"/>
    </row>
    <row r="11" spans="1:15" x14ac:dyDescent="0.2">
      <c r="B11" s="754" t="s">
        <v>634</v>
      </c>
      <c r="C11" s="754"/>
      <c r="D11" s="754"/>
      <c r="E11" s="754"/>
      <c r="F11" s="754"/>
      <c r="G11" s="754"/>
      <c r="H11" s="754"/>
      <c r="I11" s="754"/>
      <c r="J11" s="754"/>
      <c r="K11" s="754"/>
      <c r="L11" s="754"/>
      <c r="M11" s="754"/>
      <c r="N11" s="754"/>
      <c r="O11" s="754"/>
    </row>
    <row r="12" spans="1:15" x14ac:dyDescent="0.2">
      <c r="B12" s="754" t="s">
        <v>560</v>
      </c>
      <c r="C12" s="754"/>
      <c r="D12" s="754"/>
      <c r="E12" s="754"/>
      <c r="F12" s="754"/>
      <c r="G12" s="754"/>
      <c r="H12" s="754"/>
      <c r="I12" s="754"/>
      <c r="J12" s="754"/>
      <c r="K12" s="754"/>
      <c r="L12" s="754"/>
      <c r="M12" s="754"/>
      <c r="N12" s="754"/>
      <c r="O12" s="754"/>
    </row>
    <row r="13" spans="1:15" ht="13.5" thickBot="1" x14ac:dyDescent="0.25">
      <c r="B13" s="754" t="s">
        <v>582</v>
      </c>
      <c r="C13" s="754"/>
      <c r="D13" s="754"/>
      <c r="E13" s="754"/>
      <c r="F13" s="754"/>
      <c r="G13" s="754"/>
      <c r="H13" s="754"/>
      <c r="I13" s="754"/>
      <c r="J13" s="754"/>
      <c r="K13" s="754"/>
      <c r="L13" s="754"/>
      <c r="M13" s="754"/>
      <c r="N13" s="754"/>
      <c r="O13" s="754"/>
    </row>
    <row r="14" spans="1:15" ht="15" thickBot="1" x14ac:dyDescent="0.25">
      <c r="B14" s="415" t="s">
        <v>583</v>
      </c>
      <c r="C14" s="416">
        <v>0</v>
      </c>
      <c r="D14" s="416">
        <v>1</v>
      </c>
      <c r="E14" s="416">
        <v>2</v>
      </c>
      <c r="F14" s="416">
        <v>3</v>
      </c>
      <c r="G14" s="416">
        <v>4</v>
      </c>
      <c r="H14" s="416">
        <v>5</v>
      </c>
      <c r="I14" s="416">
        <v>6</v>
      </c>
      <c r="J14" s="416">
        <v>7</v>
      </c>
      <c r="K14" s="416">
        <v>8</v>
      </c>
      <c r="L14" s="416">
        <v>9</v>
      </c>
      <c r="M14" s="416">
        <v>10</v>
      </c>
      <c r="N14" s="416">
        <v>11</v>
      </c>
      <c r="O14" s="417"/>
    </row>
    <row r="15" spans="1:15" ht="15" thickBot="1" x14ac:dyDescent="0.25">
      <c r="B15" s="756" t="s">
        <v>563</v>
      </c>
      <c r="C15" s="757"/>
      <c r="D15" s="757"/>
      <c r="E15" s="757"/>
      <c r="F15" s="757"/>
      <c r="G15" s="757"/>
      <c r="H15" s="757"/>
      <c r="I15" s="757"/>
      <c r="J15" s="757"/>
      <c r="K15" s="757"/>
      <c r="L15" s="757"/>
      <c r="M15" s="757"/>
      <c r="N15" s="758"/>
      <c r="O15" s="417"/>
    </row>
    <row r="16" spans="1:15" ht="15" thickBot="1" x14ac:dyDescent="0.25">
      <c r="B16" s="418" t="s">
        <v>256</v>
      </c>
      <c r="C16" s="419"/>
      <c r="D16" s="419"/>
      <c r="E16" s="419"/>
      <c r="F16" s="419"/>
      <c r="G16" s="419"/>
      <c r="H16" s="419"/>
      <c r="I16" s="419"/>
      <c r="J16" s="419"/>
      <c r="K16" s="419"/>
      <c r="L16" s="419"/>
      <c r="M16" s="419"/>
      <c r="N16" s="419"/>
      <c r="O16" s="417"/>
    </row>
    <row r="17" spans="2:15" ht="15" thickBot="1" x14ac:dyDescent="0.25">
      <c r="B17" s="420">
        <v>0</v>
      </c>
      <c r="C17" s="474">
        <v>1</v>
      </c>
      <c r="D17" s="474">
        <v>0.995</v>
      </c>
      <c r="E17" s="474">
        <v>0.99099999999999999</v>
      </c>
      <c r="F17" s="474">
        <v>0.98599999999999999</v>
      </c>
      <c r="G17" s="474">
        <v>0.98099999999999998</v>
      </c>
      <c r="H17" s="474">
        <v>0.97699999999999998</v>
      </c>
      <c r="I17" s="474">
        <v>0.97199999999999998</v>
      </c>
      <c r="J17" s="474">
        <v>0.96699999999999997</v>
      </c>
      <c r="K17" s="474">
        <v>0.96299999999999997</v>
      </c>
      <c r="L17" s="474">
        <v>0.95799999999999996</v>
      </c>
      <c r="M17" s="474">
        <v>0.95299999999999996</v>
      </c>
      <c r="N17" s="474">
        <v>0.94899999999999995</v>
      </c>
      <c r="O17" s="417"/>
    </row>
    <row r="18" spans="2:15" ht="15" thickBot="1" x14ac:dyDescent="0.25">
      <c r="B18" s="420">
        <v>1</v>
      </c>
      <c r="C18" s="474">
        <v>0.94399999999999995</v>
      </c>
      <c r="D18" s="474">
        <v>0.94</v>
      </c>
      <c r="E18" s="474">
        <v>0.93600000000000005</v>
      </c>
      <c r="F18" s="474">
        <v>0.93100000000000005</v>
      </c>
      <c r="G18" s="474">
        <v>0.92700000000000005</v>
      </c>
      <c r="H18" s="474">
        <v>0.92300000000000004</v>
      </c>
      <c r="I18" s="474">
        <v>0.91800000000000004</v>
      </c>
      <c r="J18" s="474">
        <v>0.91400000000000003</v>
      </c>
      <c r="K18" s="474">
        <v>0.91</v>
      </c>
      <c r="L18" s="474">
        <v>0.90600000000000003</v>
      </c>
      <c r="M18" s="474">
        <v>0.90100000000000002</v>
      </c>
      <c r="N18" s="474">
        <v>0.89700000000000002</v>
      </c>
      <c r="O18" s="417"/>
    </row>
    <row r="19" spans="2:15" ht="15" thickBot="1" x14ac:dyDescent="0.25">
      <c r="B19" s="420">
        <v>2</v>
      </c>
      <c r="C19" s="474">
        <v>0.89300000000000002</v>
      </c>
      <c r="D19" s="474">
        <v>0.88900000000000001</v>
      </c>
      <c r="E19" s="474">
        <v>0.88500000000000001</v>
      </c>
      <c r="F19" s="474">
        <v>0.88100000000000001</v>
      </c>
      <c r="G19" s="474">
        <v>0.877</v>
      </c>
      <c r="H19" s="474">
        <v>0.873</v>
      </c>
      <c r="I19" s="474">
        <v>0.86899999999999999</v>
      </c>
      <c r="J19" s="474">
        <v>0.86499999999999999</v>
      </c>
      <c r="K19" s="474">
        <v>0.86099999999999999</v>
      </c>
      <c r="L19" s="474">
        <v>0.85699999999999998</v>
      </c>
      <c r="M19" s="474">
        <v>0.85299999999999998</v>
      </c>
      <c r="N19" s="474">
        <v>0.84899999999999998</v>
      </c>
      <c r="O19" s="417"/>
    </row>
    <row r="20" spans="2:15" ht="15" thickBot="1" x14ac:dyDescent="0.25">
      <c r="B20" s="420">
        <v>3</v>
      </c>
      <c r="C20" s="474">
        <v>0.84499999999999997</v>
      </c>
      <c r="D20" s="474">
        <v>0.84199999999999997</v>
      </c>
      <c r="E20" s="474">
        <v>0.83799999999999997</v>
      </c>
      <c r="F20" s="474">
        <v>0.83399999999999996</v>
      </c>
      <c r="G20" s="474">
        <v>0.83099999999999996</v>
      </c>
      <c r="H20" s="474">
        <v>0.82699999999999996</v>
      </c>
      <c r="I20" s="474">
        <v>0.82299999999999995</v>
      </c>
      <c r="J20" s="474">
        <v>0.82</v>
      </c>
      <c r="K20" s="474">
        <v>0.81599999999999995</v>
      </c>
      <c r="L20" s="474">
        <v>0.81200000000000006</v>
      </c>
      <c r="M20" s="474">
        <v>0.80900000000000005</v>
      </c>
      <c r="N20" s="474">
        <v>0.80500000000000005</v>
      </c>
      <c r="O20" s="417"/>
    </row>
    <row r="21" spans="2:15" ht="15" thickBot="1" x14ac:dyDescent="0.25">
      <c r="B21" s="420">
        <v>4</v>
      </c>
      <c r="C21" s="474">
        <v>0.80200000000000005</v>
      </c>
      <c r="D21" s="474">
        <v>0.79800000000000004</v>
      </c>
      <c r="E21" s="474">
        <v>0.79500000000000004</v>
      </c>
      <c r="F21" s="474">
        <v>0.79100000000000004</v>
      </c>
      <c r="G21" s="474">
        <v>0.78800000000000003</v>
      </c>
      <c r="H21" s="474">
        <v>0.78500000000000003</v>
      </c>
      <c r="I21" s="474">
        <v>0.78100000000000003</v>
      </c>
      <c r="J21" s="474">
        <v>0.77800000000000002</v>
      </c>
      <c r="K21" s="474">
        <v>0.77500000000000002</v>
      </c>
      <c r="L21" s="474">
        <v>0.77100000000000002</v>
      </c>
      <c r="M21" s="474">
        <v>0.76800000000000002</v>
      </c>
      <c r="N21" s="474">
        <v>0.76400000000000001</v>
      </c>
      <c r="O21" s="417"/>
    </row>
    <row r="22" spans="2:15" ht="15" thickBot="1" x14ac:dyDescent="0.25">
      <c r="B22" s="420">
        <v>5</v>
      </c>
      <c r="C22" s="474">
        <v>0.76100000000000001</v>
      </c>
      <c r="D22" s="474">
        <v>0.75800000000000001</v>
      </c>
      <c r="E22" s="474">
        <v>0.755</v>
      </c>
      <c r="F22" s="474">
        <v>0.752</v>
      </c>
      <c r="G22" s="474">
        <v>0.748</v>
      </c>
      <c r="H22" s="474">
        <v>0.745</v>
      </c>
      <c r="I22" s="474">
        <v>0.74199999999999999</v>
      </c>
      <c r="J22" s="474">
        <v>0.73899999999999999</v>
      </c>
      <c r="K22" s="474">
        <v>0.73599999999999999</v>
      </c>
      <c r="L22" s="474">
        <v>0.73299999999999998</v>
      </c>
      <c r="M22" s="474">
        <v>0.73</v>
      </c>
      <c r="N22" s="474">
        <v>0.72699999999999998</v>
      </c>
      <c r="O22" s="417"/>
    </row>
    <row r="23" spans="2:15" ht="15" thickBot="1" x14ac:dyDescent="0.25">
      <c r="B23" s="420">
        <v>6</v>
      </c>
      <c r="C23" s="474">
        <v>0.72299999999999998</v>
      </c>
      <c r="D23" s="474">
        <v>0.72</v>
      </c>
      <c r="E23" s="474">
        <v>0.71799999999999997</v>
      </c>
      <c r="F23" s="474">
        <v>0.71499999999999997</v>
      </c>
      <c r="G23" s="474">
        <v>0.71199999999999997</v>
      </c>
      <c r="H23" s="474">
        <v>0.70899999999999996</v>
      </c>
      <c r="I23" s="474">
        <v>0.70599999999999996</v>
      </c>
      <c r="J23" s="474">
        <v>0.70299999999999996</v>
      </c>
      <c r="K23" s="474">
        <v>0.7</v>
      </c>
      <c r="L23" s="474">
        <v>0.69699999999999995</v>
      </c>
      <c r="M23" s="474">
        <v>0.69399999999999995</v>
      </c>
      <c r="N23" s="474">
        <v>0.69099999999999995</v>
      </c>
      <c r="O23" s="417"/>
    </row>
    <row r="24" spans="2:15" ht="15" thickBot="1" x14ac:dyDescent="0.25">
      <c r="B24" s="420">
        <v>7</v>
      </c>
      <c r="C24" s="474">
        <v>0.68799999999999994</v>
      </c>
      <c r="D24" s="474">
        <v>0.68600000000000005</v>
      </c>
      <c r="E24" s="474">
        <v>0.68300000000000005</v>
      </c>
      <c r="F24" s="474">
        <v>0.68</v>
      </c>
      <c r="G24" s="474">
        <v>0.67800000000000005</v>
      </c>
      <c r="H24" s="474">
        <v>0.67500000000000004</v>
      </c>
      <c r="I24" s="474">
        <v>0.67200000000000004</v>
      </c>
      <c r="J24" s="474">
        <v>0.66900000000000004</v>
      </c>
      <c r="K24" s="474">
        <v>0.66700000000000004</v>
      </c>
      <c r="L24" s="474">
        <v>0.66400000000000003</v>
      </c>
      <c r="M24" s="474">
        <v>0.66100000000000003</v>
      </c>
      <c r="N24" s="474">
        <v>0.65900000000000003</v>
      </c>
      <c r="O24" s="417"/>
    </row>
    <row r="25" spans="2:15" ht="15" thickBot="1" x14ac:dyDescent="0.25">
      <c r="B25" s="420">
        <v>8</v>
      </c>
      <c r="C25" s="474">
        <v>0.65600000000000003</v>
      </c>
      <c r="D25" s="474">
        <v>0.65300000000000002</v>
      </c>
      <c r="E25" s="474">
        <v>0.65100000000000002</v>
      </c>
      <c r="F25" s="474">
        <v>0.64800000000000002</v>
      </c>
      <c r="G25" s="474">
        <v>0.64600000000000002</v>
      </c>
      <c r="H25" s="474">
        <v>0.64300000000000002</v>
      </c>
      <c r="I25" s="474">
        <v>0.64100000000000001</v>
      </c>
      <c r="J25" s="474">
        <v>0.63800000000000001</v>
      </c>
      <c r="K25" s="474">
        <v>0.63600000000000001</v>
      </c>
      <c r="L25" s="474">
        <v>0.63300000000000001</v>
      </c>
      <c r="M25" s="474">
        <v>0.63100000000000001</v>
      </c>
      <c r="N25" s="474">
        <v>0.628</v>
      </c>
      <c r="O25" s="417"/>
    </row>
    <row r="26" spans="2:15" ht="15" thickBot="1" x14ac:dyDescent="0.25">
      <c r="B26" s="420">
        <v>9</v>
      </c>
      <c r="C26" s="474">
        <v>0.625</v>
      </c>
      <c r="D26" s="474">
        <v>0.623</v>
      </c>
      <c r="E26" s="474">
        <v>0.621</v>
      </c>
      <c r="F26" s="474">
        <v>0.61799999999999999</v>
      </c>
      <c r="G26" s="474">
        <v>0.61599999999999999</v>
      </c>
      <c r="H26" s="474">
        <v>0.61399999999999999</v>
      </c>
      <c r="I26" s="474">
        <v>0.61099999999999999</v>
      </c>
      <c r="J26" s="474">
        <v>0.60899999999999999</v>
      </c>
      <c r="K26" s="474">
        <v>0.60699999999999998</v>
      </c>
      <c r="L26" s="474">
        <v>0.60399999999999998</v>
      </c>
      <c r="M26" s="474">
        <v>0.60199999999999998</v>
      </c>
      <c r="N26" s="474">
        <v>0.59899999999999998</v>
      </c>
      <c r="O26" s="417"/>
    </row>
    <row r="27" spans="2:15" ht="15" thickBot="1" x14ac:dyDescent="0.25">
      <c r="B27" s="420">
        <v>10</v>
      </c>
      <c r="C27" s="474">
        <v>0.59699999999999998</v>
      </c>
      <c r="D27" s="474">
        <v>0.59499999999999997</v>
      </c>
      <c r="E27" s="474">
        <v>0.59299999999999997</v>
      </c>
      <c r="F27" s="474">
        <v>0.59</v>
      </c>
      <c r="G27" s="474">
        <v>0.58799999999999997</v>
      </c>
      <c r="H27" s="474">
        <v>0.58599999999999997</v>
      </c>
      <c r="I27" s="474">
        <v>0.58399999999999996</v>
      </c>
      <c r="J27" s="474">
        <v>0.58199999999999996</v>
      </c>
      <c r="K27" s="474">
        <v>0.57899999999999996</v>
      </c>
      <c r="L27" s="474">
        <v>0.57699999999999996</v>
      </c>
      <c r="M27" s="474">
        <v>0.57499999999999996</v>
      </c>
      <c r="N27" s="474">
        <v>0.57299999999999995</v>
      </c>
      <c r="O27" s="417"/>
    </row>
    <row r="28" spans="2:15" ht="15" thickBot="1" x14ac:dyDescent="0.25">
      <c r="B28" s="420">
        <v>11</v>
      </c>
      <c r="C28" s="474">
        <v>0.56999999999999995</v>
      </c>
      <c r="D28" s="474">
        <v>0.56799999999999995</v>
      </c>
      <c r="E28" s="474">
        <v>0.56599999999999995</v>
      </c>
      <c r="F28" s="474">
        <v>0.56399999999999995</v>
      </c>
      <c r="G28" s="474">
        <v>0.56200000000000006</v>
      </c>
      <c r="H28" s="474">
        <v>0.56000000000000005</v>
      </c>
      <c r="I28" s="474">
        <v>0.55800000000000005</v>
      </c>
      <c r="J28" s="474">
        <v>0.55600000000000005</v>
      </c>
      <c r="K28" s="474">
        <v>0.55400000000000005</v>
      </c>
      <c r="L28" s="474">
        <v>0.55200000000000005</v>
      </c>
      <c r="M28" s="474">
        <v>0.55000000000000004</v>
      </c>
      <c r="N28" s="474">
        <v>0.54800000000000004</v>
      </c>
      <c r="O28" s="417"/>
    </row>
    <row r="29" spans="2:15" ht="15" thickBot="1" x14ac:dyDescent="0.25">
      <c r="B29" s="420">
        <v>12</v>
      </c>
      <c r="C29" s="474">
        <v>0.54600000000000004</v>
      </c>
      <c r="D29" s="474">
        <v>0.54400000000000004</v>
      </c>
      <c r="E29" s="474">
        <v>0.54200000000000004</v>
      </c>
      <c r="F29" s="474">
        <v>0.54</v>
      </c>
      <c r="G29" s="474">
        <v>0.53800000000000003</v>
      </c>
      <c r="H29" s="474">
        <v>0.53600000000000003</v>
      </c>
      <c r="I29" s="474">
        <v>0.53400000000000003</v>
      </c>
      <c r="J29" s="474">
        <v>0.53200000000000003</v>
      </c>
      <c r="K29" s="474">
        <v>0.53</v>
      </c>
      <c r="L29" s="474">
        <v>0.52800000000000002</v>
      </c>
      <c r="M29" s="474">
        <v>0.52600000000000002</v>
      </c>
      <c r="N29" s="474">
        <v>0.52400000000000002</v>
      </c>
      <c r="O29" s="417"/>
    </row>
    <row r="30" spans="2:15" x14ac:dyDescent="0.2">
      <c r="B30" s="421"/>
    </row>
    <row r="31" spans="2:15" x14ac:dyDescent="0.2">
      <c r="B31" s="422" t="s">
        <v>584</v>
      </c>
      <c r="C31" s="422" t="s">
        <v>585</v>
      </c>
    </row>
    <row r="32" spans="2:15" x14ac:dyDescent="0.2">
      <c r="B32" s="422" t="s">
        <v>586</v>
      </c>
      <c r="C32" s="422" t="s">
        <v>587</v>
      </c>
    </row>
    <row r="33" spans="2:14" x14ac:dyDescent="0.2">
      <c r="B33" s="423"/>
      <c r="C33" s="423" t="s">
        <v>588</v>
      </c>
    </row>
    <row r="36" spans="2:14" x14ac:dyDescent="0.2">
      <c r="B36" s="424" t="s">
        <v>589</v>
      </c>
    </row>
    <row r="37" spans="2:14" ht="14.25" x14ac:dyDescent="0.2">
      <c r="B37" s="425"/>
    </row>
    <row r="38" spans="2:14" x14ac:dyDescent="0.2">
      <c r="B38" s="754" t="s">
        <v>634</v>
      </c>
      <c r="C38" s="754"/>
      <c r="D38" s="754"/>
      <c r="E38" s="754"/>
      <c r="F38" s="754"/>
      <c r="G38" s="754"/>
      <c r="H38" s="754"/>
      <c r="I38" s="754"/>
      <c r="J38" s="754"/>
      <c r="K38" s="754"/>
      <c r="L38" s="754"/>
      <c r="M38" s="754"/>
      <c r="N38" s="754"/>
    </row>
    <row r="39" spans="2:14" x14ac:dyDescent="0.2">
      <c r="B39" s="754" t="s">
        <v>574</v>
      </c>
      <c r="C39" s="754"/>
      <c r="D39" s="754"/>
      <c r="E39" s="754"/>
      <c r="F39" s="754"/>
      <c r="G39" s="754"/>
      <c r="H39" s="754"/>
      <c r="I39" s="754"/>
      <c r="J39" s="754"/>
      <c r="K39" s="754"/>
      <c r="L39" s="754"/>
      <c r="M39" s="754"/>
      <c r="N39" s="754"/>
    </row>
    <row r="40" spans="2:14" ht="13.5" thickBot="1" x14ac:dyDescent="0.25">
      <c r="B40" s="759" t="s">
        <v>590</v>
      </c>
      <c r="C40" s="759"/>
      <c r="D40" s="759"/>
      <c r="E40" s="759"/>
      <c r="F40" s="759"/>
      <c r="G40" s="759"/>
      <c r="H40" s="759"/>
      <c r="I40" s="759"/>
      <c r="J40" s="759"/>
      <c r="K40" s="759"/>
      <c r="L40" s="759"/>
      <c r="M40" s="759"/>
      <c r="N40" s="759"/>
    </row>
    <row r="41" spans="2:14" ht="13.5" thickBot="1" x14ac:dyDescent="0.25">
      <c r="B41" s="418" t="s">
        <v>591</v>
      </c>
      <c r="C41" s="426">
        <v>0</v>
      </c>
      <c r="D41" s="426">
        <v>1</v>
      </c>
      <c r="E41" s="426">
        <v>2</v>
      </c>
      <c r="F41" s="426">
        <v>3</v>
      </c>
      <c r="G41" s="426">
        <v>4</v>
      </c>
      <c r="H41" s="426">
        <v>5</v>
      </c>
      <c r="I41" s="426">
        <v>6</v>
      </c>
      <c r="J41" s="426">
        <v>7</v>
      </c>
      <c r="K41" s="426">
        <v>8</v>
      </c>
      <c r="L41" s="426">
        <v>9</v>
      </c>
      <c r="M41" s="426">
        <v>10</v>
      </c>
      <c r="N41" s="426">
        <v>11</v>
      </c>
    </row>
    <row r="42" spans="2:14" ht="13.5" thickBot="1" x14ac:dyDescent="0.25">
      <c r="B42" s="756" t="s">
        <v>563</v>
      </c>
      <c r="C42" s="757"/>
      <c r="D42" s="757"/>
      <c r="E42" s="757"/>
      <c r="F42" s="757"/>
      <c r="G42" s="757"/>
      <c r="H42" s="757"/>
      <c r="I42" s="757"/>
      <c r="J42" s="757"/>
      <c r="K42" s="757"/>
      <c r="L42" s="757"/>
      <c r="M42" s="757"/>
      <c r="N42" s="758"/>
    </row>
    <row r="43" spans="2:14" ht="15" thickBot="1" x14ac:dyDescent="0.25">
      <c r="B43" s="418" t="s">
        <v>592</v>
      </c>
      <c r="C43" s="419"/>
      <c r="D43" s="419"/>
      <c r="E43" s="419"/>
      <c r="F43" s="419"/>
      <c r="G43" s="419"/>
      <c r="H43" s="419"/>
      <c r="I43" s="419"/>
      <c r="J43" s="419"/>
      <c r="K43" s="419"/>
      <c r="L43" s="419"/>
      <c r="M43" s="419"/>
      <c r="N43" s="419"/>
    </row>
    <row r="44" spans="2:14" ht="13.5" thickBot="1" x14ac:dyDescent="0.25">
      <c r="B44" s="420">
        <v>0</v>
      </c>
      <c r="C44" s="474">
        <v>1</v>
      </c>
      <c r="D44" s="474">
        <v>1.0029999999999999</v>
      </c>
      <c r="E44" s="474">
        <v>1.006</v>
      </c>
      <c r="F44" s="474">
        <v>1.0089999999999999</v>
      </c>
      <c r="G44" s="474">
        <v>1.0129999999999999</v>
      </c>
      <c r="H44" s="474">
        <v>1.016</v>
      </c>
      <c r="I44" s="474">
        <v>1.0189999999999999</v>
      </c>
      <c r="J44" s="474">
        <v>1.022</v>
      </c>
      <c r="K44" s="474">
        <v>1.0249999999999999</v>
      </c>
      <c r="L44" s="474">
        <v>1.028</v>
      </c>
      <c r="M44" s="474">
        <v>1.0309999999999999</v>
      </c>
      <c r="N44" s="474">
        <v>1.034</v>
      </c>
    </row>
    <row r="45" spans="2:14" ht="13.5" thickBot="1" x14ac:dyDescent="0.25">
      <c r="B45" s="420">
        <v>1</v>
      </c>
      <c r="C45" s="474">
        <v>1.038</v>
      </c>
      <c r="D45" s="474">
        <v>1.0409999999999999</v>
      </c>
      <c r="E45" s="474">
        <v>1.044</v>
      </c>
      <c r="F45" s="474">
        <v>1.0469999999999999</v>
      </c>
      <c r="G45" s="474">
        <v>1.05</v>
      </c>
      <c r="H45" s="474">
        <v>1.054</v>
      </c>
      <c r="I45" s="474">
        <v>1.0569999999999999</v>
      </c>
      <c r="J45" s="474">
        <v>1.06</v>
      </c>
      <c r="K45" s="474">
        <v>1.0629999999999999</v>
      </c>
      <c r="L45" s="474">
        <v>1.0669999999999999</v>
      </c>
      <c r="M45" s="474">
        <v>1.07</v>
      </c>
      <c r="N45" s="474">
        <v>1.073</v>
      </c>
    </row>
    <row r="46" spans="2:14" ht="13.5" thickBot="1" x14ac:dyDescent="0.25">
      <c r="B46" s="420">
        <v>2</v>
      </c>
      <c r="C46" s="474">
        <v>1.0760000000000001</v>
      </c>
      <c r="D46" s="474">
        <v>1.08</v>
      </c>
      <c r="E46" s="474">
        <v>1.083</v>
      </c>
      <c r="F46" s="474">
        <v>1.0860000000000001</v>
      </c>
      <c r="G46" s="474">
        <v>1.0900000000000001</v>
      </c>
      <c r="H46" s="474">
        <v>1.093</v>
      </c>
      <c r="I46" s="474">
        <v>1.097</v>
      </c>
      <c r="J46" s="474">
        <v>1.1000000000000001</v>
      </c>
      <c r="K46" s="474">
        <v>1.103</v>
      </c>
      <c r="L46" s="474">
        <v>1.107</v>
      </c>
      <c r="M46" s="474">
        <v>1.1100000000000001</v>
      </c>
      <c r="N46" s="474">
        <v>1.113</v>
      </c>
    </row>
    <row r="47" spans="2:14" ht="13.5" thickBot="1" x14ac:dyDescent="0.25">
      <c r="B47" s="420">
        <v>3</v>
      </c>
      <c r="C47" s="474">
        <v>1.117</v>
      </c>
      <c r="D47" s="474">
        <v>1.1200000000000001</v>
      </c>
      <c r="E47" s="474">
        <v>1.1240000000000001</v>
      </c>
      <c r="F47" s="474">
        <v>1.127</v>
      </c>
      <c r="G47" s="474">
        <v>1.131</v>
      </c>
      <c r="H47" s="474">
        <v>1.1339999999999999</v>
      </c>
      <c r="I47" s="474">
        <v>1.1379999999999999</v>
      </c>
      <c r="J47" s="474">
        <v>1.141</v>
      </c>
      <c r="K47" s="474">
        <v>1.145</v>
      </c>
      <c r="L47" s="474">
        <v>1.1479999999999999</v>
      </c>
      <c r="M47" s="474">
        <v>1.1519999999999999</v>
      </c>
      <c r="N47" s="474">
        <v>1.155</v>
      </c>
    </row>
    <row r="48" spans="2:14" ht="13.5" thickBot="1" x14ac:dyDescent="0.25">
      <c r="B48" s="420">
        <v>4</v>
      </c>
      <c r="C48" s="474">
        <v>1.159</v>
      </c>
      <c r="D48" s="474">
        <v>1.1619999999999999</v>
      </c>
      <c r="E48" s="474">
        <v>1.1659999999999999</v>
      </c>
      <c r="F48" s="474">
        <v>1.17</v>
      </c>
      <c r="G48" s="474">
        <v>1.173</v>
      </c>
      <c r="H48" s="474">
        <v>1.177</v>
      </c>
      <c r="I48" s="474">
        <v>1.18</v>
      </c>
      <c r="J48" s="474">
        <v>1.1839999999999999</v>
      </c>
      <c r="K48" s="474">
        <v>1.1879999999999999</v>
      </c>
      <c r="L48" s="474">
        <v>1.1910000000000001</v>
      </c>
      <c r="M48" s="474">
        <v>1.1950000000000001</v>
      </c>
      <c r="N48" s="474">
        <v>1.198</v>
      </c>
    </row>
    <row r="49" spans="2:14" ht="13.5" thickBot="1" x14ac:dyDescent="0.25">
      <c r="B49" s="420">
        <v>5</v>
      </c>
      <c r="C49" s="474">
        <v>1.202</v>
      </c>
      <c r="D49" s="474">
        <v>1.206</v>
      </c>
      <c r="E49" s="474">
        <v>1.21</v>
      </c>
      <c r="F49" s="474">
        <v>1.2130000000000001</v>
      </c>
      <c r="G49" s="474">
        <v>1.2170000000000001</v>
      </c>
      <c r="H49" s="474">
        <v>1.2210000000000001</v>
      </c>
      <c r="I49" s="474">
        <v>1.2250000000000001</v>
      </c>
      <c r="J49" s="474">
        <v>1.228</v>
      </c>
      <c r="K49" s="474">
        <v>1.232</v>
      </c>
      <c r="L49" s="474">
        <v>1.236</v>
      </c>
      <c r="M49" s="474">
        <v>1.24</v>
      </c>
      <c r="N49" s="474">
        <v>1.2430000000000001</v>
      </c>
    </row>
    <row r="50" spans="2:14" ht="13.5" thickBot="1" x14ac:dyDescent="0.25">
      <c r="B50" s="420">
        <v>6</v>
      </c>
      <c r="C50" s="474">
        <v>1.2470000000000001</v>
      </c>
      <c r="D50" s="474">
        <v>1.2509999999999999</v>
      </c>
      <c r="E50" s="474">
        <v>1.2549999999999999</v>
      </c>
      <c r="F50" s="474">
        <v>1.2589999999999999</v>
      </c>
      <c r="G50" s="474">
        <v>1.2629999999999999</v>
      </c>
      <c r="H50" s="474">
        <v>1.2669999999999999</v>
      </c>
      <c r="I50" s="474">
        <v>1.2709999999999999</v>
      </c>
      <c r="J50" s="474">
        <v>1.274</v>
      </c>
      <c r="K50" s="474">
        <v>1.278</v>
      </c>
      <c r="L50" s="474">
        <v>1.282</v>
      </c>
      <c r="M50" s="474">
        <v>1.286</v>
      </c>
      <c r="N50" s="474">
        <v>1.29</v>
      </c>
    </row>
    <row r="51" spans="2:14" ht="13.5" thickBot="1" x14ac:dyDescent="0.25">
      <c r="B51" s="420">
        <v>7</v>
      </c>
      <c r="C51" s="474">
        <v>1.294</v>
      </c>
      <c r="D51" s="474">
        <v>1.298</v>
      </c>
      <c r="E51" s="474">
        <v>1.302</v>
      </c>
      <c r="F51" s="474">
        <v>1.306</v>
      </c>
      <c r="G51" s="474">
        <v>1.31</v>
      </c>
      <c r="H51" s="474">
        <v>1.3140000000000001</v>
      </c>
      <c r="I51" s="474">
        <v>1.3180000000000001</v>
      </c>
      <c r="J51" s="474">
        <v>1.3220000000000001</v>
      </c>
      <c r="K51" s="474">
        <v>1.3260000000000001</v>
      </c>
      <c r="L51" s="474">
        <v>1.33</v>
      </c>
      <c r="M51" s="474">
        <v>1.3340000000000001</v>
      </c>
      <c r="N51" s="474">
        <v>1.3380000000000001</v>
      </c>
    </row>
    <row r="52" spans="2:14" ht="13.5" thickBot="1" x14ac:dyDescent="0.25">
      <c r="B52" s="420">
        <v>8</v>
      </c>
      <c r="C52" s="474">
        <v>1.3420000000000001</v>
      </c>
      <c r="D52" s="474">
        <v>1.347</v>
      </c>
      <c r="E52" s="474">
        <v>1.351</v>
      </c>
      <c r="F52" s="474">
        <v>1.355</v>
      </c>
      <c r="G52" s="474">
        <v>1.359</v>
      </c>
      <c r="H52" s="474">
        <v>1.363</v>
      </c>
      <c r="I52" s="474">
        <v>1.3680000000000001</v>
      </c>
      <c r="J52" s="474">
        <v>1.3720000000000001</v>
      </c>
      <c r="K52" s="474">
        <v>1.3759999999999999</v>
      </c>
      <c r="L52" s="474">
        <v>1.38</v>
      </c>
      <c r="M52" s="474">
        <v>1.3839999999999999</v>
      </c>
      <c r="N52" s="474">
        <v>1.389</v>
      </c>
    </row>
    <row r="53" spans="2:14" ht="13.5" thickBot="1" x14ac:dyDescent="0.25">
      <c r="B53" s="420">
        <v>9</v>
      </c>
      <c r="C53" s="474">
        <v>1.393</v>
      </c>
      <c r="D53" s="474">
        <v>1.397</v>
      </c>
      <c r="E53" s="474">
        <v>1.4019999999999999</v>
      </c>
      <c r="F53" s="474">
        <v>1.4059999999999999</v>
      </c>
      <c r="G53" s="474">
        <v>1.41</v>
      </c>
      <c r="H53" s="474">
        <v>1.415</v>
      </c>
      <c r="I53" s="474">
        <v>1.419</v>
      </c>
      <c r="J53" s="474">
        <v>1.423</v>
      </c>
      <c r="K53" s="474">
        <v>1.4279999999999999</v>
      </c>
      <c r="L53" s="474">
        <v>1.4319999999999999</v>
      </c>
      <c r="M53" s="474">
        <v>1.4359999999999999</v>
      </c>
      <c r="N53" s="474">
        <v>1.4410000000000001</v>
      </c>
    </row>
    <row r="54" spans="2:14" ht="14.25" x14ac:dyDescent="0.2">
      <c r="B54" s="427"/>
    </row>
    <row r="55" spans="2:14" x14ac:dyDescent="0.2">
      <c r="B55" s="421" t="s">
        <v>593</v>
      </c>
      <c r="D55" s="422" t="s">
        <v>585</v>
      </c>
    </row>
    <row r="56" spans="2:14" x14ac:dyDescent="0.2">
      <c r="B56" s="421"/>
      <c r="D56" s="422" t="s">
        <v>594</v>
      </c>
    </row>
    <row r="58" spans="2:14" x14ac:dyDescent="0.2">
      <c r="B58" s="29" t="s">
        <v>613</v>
      </c>
    </row>
    <row r="59" spans="2:14" x14ac:dyDescent="0.2">
      <c r="B59" s="755" t="s">
        <v>595</v>
      </c>
      <c r="C59" s="755"/>
      <c r="D59" s="755"/>
      <c r="E59" s="755"/>
      <c r="F59" s="755"/>
      <c r="G59" s="755"/>
      <c r="H59" s="755"/>
      <c r="I59" s="755"/>
      <c r="J59" s="755"/>
      <c r="K59" s="755"/>
      <c r="L59" s="755"/>
      <c r="M59" s="755"/>
      <c r="N59" s="755"/>
    </row>
    <row r="60" spans="2:14" x14ac:dyDescent="0.2">
      <c r="B60" s="760"/>
      <c r="C60" s="760"/>
      <c r="D60" s="760"/>
      <c r="E60" s="760"/>
      <c r="F60" s="760"/>
      <c r="G60" s="760"/>
      <c r="H60" s="760"/>
      <c r="I60" s="760"/>
      <c r="J60" s="760"/>
      <c r="K60" s="760"/>
      <c r="L60" s="760"/>
      <c r="M60" s="760"/>
      <c r="N60" s="760"/>
    </row>
    <row r="61" spans="2:14" x14ac:dyDescent="0.2">
      <c r="B61" s="754" t="s">
        <v>634</v>
      </c>
      <c r="C61" s="754"/>
      <c r="D61" s="754"/>
      <c r="E61" s="754"/>
      <c r="F61" s="754"/>
      <c r="G61" s="754"/>
      <c r="H61" s="754"/>
      <c r="I61" s="754"/>
      <c r="J61" s="754"/>
      <c r="K61" s="754"/>
      <c r="L61" s="754"/>
      <c r="M61" s="754"/>
      <c r="N61" s="754"/>
    </row>
    <row r="62" spans="2:14" x14ac:dyDescent="0.2">
      <c r="B62" s="754" t="s">
        <v>574</v>
      </c>
      <c r="C62" s="754"/>
      <c r="D62" s="754"/>
      <c r="E62" s="754"/>
      <c r="F62" s="754"/>
      <c r="G62" s="754"/>
      <c r="H62" s="754"/>
      <c r="I62" s="754"/>
      <c r="J62" s="754"/>
      <c r="K62" s="754"/>
      <c r="L62" s="754"/>
      <c r="M62" s="754"/>
      <c r="N62" s="754"/>
    </row>
    <row r="63" spans="2:14" ht="13.5" thickBot="1" x14ac:dyDescent="0.25">
      <c r="B63" s="759" t="s">
        <v>635</v>
      </c>
      <c r="C63" s="759"/>
      <c r="D63" s="759"/>
      <c r="E63" s="759"/>
      <c r="F63" s="759"/>
      <c r="G63" s="759"/>
      <c r="H63" s="759"/>
      <c r="I63" s="759"/>
      <c r="J63" s="759"/>
      <c r="K63" s="759"/>
      <c r="L63" s="759"/>
      <c r="M63" s="759"/>
      <c r="N63" s="759"/>
    </row>
    <row r="64" spans="2:14" ht="13.5" thickBot="1" x14ac:dyDescent="0.25">
      <c r="B64" s="418" t="s">
        <v>591</v>
      </c>
      <c r="C64" s="426">
        <v>0</v>
      </c>
      <c r="D64" s="426">
        <v>1</v>
      </c>
      <c r="E64" s="426">
        <v>2</v>
      </c>
      <c r="F64" s="426">
        <v>3</v>
      </c>
      <c r="G64" s="426">
        <v>4</v>
      </c>
      <c r="H64" s="426">
        <v>5</v>
      </c>
      <c r="I64" s="426">
        <v>6</v>
      </c>
      <c r="J64" s="426">
        <v>7</v>
      </c>
      <c r="K64" s="426">
        <v>8</v>
      </c>
      <c r="L64" s="426">
        <v>9</v>
      </c>
      <c r="M64" s="426">
        <v>10</v>
      </c>
      <c r="N64" s="426">
        <v>11</v>
      </c>
    </row>
    <row r="65" spans="2:14" ht="13.5" thickBot="1" x14ac:dyDescent="0.25">
      <c r="B65" s="756" t="s">
        <v>563</v>
      </c>
      <c r="C65" s="757"/>
      <c r="D65" s="757"/>
      <c r="E65" s="757"/>
      <c r="F65" s="757"/>
      <c r="G65" s="757"/>
      <c r="H65" s="757"/>
      <c r="I65" s="757"/>
      <c r="J65" s="757"/>
      <c r="K65" s="757"/>
      <c r="L65" s="757"/>
      <c r="M65" s="757"/>
      <c r="N65" s="758"/>
    </row>
    <row r="66" spans="2:14" ht="15" thickBot="1" x14ac:dyDescent="0.25">
      <c r="B66" s="418" t="s">
        <v>592</v>
      </c>
      <c r="C66" s="419"/>
      <c r="D66" s="419"/>
      <c r="E66" s="419"/>
      <c r="F66" s="419"/>
      <c r="G66" s="419"/>
      <c r="H66" s="419"/>
      <c r="I66" s="419"/>
      <c r="J66" s="419"/>
      <c r="K66" s="419"/>
      <c r="L66" s="419"/>
      <c r="M66" s="419"/>
      <c r="N66" s="419"/>
    </row>
    <row r="67" spans="2:14" ht="13.5" thickBot="1" x14ac:dyDescent="0.25">
      <c r="B67" s="420">
        <v>0</v>
      </c>
      <c r="C67" s="474">
        <v>1</v>
      </c>
      <c r="D67" s="474">
        <v>1.0049999999999999</v>
      </c>
      <c r="E67" s="474">
        <v>1.01</v>
      </c>
      <c r="F67" s="474">
        <v>1.0149999999999999</v>
      </c>
      <c r="G67" s="474">
        <v>1.02</v>
      </c>
      <c r="H67" s="474">
        <v>1.0249999999999999</v>
      </c>
      <c r="I67" s="474">
        <v>1.03</v>
      </c>
      <c r="J67" s="474">
        <v>1.0349999999999999</v>
      </c>
      <c r="K67" s="474">
        <v>1.04</v>
      </c>
      <c r="L67" s="474">
        <v>1.0449999999999999</v>
      </c>
      <c r="M67" s="474">
        <v>1.05</v>
      </c>
      <c r="N67" s="474">
        <v>1.0549999999999999</v>
      </c>
    </row>
    <row r="68" spans="2:14" ht="13.5" thickBot="1" x14ac:dyDescent="0.25">
      <c r="B68" s="420">
        <v>1</v>
      </c>
      <c r="C68" s="474">
        <v>1.06</v>
      </c>
      <c r="D68" s="474">
        <v>1.0660000000000001</v>
      </c>
      <c r="E68" s="474">
        <v>1.071</v>
      </c>
      <c r="F68" s="474">
        <v>1.077</v>
      </c>
      <c r="G68" s="474">
        <v>1.0820000000000001</v>
      </c>
      <c r="H68" s="474">
        <v>1.0880000000000001</v>
      </c>
      <c r="I68" s="474">
        <v>1.093</v>
      </c>
      <c r="J68" s="474">
        <v>1.099</v>
      </c>
      <c r="K68" s="474">
        <v>1.1040000000000001</v>
      </c>
      <c r="L68" s="474">
        <v>1.1100000000000001</v>
      </c>
      <c r="M68" s="474">
        <v>1.115</v>
      </c>
      <c r="N68" s="474">
        <v>1.121</v>
      </c>
    </row>
    <row r="69" spans="2:14" ht="13.5" thickBot="1" x14ac:dyDescent="0.25">
      <c r="B69" s="420">
        <v>2</v>
      </c>
      <c r="C69" s="474">
        <v>1.1259999999999999</v>
      </c>
      <c r="D69" s="474">
        <v>1.1319999999999999</v>
      </c>
      <c r="E69" s="474">
        <v>1.1379999999999999</v>
      </c>
      <c r="F69" s="474">
        <v>1.1439999999999999</v>
      </c>
      <c r="G69" s="474">
        <v>1.1499999999999999</v>
      </c>
      <c r="H69" s="474">
        <v>1.1559999999999999</v>
      </c>
      <c r="I69" s="474">
        <v>1.1619999999999999</v>
      </c>
      <c r="J69" s="474">
        <v>1.1679999999999999</v>
      </c>
      <c r="K69" s="474">
        <v>1.1739999999999999</v>
      </c>
      <c r="L69" s="474">
        <v>1.18</v>
      </c>
      <c r="M69" s="474">
        <v>1.1859999999999999</v>
      </c>
      <c r="N69" s="474">
        <v>1.1919999999999999</v>
      </c>
    </row>
    <row r="70" spans="2:14" ht="13.5" thickBot="1" x14ac:dyDescent="0.25">
      <c r="B70" s="420">
        <v>3</v>
      </c>
      <c r="C70" s="474">
        <v>1.198</v>
      </c>
      <c r="D70" s="474">
        <v>1.204</v>
      </c>
      <c r="E70" s="474">
        <v>1.2110000000000001</v>
      </c>
      <c r="F70" s="474">
        <v>1.2170000000000001</v>
      </c>
      <c r="G70" s="474">
        <v>1.224</v>
      </c>
      <c r="H70" s="474">
        <v>1.2310000000000001</v>
      </c>
      <c r="I70" s="474">
        <v>1.2370000000000001</v>
      </c>
      <c r="J70" s="474">
        <v>1.244</v>
      </c>
      <c r="K70" s="474">
        <v>1.25</v>
      </c>
      <c r="L70" s="474">
        <v>1.2569999999999999</v>
      </c>
      <c r="M70" s="474">
        <v>1.2629999999999999</v>
      </c>
      <c r="N70" s="474">
        <v>1.27</v>
      </c>
    </row>
    <row r="71" spans="2:14" ht="13.5" thickBot="1" x14ac:dyDescent="0.25">
      <c r="B71" s="420">
        <v>4</v>
      </c>
      <c r="C71" s="474">
        <v>1.276</v>
      </c>
      <c r="D71" s="474">
        <v>1.284</v>
      </c>
      <c r="E71" s="474">
        <v>1.2909999999999999</v>
      </c>
      <c r="F71" s="474">
        <v>1.298</v>
      </c>
      <c r="G71" s="474">
        <v>1.3049999999999999</v>
      </c>
      <c r="H71" s="474">
        <v>1.3120000000000001</v>
      </c>
      <c r="I71" s="474">
        <v>1.319</v>
      </c>
      <c r="J71" s="474">
        <v>1.327</v>
      </c>
      <c r="K71" s="474">
        <v>1.3340000000000001</v>
      </c>
      <c r="L71" s="474">
        <v>1.341</v>
      </c>
      <c r="M71" s="474">
        <v>1.3480000000000001</v>
      </c>
      <c r="N71" s="474">
        <v>1.355</v>
      </c>
    </row>
    <row r="72" spans="2:14" ht="13.5" thickBot="1" x14ac:dyDescent="0.25">
      <c r="B72" s="420">
        <v>5</v>
      </c>
      <c r="C72" s="474">
        <v>1.3620000000000001</v>
      </c>
      <c r="D72" s="474">
        <v>1.37</v>
      </c>
      <c r="E72" s="474">
        <v>1.3779999999999999</v>
      </c>
      <c r="F72" s="474">
        <v>1.3859999999999999</v>
      </c>
      <c r="G72" s="474">
        <v>1.3939999999999999</v>
      </c>
      <c r="H72" s="474">
        <v>1.4019999999999999</v>
      </c>
      <c r="I72" s="474">
        <v>1.41</v>
      </c>
      <c r="J72" s="474">
        <v>1.4179999999999999</v>
      </c>
      <c r="K72" s="474">
        <v>1.425</v>
      </c>
      <c r="L72" s="474">
        <v>1.4330000000000001</v>
      </c>
      <c r="M72" s="474">
        <v>1.4410000000000001</v>
      </c>
      <c r="N72" s="474">
        <v>1.4490000000000001</v>
      </c>
    </row>
    <row r="73" spans="2:14" ht="13.5" thickBot="1" x14ac:dyDescent="0.25">
      <c r="B73" s="420">
        <v>6</v>
      </c>
      <c r="C73" s="474">
        <v>1.4570000000000001</v>
      </c>
      <c r="D73" s="474">
        <v>1.466</v>
      </c>
      <c r="E73" s="474">
        <v>1.474</v>
      </c>
      <c r="F73" s="474">
        <v>1.4830000000000001</v>
      </c>
      <c r="G73" s="474">
        <v>1.492</v>
      </c>
      <c r="H73" s="474">
        <v>1.5</v>
      </c>
      <c r="I73" s="474">
        <v>1.5089999999999999</v>
      </c>
      <c r="J73" s="474">
        <v>1.518</v>
      </c>
      <c r="K73" s="474">
        <v>1.526</v>
      </c>
      <c r="L73" s="474">
        <v>1.5349999999999999</v>
      </c>
      <c r="M73" s="474">
        <v>1.544</v>
      </c>
      <c r="N73" s="474">
        <v>1.5529999999999999</v>
      </c>
    </row>
    <row r="74" spans="2:14" ht="13.5" thickBot="1" x14ac:dyDescent="0.25">
      <c r="B74" s="420">
        <v>7</v>
      </c>
      <c r="C74" s="474">
        <v>1.5609999999999999</v>
      </c>
      <c r="D74" s="474">
        <v>1.571</v>
      </c>
      <c r="E74" s="474">
        <v>1.58</v>
      </c>
      <c r="F74" s="474">
        <v>1.59</v>
      </c>
      <c r="G74" s="474">
        <v>1.6</v>
      </c>
      <c r="H74" s="474">
        <v>1.609</v>
      </c>
      <c r="I74" s="474">
        <v>1.619</v>
      </c>
      <c r="J74" s="474">
        <v>1.6279999999999999</v>
      </c>
      <c r="K74" s="474">
        <v>1.6379999999999999</v>
      </c>
      <c r="L74" s="474">
        <v>1.6479999999999999</v>
      </c>
      <c r="M74" s="474">
        <v>1.657</v>
      </c>
      <c r="N74" s="474">
        <v>1.667</v>
      </c>
    </row>
    <row r="75" spans="2:14" ht="13.5" thickBot="1" x14ac:dyDescent="0.25">
      <c r="B75" s="420">
        <v>8</v>
      </c>
      <c r="C75" s="474">
        <v>1.6759999999999999</v>
      </c>
      <c r="D75" s="474">
        <v>1.6870000000000001</v>
      </c>
      <c r="E75" s="474">
        <v>1.698</v>
      </c>
      <c r="F75" s="474">
        <v>1.708</v>
      </c>
      <c r="G75" s="474">
        <v>1.7190000000000001</v>
      </c>
      <c r="H75" s="474">
        <v>1.7290000000000001</v>
      </c>
      <c r="I75" s="474">
        <v>1.74</v>
      </c>
      <c r="J75" s="474">
        <v>1.7509999999999999</v>
      </c>
      <c r="K75" s="474">
        <v>1.7609999999999999</v>
      </c>
      <c r="L75" s="474">
        <v>1.772</v>
      </c>
      <c r="M75" s="474">
        <v>1.7829999999999999</v>
      </c>
      <c r="N75" s="474">
        <v>1.7929999999999999</v>
      </c>
    </row>
    <row r="76" spans="2:14" ht="13.5" thickBot="1" x14ac:dyDescent="0.25">
      <c r="B76" s="420">
        <v>9</v>
      </c>
      <c r="C76" s="474">
        <v>1.804</v>
      </c>
      <c r="D76" s="474">
        <v>1.8160000000000001</v>
      </c>
      <c r="E76" s="474">
        <v>1.827</v>
      </c>
      <c r="F76" s="474">
        <v>1.839</v>
      </c>
      <c r="G76" s="474">
        <v>1.851</v>
      </c>
      <c r="H76" s="474">
        <v>1.863</v>
      </c>
      <c r="I76" s="474">
        <v>1.8740000000000001</v>
      </c>
      <c r="J76" s="474">
        <v>1.8859999999999999</v>
      </c>
      <c r="K76" s="474">
        <v>1.8979999999999999</v>
      </c>
      <c r="L76" s="474">
        <v>1.91</v>
      </c>
      <c r="M76" s="474">
        <v>1.9219999999999999</v>
      </c>
      <c r="N76" s="474">
        <v>1.9330000000000001</v>
      </c>
    </row>
    <row r="77" spans="2:14" x14ac:dyDescent="0.2">
      <c r="B77" s="422"/>
    </row>
    <row r="78" spans="2:14" x14ac:dyDescent="0.2">
      <c r="B78" s="421"/>
    </row>
    <row r="79" spans="2:14" x14ac:dyDescent="0.2">
      <c r="B79" s="422" t="s">
        <v>593</v>
      </c>
      <c r="C79" s="422" t="s">
        <v>585</v>
      </c>
      <c r="D79" s="422"/>
    </row>
    <row r="80" spans="2:14" x14ac:dyDescent="0.2">
      <c r="B80" s="421" t="s">
        <v>596</v>
      </c>
      <c r="C80" s="422" t="s">
        <v>597</v>
      </c>
      <c r="D80" s="421"/>
    </row>
    <row r="81" spans="2:4" x14ac:dyDescent="0.2">
      <c r="B81" s="421"/>
      <c r="C81" s="422" t="s">
        <v>598</v>
      </c>
      <c r="D81" s="421"/>
    </row>
  </sheetData>
  <mergeCells count="15">
    <mergeCell ref="B62:N62"/>
    <mergeCell ref="B63:N63"/>
    <mergeCell ref="B65:N65"/>
    <mergeCell ref="B39:N39"/>
    <mergeCell ref="B40:N40"/>
    <mergeCell ref="B42:N42"/>
    <mergeCell ref="B59:N59"/>
    <mergeCell ref="B60:N60"/>
    <mergeCell ref="B61:N61"/>
    <mergeCell ref="B38:N38"/>
    <mergeCell ref="B10:O10"/>
    <mergeCell ref="B11:O11"/>
    <mergeCell ref="B12:O12"/>
    <mergeCell ref="B13:O13"/>
    <mergeCell ref="B15:N15"/>
  </mergeCells>
  <hyperlinks>
    <hyperlink ref="B6"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tabColor rgb="FF92D050"/>
    <pageSetUpPr fitToPage="1"/>
  </sheetPr>
  <dimension ref="A1:N70"/>
  <sheetViews>
    <sheetView topLeftCell="A45" workbookViewId="0">
      <selection activeCell="A71" sqref="A71"/>
    </sheetView>
  </sheetViews>
  <sheetFormatPr defaultRowHeight="12.75" x14ac:dyDescent="0.2"/>
  <cols>
    <col min="2" max="2" width="11.140625" customWidth="1"/>
    <col min="3" max="3" width="47.42578125" bestFit="1" customWidth="1"/>
    <col min="4" max="6" width="12.42578125" customWidth="1"/>
    <col min="7" max="7" width="15.140625" customWidth="1"/>
    <col min="8" max="8" width="25.140625" customWidth="1"/>
    <col min="9" max="9" width="26.140625" bestFit="1" customWidth="1"/>
    <col min="10" max="10" width="12.42578125" bestFit="1" customWidth="1"/>
    <col min="11" max="11" width="12.42578125" customWidth="1"/>
    <col min="12" max="12" width="14.42578125" bestFit="1" customWidth="1"/>
    <col min="14" max="14" width="10.140625" bestFit="1" customWidth="1"/>
  </cols>
  <sheetData>
    <row r="1" spans="1:14" ht="20.25" x14ac:dyDescent="0.3">
      <c r="A1" s="13" t="s">
        <v>19</v>
      </c>
      <c r="B1" s="12"/>
      <c r="C1" s="12"/>
      <c r="D1" s="12"/>
      <c r="E1" s="12"/>
      <c r="F1" s="12"/>
      <c r="G1" s="12"/>
      <c r="H1" s="12"/>
    </row>
    <row r="2" spans="1:14" ht="15.75" x14ac:dyDescent="0.25">
      <c r="A2" s="27" t="str">
        <f>IF(title="&gt; Enter workbook title here","Enter workbook title in Cover sheet",title)</f>
        <v>Scottish Fire pension  projection calculator</v>
      </c>
      <c r="B2" s="11"/>
      <c r="C2" s="11"/>
      <c r="D2" s="11"/>
      <c r="E2" s="11"/>
      <c r="F2" s="11"/>
      <c r="G2" s="11"/>
      <c r="H2" s="11"/>
    </row>
    <row r="3" spans="1:14" ht="15.75" x14ac:dyDescent="0.25">
      <c r="A3" s="75" t="s">
        <v>462</v>
      </c>
      <c r="B3" s="11"/>
      <c r="C3" s="11"/>
      <c r="D3" s="11"/>
      <c r="E3" s="11"/>
      <c r="F3" s="11"/>
      <c r="G3" s="11"/>
      <c r="H3" s="11"/>
    </row>
    <row r="4" spans="1:14" ht="13.5" thickBot="1" x14ac:dyDescent="0.25">
      <c r="A4" s="7" t="str">
        <f ca="1">CELL("filename",A1)</f>
        <v>C:\Users\u205538\Downloads\[NHS_Pension_Calculator_v2.3 22 Dec 2020 (6).xlsx]1995 &amp; 2008 calcs</v>
      </c>
      <c r="H4" s="359"/>
    </row>
    <row r="5" spans="1:14" ht="13.5" thickBot="1" x14ac:dyDescent="0.25">
      <c r="I5" s="286" t="s">
        <v>490</v>
      </c>
      <c r="J5" s="120"/>
      <c r="K5" s="120"/>
      <c r="L5" s="120"/>
      <c r="M5" s="120"/>
      <c r="N5" s="179"/>
    </row>
    <row r="6" spans="1:14" x14ac:dyDescent="0.2">
      <c r="C6" s="286" t="s">
        <v>325</v>
      </c>
      <c r="D6" s="288">
        <f ca="1">(DoStartSchYear-DoB)/DoY</f>
        <v>120.25188227241615</v>
      </c>
      <c r="I6" s="304">
        <v>1995</v>
      </c>
      <c r="J6" s="298"/>
      <c r="K6" s="298"/>
      <c r="L6" s="299">
        <v>2008</v>
      </c>
      <c r="M6" s="297"/>
      <c r="N6" s="104"/>
    </row>
    <row r="7" spans="1:14" x14ac:dyDescent="0.2">
      <c r="C7" s="237" t="s">
        <v>326</v>
      </c>
      <c r="D7" s="289">
        <f ca="1">INT(D6)</f>
        <v>120</v>
      </c>
      <c r="E7" s="29" t="s">
        <v>66</v>
      </c>
      <c r="I7" s="237" t="s">
        <v>615</v>
      </c>
      <c r="J7" s="9" t="b">
        <f>D9&gt;=50</f>
        <v>1</v>
      </c>
      <c r="K7" s="9"/>
      <c r="L7" s="358" t="s">
        <v>618</v>
      </c>
      <c r="M7" s="291" t="b">
        <f>D9&gt;=55</f>
        <v>1</v>
      </c>
      <c r="N7" s="104"/>
    </row>
    <row r="8" spans="1:14" x14ac:dyDescent="0.2">
      <c r="C8" s="237" t="s">
        <v>287</v>
      </c>
      <c r="D8" s="290">
        <f ca="1">INT((D6-INT(D6))*12)</f>
        <v>3</v>
      </c>
      <c r="E8" s="29" t="s">
        <v>71</v>
      </c>
      <c r="I8" s="237" t="s">
        <v>616</v>
      </c>
      <c r="J8" s="9" t="b">
        <f>DJS&lt;=ProtectDate</f>
        <v>1</v>
      </c>
      <c r="K8" s="9"/>
      <c r="L8" s="294" t="s">
        <v>617</v>
      </c>
      <c r="M8" s="292" t="b">
        <f>DJS&lt;=ProtectDate</f>
        <v>1</v>
      </c>
      <c r="N8" s="104"/>
    </row>
    <row r="9" spans="1:14" x14ac:dyDescent="0.2">
      <c r="C9" s="237" t="s">
        <v>86</v>
      </c>
      <c r="D9" s="289">
        <f>(ProtectDate-DoB)/DoY</f>
        <v>112.25188227241615</v>
      </c>
      <c r="E9" s="83"/>
      <c r="I9" s="237"/>
      <c r="J9" s="9"/>
      <c r="K9" s="9"/>
      <c r="L9" s="300"/>
      <c r="M9" s="293"/>
      <c r="N9" s="104"/>
    </row>
    <row r="10" spans="1:14" x14ac:dyDescent="0.2">
      <c r="C10" s="237" t="s">
        <v>487</v>
      </c>
      <c r="D10" s="289">
        <f>INT(D9*12)/12</f>
        <v>112.25</v>
      </c>
      <c r="E10" s="83"/>
      <c r="H10" s="9"/>
      <c r="I10" s="304" t="s">
        <v>486</v>
      </c>
      <c r="J10" s="296" t="b">
        <f>AND(J8,J7)</f>
        <v>1</v>
      </c>
      <c r="K10" s="296"/>
      <c r="L10" s="295" t="s">
        <v>489</v>
      </c>
      <c r="M10" s="446" t="b">
        <f>AND(M8,M7)</f>
        <v>1</v>
      </c>
      <c r="N10" s="104"/>
    </row>
    <row r="11" spans="1:14" x14ac:dyDescent="0.2">
      <c r="C11" s="287" t="s">
        <v>579</v>
      </c>
      <c r="D11" s="473">
        <f>(Start_date_2008-DJS)/DoY+TVinYears+TVinDays/DoY</f>
        <v>108.25188227241615</v>
      </c>
    </row>
    <row r="12" spans="1:14" x14ac:dyDescent="0.2">
      <c r="C12" s="287" t="s">
        <v>640</v>
      </c>
      <c r="D12" s="473">
        <f>(DJS-DoB)/DoY</f>
        <v>0</v>
      </c>
    </row>
    <row r="13" spans="1:14" x14ac:dyDescent="0.2">
      <c r="C13" s="287" t="s">
        <v>578</v>
      </c>
      <c r="D13" s="290">
        <f>ROUNDDOWN((Start_date_2008-DoB)/DoY,0)</f>
        <v>108</v>
      </c>
    </row>
    <row r="14" spans="1:14" x14ac:dyDescent="0.2">
      <c r="C14" s="287" t="s">
        <v>459</v>
      </c>
      <c r="D14" s="290">
        <f>ROUNDDOWN((DJS-DoB)/DoY,0)</f>
        <v>0</v>
      </c>
    </row>
    <row r="15" spans="1:14" x14ac:dyDescent="0.2">
      <c r="C15" s="287"/>
      <c r="D15" s="483"/>
    </row>
    <row r="16" spans="1:14" x14ac:dyDescent="0.2">
      <c r="C16" s="287" t="s">
        <v>641</v>
      </c>
      <c r="D16" s="482" t="e">
        <f>(E32-DoB)/DoY</f>
        <v>#VALUE!</v>
      </c>
    </row>
    <row r="17" spans="1:8" x14ac:dyDescent="0.2">
      <c r="C17" s="237" t="s">
        <v>84</v>
      </c>
      <c r="D17" s="289">
        <f>D11+NonUplifted</f>
        <v>112.25188227241615</v>
      </c>
      <c r="F17" s="9"/>
    </row>
    <row r="18" spans="1:8" ht="13.5" thickBot="1" x14ac:dyDescent="0.25">
      <c r="C18" s="285" t="s">
        <v>473</v>
      </c>
      <c r="D18" s="580">
        <f>D17</f>
        <v>112.25188227241615</v>
      </c>
      <c r="F18" t="s">
        <v>705</v>
      </c>
    </row>
    <row r="19" spans="1:8" ht="13.5" thickBot="1" x14ac:dyDescent="0.25">
      <c r="C19" s="302" t="s">
        <v>488</v>
      </c>
      <c r="D19" s="303">
        <f>INT(12*D18)/12</f>
        <v>112.25</v>
      </c>
    </row>
    <row r="20" spans="1:8" ht="12.75" customHeight="1" thickBot="1" x14ac:dyDescent="0.25">
      <c r="A20" s="359"/>
      <c r="B20" s="359"/>
      <c r="C20" s="413"/>
      <c r="D20" s="414"/>
      <c r="E20" s="359"/>
      <c r="F20" s="359"/>
      <c r="G20" s="359"/>
    </row>
    <row r="21" spans="1:8" ht="13.5" thickBot="1" x14ac:dyDescent="0.25">
      <c r="C21" s="1"/>
      <c r="D21" s="117" t="str">
        <f>Sch_1995</f>
        <v>1995 Section</v>
      </c>
      <c r="E21" s="111" t="str">
        <f>Sch_2008</f>
        <v>2008 Section</v>
      </c>
      <c r="F21" s="305" t="s">
        <v>87</v>
      </c>
    </row>
    <row r="22" spans="1:8" ht="13.5" thickBot="1" x14ac:dyDescent="0.25">
      <c r="B22" s="110"/>
      <c r="C22" s="111" t="s">
        <v>83</v>
      </c>
      <c r="D22" s="124">
        <f>DoR</f>
        <v>0</v>
      </c>
      <c r="E22" s="156">
        <f>DoR</f>
        <v>0</v>
      </c>
      <c r="F22" s="123" t="e">
        <f>IF(CurrentScheme=Sch_1995,D22,E22)</f>
        <v>#N/A</v>
      </c>
    </row>
    <row r="23" spans="1:8" x14ac:dyDescent="0.2">
      <c r="B23" s="761" t="s">
        <v>280</v>
      </c>
      <c r="C23" s="102" t="s">
        <v>191</v>
      </c>
      <c r="D23" s="124">
        <f>(DATE(YEAR(DJS)-TVinYears,MONTH(DJS),DAY(DJS))-TVinDays)</f>
        <v>0</v>
      </c>
      <c r="E23" s="156">
        <f>D23</f>
        <v>0</v>
      </c>
      <c r="F23" s="123" t="e">
        <f t="shared" ref="F23:F29" si="0">IF(CurrentScheme="1995 Section",D23,E23)</f>
        <v>#N/A</v>
      </c>
      <c r="G23" s="83"/>
    </row>
    <row r="24" spans="1:8" x14ac:dyDescent="0.2">
      <c r="B24" s="762"/>
      <c r="C24" s="16" t="s">
        <v>622</v>
      </c>
      <c r="D24" s="499">
        <f>IF(Special_Class="Yes",55,60)</f>
        <v>60</v>
      </c>
      <c r="E24" s="500">
        <f>65</f>
        <v>65</v>
      </c>
      <c r="F24" s="186" t="e">
        <f t="shared" si="0"/>
        <v>#N/A</v>
      </c>
      <c r="G24" s="83" t="s">
        <v>691</v>
      </c>
    </row>
    <row r="25" spans="1:8" x14ac:dyDescent="0.2">
      <c r="B25" s="762"/>
      <c r="C25" s="16" t="s">
        <v>623</v>
      </c>
      <c r="D25" s="455">
        <f>(ProtectDate-DoB)/DoY</f>
        <v>112.25188227241615</v>
      </c>
      <c r="E25" s="456">
        <f>(ProtectDate-DoB)/DoY</f>
        <v>112.25188227241615</v>
      </c>
      <c r="F25" s="81" t="e">
        <f t="shared" si="0"/>
        <v>#N/A</v>
      </c>
      <c r="G25" s="83"/>
    </row>
    <row r="26" spans="1:8" x14ac:dyDescent="0.2">
      <c r="B26" s="762"/>
      <c r="C26" s="16" t="s">
        <v>624</v>
      </c>
      <c r="D26" s="455">
        <f>D24-D25</f>
        <v>-52.251882272416154</v>
      </c>
      <c r="E26" s="456">
        <f>E24-E25</f>
        <v>-47.251882272416154</v>
      </c>
      <c r="F26" s="81" t="e">
        <f t="shared" si="0"/>
        <v>#N/A</v>
      </c>
      <c r="G26" s="83"/>
    </row>
    <row r="27" spans="1:8" x14ac:dyDescent="0.2">
      <c r="B27" s="762"/>
      <c r="C27" s="16" t="s">
        <v>625</v>
      </c>
      <c r="D27" s="457" t="b">
        <f>D26&lt;10</f>
        <v>1</v>
      </c>
      <c r="E27" s="458" t="b">
        <f>E26&lt;10</f>
        <v>1</v>
      </c>
      <c r="F27" s="81" t="e">
        <f t="shared" si="0"/>
        <v>#N/A</v>
      </c>
      <c r="G27" s="83"/>
    </row>
    <row r="28" spans="1:8" x14ac:dyDescent="0.2">
      <c r="B28" s="762"/>
      <c r="C28" s="16" t="s">
        <v>626</v>
      </c>
      <c r="D28" s="457" t="b">
        <f>AND(D26&lt;=13.5,D26&gt;=10)</f>
        <v>0</v>
      </c>
      <c r="E28" s="458" t="b">
        <f>AND(E26&lt;=13.5,E26&gt;=10)</f>
        <v>0</v>
      </c>
      <c r="F28" s="81" t="e">
        <f t="shared" si="0"/>
        <v>#N/A</v>
      </c>
      <c r="G28" s="83"/>
    </row>
    <row r="29" spans="1:8" x14ac:dyDescent="0.2">
      <c r="B29" s="762"/>
      <c r="C29" s="16" t="s">
        <v>627</v>
      </c>
      <c r="D29" s="457" t="b">
        <f>D26&gt;13.5</f>
        <v>0</v>
      </c>
      <c r="E29" s="458" t="b">
        <f>E26&gt;13.5</f>
        <v>0</v>
      </c>
      <c r="F29" s="81" t="e">
        <f t="shared" si="0"/>
        <v>#N/A</v>
      </c>
      <c r="G29" s="83"/>
    </row>
    <row r="30" spans="1:8" x14ac:dyDescent="0.2">
      <c r="B30" s="762"/>
      <c r="C30" s="16" t="s">
        <v>750</v>
      </c>
      <c r="D30" s="457" t="str">
        <f>IF(DJS&lt;=ProtectDate,"TRUE","FALSE")</f>
        <v>TRUE</v>
      </c>
      <c r="E30" s="648" t="str">
        <f>IF(DJS&lt;=ProtectDate,"TRUE","FALSE")</f>
        <v>TRUE</v>
      </c>
      <c r="F30" s="649" t="str">
        <f>IF(DJS&lt;=ProtectDate,"TRUE","FALSE")</f>
        <v>TRUE</v>
      </c>
      <c r="G30" s="170" t="s">
        <v>751</v>
      </c>
      <c r="H30" t="s">
        <v>754</v>
      </c>
    </row>
    <row r="31" spans="1:8" x14ac:dyDescent="0.2">
      <c r="B31" s="762"/>
      <c r="C31" s="101" t="s">
        <v>72</v>
      </c>
      <c r="D31" s="125" t="str">
        <f>IF(D30="TRUE",IF(D27=TRUE,"Full",IF(D28=TRUE,"Tapered",IF(D29=TRUE,"None"))),"None")</f>
        <v>Full</v>
      </c>
      <c r="E31" s="9" t="str">
        <f>IF(E30="TRUE",IF(E27=TRUE,"Full",IF(E28=TRUE,"Tapered",IF(E29=TRUE,"None"))),"None")</f>
        <v>Full</v>
      </c>
      <c r="F31" s="104" t="e">
        <f>IF(F30="TRUE",IF(F27=TRUE,"Full",IF(F28=TRUE,"Tapered",IF(F29=TRUE,"None"))),"None")</f>
        <v>#N/A</v>
      </c>
      <c r="G31" s="170" t="s">
        <v>751</v>
      </c>
    </row>
    <row r="32" spans="1:8" ht="13.5" thickBot="1" x14ac:dyDescent="0.25">
      <c r="B32" s="763"/>
      <c r="C32" s="459" t="s">
        <v>80</v>
      </c>
      <c r="D32" s="227" t="str">
        <f>IF(D31="None",NewSchDate-1,IF(D31="Tapered",IF(Special_Class="Yes",VLOOKUP(DoB,tapertab3,3,TRUE),VLOOKUP(DoB,tapertab1,3,TRUE)),"N/A"))</f>
        <v>N/A</v>
      </c>
      <c r="E32" s="157" t="str">
        <f>IF(E31="None",NewSchDate-1,IF(E31="Tapered",IF(Special_Class="Yes",VLOOKUP(DoB,tapertab3,3,TRUE),VLOOKUP(DoB,tapertab2,3,TRUE)),"N/A"))</f>
        <v>N/A</v>
      </c>
      <c r="F32" s="158" t="e">
        <f>IF(CurrentScheme="1995 Section",D32,E32)</f>
        <v>#N/A</v>
      </c>
      <c r="G32" s="83"/>
    </row>
    <row r="33" spans="2:9" x14ac:dyDescent="0.2">
      <c r="B33" s="761" t="s">
        <v>282</v>
      </c>
      <c r="C33" s="460" t="s">
        <v>291</v>
      </c>
      <c r="D33" s="126" t="str">
        <f>IF(OR(D31="Full",D22&lt;D32),"",IF(PT_Status="some Part-Time",Reck_Years+Reck_Days/DoY+MAX(0,(D32-DoStartSchYear)/DoY*future_PTP),MAX($D$17+((D32-ProtectDate)/DoY),0)))</f>
        <v/>
      </c>
      <c r="E33" s="127" t="str">
        <f>IF(OR(E31="Full",E22&lt;E32),"",IF(PT_Status="some Part-Time",Reck_Years+Reck_Days/DoY+MAX(0,(E32-DoStartSchYear)/DoY*future_PTP),MAX($D$17+((E32-ProtectDate)/DoY),0)))</f>
        <v/>
      </c>
      <c r="F33" s="128" t="e">
        <f>IF(DJS&gt;=NewSchDate,0,IF(CurrentScheme=Sch_1995,D33,E33))</f>
        <v>#N/A</v>
      </c>
    </row>
    <row r="34" spans="2:9" x14ac:dyDescent="0.2">
      <c r="B34" s="762"/>
      <c r="C34" s="461" t="s">
        <v>290</v>
      </c>
      <c r="D34" s="126">
        <f>IF(D31="Full",IF(PT_Status="some Part-Time",Reck_Years+Reck_Days/DoY+MAX(0,(D22-DoStartSchYear)/DoY*future_PTP),ChosenRA-$D$9+$D$17),IF(D22&lt;D32,IF(PT_Status="some Part-Time",Reck_Years+Reck_Days/DoY+MAX(0,(D22-DoStartSchYear)/DoY*future_PTP),(D22-ProtectDate)/DoY+$D$17),""))</f>
        <v>0</v>
      </c>
      <c r="E34" s="127">
        <f>IF(E31="Full",IF(PT_Status="some Part-Time",Reck_Years+Reck_Days/DoY+MAX(0,(E22-DoStartSchYear)/DoY*future_PTP),ChosenRA-$D$9+$D$17),IF(E22&lt;E32,IF(PT_Status="some Part-Time",Reck_Years+Reck_Days/DoY+MAX(0,(E22-DoStartSchYear)/DoY*future_PTP),(E22-ProtectDate)/DoY+$D$17),""))</f>
        <v>0</v>
      </c>
      <c r="F34" s="128" t="e">
        <f>IF(DJS&gt;=NewSchDate,0,IF(CurrentScheme=Sch_1995,D34,E34))</f>
        <v>#N/A</v>
      </c>
    </row>
    <row r="35" spans="2:9" x14ac:dyDescent="0.2">
      <c r="B35" s="762"/>
      <c r="C35" s="461" t="s">
        <v>288</v>
      </c>
      <c r="D35" s="126">
        <f>MIN(IF(D33="",D34,D33),45)</f>
        <v>0</v>
      </c>
      <c r="E35" s="127">
        <f>MIN(IF(E33="",E34,E33),45)</f>
        <v>0</v>
      </c>
      <c r="F35" s="128" t="e">
        <f>IF(DJS&gt;=NewSchDate,0,IF(CurrentScheme=Sch_1995,D35,E35))</f>
        <v>#N/A</v>
      </c>
      <c r="G35" s="170" t="s">
        <v>736</v>
      </c>
    </row>
    <row r="36" spans="2:9" x14ac:dyDescent="0.2">
      <c r="B36" s="762"/>
      <c r="C36" s="132" t="s">
        <v>638</v>
      </c>
      <c r="D36" s="126"/>
      <c r="E36" s="578">
        <f>MIN(E35,E24-D12+TVinYears+TVinDays/DoY)</f>
        <v>0</v>
      </c>
      <c r="F36" s="128"/>
      <c r="G36" s="533" t="s">
        <v>704</v>
      </c>
    </row>
    <row r="37" spans="2:9" x14ac:dyDescent="0.2">
      <c r="B37" s="762"/>
      <c r="C37" s="132" t="s">
        <v>639</v>
      </c>
      <c r="D37" s="126"/>
      <c r="E37" s="127">
        <f>E35-E36</f>
        <v>0</v>
      </c>
      <c r="F37" s="128"/>
    </row>
    <row r="38" spans="2:9" x14ac:dyDescent="0.2">
      <c r="B38" s="762"/>
      <c r="C38" s="132" t="s">
        <v>318</v>
      </c>
      <c r="D38" s="126">
        <f ca="1">ChosenRA-age_exact</f>
        <v>-120.25188227241615</v>
      </c>
      <c r="E38" s="127">
        <f ca="1">ChosenRA-age_exact</f>
        <v>-120.25188227241615</v>
      </c>
      <c r="F38" s="128" t="e">
        <f t="shared" ref="F38:F53" si="1">IF(CurrentScheme=Sch_1995,D38,E38)</f>
        <v>#N/A</v>
      </c>
    </row>
    <row r="39" spans="2:9" ht="13.5" thickBot="1" x14ac:dyDescent="0.25">
      <c r="B39" s="763"/>
      <c r="C39" s="494" t="s">
        <v>289</v>
      </c>
      <c r="D39" s="495"/>
      <c r="E39" s="496"/>
      <c r="F39" s="497"/>
      <c r="G39" s="83"/>
    </row>
    <row r="40" spans="2:9" x14ac:dyDescent="0.2">
      <c r="B40" s="761" t="s">
        <v>284</v>
      </c>
      <c r="C40" s="103" t="s">
        <v>283</v>
      </c>
      <c r="D40" s="135">
        <f>CurrentSal</f>
        <v>0</v>
      </c>
      <c r="E40" s="136">
        <f>CurrentSal</f>
        <v>0</v>
      </c>
      <c r="F40" s="137" t="e">
        <f t="shared" si="1"/>
        <v>#N/A</v>
      </c>
      <c r="G40" s="29"/>
      <c r="H40" s="68"/>
    </row>
    <row r="41" spans="2:9" x14ac:dyDescent="0.2">
      <c r="B41" s="762"/>
      <c r="C41" s="139" t="str">
        <f>"Project Salary - "&amp;basis1</f>
        <v>Project Salary - CPI + 0%</v>
      </c>
      <c r="D41" s="140">
        <f ca="1">D$40*(1+cpi_1)^D$38</f>
        <v>0</v>
      </c>
      <c r="E41" s="141">
        <f ca="1">E$40*(1+cpi_1)^E$38</f>
        <v>0</v>
      </c>
      <c r="F41" s="142" t="e">
        <f t="shared" si="1"/>
        <v>#N/A</v>
      </c>
      <c r="G41" s="29"/>
    </row>
    <row r="42" spans="2:9" x14ac:dyDescent="0.2">
      <c r="B42" s="762"/>
      <c r="C42" s="98" t="str">
        <f>"Project Salary - "&amp;basis2</f>
        <v>Project Salary - CPI + 1%</v>
      </c>
      <c r="D42" s="130">
        <f ca="1">D$40*(1+cpi_2)^D$38</f>
        <v>0</v>
      </c>
      <c r="E42" s="131">
        <f ca="1">E$40*(1+cpi_2)^E$38</f>
        <v>0</v>
      </c>
      <c r="F42" s="95" t="e">
        <f t="shared" si="1"/>
        <v>#N/A</v>
      </c>
      <c r="G42" s="29"/>
      <c r="I42" s="83"/>
    </row>
    <row r="43" spans="2:9" x14ac:dyDescent="0.2">
      <c r="B43" s="762"/>
      <c r="C43" s="143" t="str">
        <f>"Project Salary - "&amp;basis3</f>
        <v>Project Salary - CPI + 2%</v>
      </c>
      <c r="D43" s="144">
        <f ca="1">D$40*(1+cpi_3)^D$38</f>
        <v>0</v>
      </c>
      <c r="E43" s="145">
        <f ca="1">E$40*(1+cpi_3)^E$38</f>
        <v>0</v>
      </c>
      <c r="F43" s="146" t="e">
        <f>IF(CurrentScheme=Sch_1995,D43,E43)</f>
        <v>#N/A</v>
      </c>
      <c r="G43" s="29"/>
      <c r="H43" s="29"/>
      <c r="I43" s="83"/>
    </row>
    <row r="44" spans="2:9" x14ac:dyDescent="0.2">
      <c r="B44" s="762"/>
      <c r="C44" s="132" t="str">
        <f>"Discount Projected Salary - "&amp;basis1</f>
        <v>Discount Projected Salary - CPI + 0%</v>
      </c>
      <c r="D44" s="130">
        <f ca="1">D41/((1+cpi)^D$38)*(1+cpi)^((Date_curr-DoStartSchYear)/DoY)</f>
        <v>0</v>
      </c>
      <c r="E44" s="131">
        <f t="shared" ref="E44:E46" ca="1" si="2">E41/((1+cpi)^E$38)*(1+cpi)^((Date_curr-DoStartSchYear)/DoY)</f>
        <v>0</v>
      </c>
      <c r="F44" s="95" t="e">
        <f t="shared" si="1"/>
        <v>#N/A</v>
      </c>
      <c r="G44" s="493" t="e">
        <f ca="1">E44/E41</f>
        <v>#DIV/0!</v>
      </c>
      <c r="H44" s="29"/>
      <c r="I44" s="83"/>
    </row>
    <row r="45" spans="2:9" x14ac:dyDescent="0.2">
      <c r="B45" s="762"/>
      <c r="C45" s="132" t="str">
        <f>"Discount Projected Salary - "&amp;basis2</f>
        <v>Discount Projected Salary - CPI + 1%</v>
      </c>
      <c r="D45" s="130">
        <f ca="1">D42/((1+cpi)^D$38)*(1+cpi)^((Date_curr-DoStartSchYear)/DoY)</f>
        <v>0</v>
      </c>
      <c r="E45" s="131">
        <f t="shared" ca="1" si="2"/>
        <v>0</v>
      </c>
      <c r="F45" s="95" t="e">
        <f t="shared" si="1"/>
        <v>#N/A</v>
      </c>
      <c r="G45" s="493" t="e">
        <f t="shared" ref="G45:G46" ca="1" si="3">E45/E42</f>
        <v>#DIV/0!</v>
      </c>
      <c r="H45" s="29"/>
      <c r="I45" s="83"/>
    </row>
    <row r="46" spans="2:9" ht="13.5" thickBot="1" x14ac:dyDescent="0.25">
      <c r="B46" s="763"/>
      <c r="C46" s="133" t="str">
        <f>"Discount Projected Salary - "&amp;basis3</f>
        <v>Discount Projected Salary - CPI + 2%</v>
      </c>
      <c r="D46" s="130">
        <f ca="1">D43/((1+cpi)^D$38)*(1+cpi)^((Date_curr-DoStartSchYear)/DoY)</f>
        <v>0</v>
      </c>
      <c r="E46" s="131">
        <f t="shared" ca="1" si="2"/>
        <v>0</v>
      </c>
      <c r="F46" s="95" t="e">
        <f>IF(CurrentScheme=Sch_1995,D46,E46)</f>
        <v>#N/A</v>
      </c>
      <c r="G46" s="493" t="e">
        <f t="shared" ca="1" si="3"/>
        <v>#DIV/0!</v>
      </c>
      <c r="H46" s="29"/>
      <c r="I46" s="83"/>
    </row>
    <row r="47" spans="2:9" x14ac:dyDescent="0.2">
      <c r="B47" s="761" t="s">
        <v>642</v>
      </c>
      <c r="C47" s="132" t="s">
        <v>697</v>
      </c>
      <c r="D47" s="135"/>
      <c r="E47" s="136">
        <f ca="1">IF(E36="",0,E36*E44*Acc_2008)</f>
        <v>0</v>
      </c>
      <c r="F47" s="137"/>
      <c r="G47" s="83" t="s">
        <v>696</v>
      </c>
      <c r="H47" s="83"/>
      <c r="I47" s="83"/>
    </row>
    <row r="48" spans="2:9" x14ac:dyDescent="0.2">
      <c r="B48" s="762"/>
      <c r="C48" s="132" t="s">
        <v>699</v>
      </c>
      <c r="D48" s="130"/>
      <c r="E48" s="131">
        <f ca="1">IF(E36="",0,E36*E45*Acc_2008)</f>
        <v>0</v>
      </c>
      <c r="F48" s="95"/>
      <c r="G48" s="83" t="s">
        <v>696</v>
      </c>
      <c r="H48" s="83"/>
      <c r="I48" s="83"/>
    </row>
    <row r="49" spans="2:9" x14ac:dyDescent="0.2">
      <c r="B49" s="762"/>
      <c r="C49" s="132" t="s">
        <v>700</v>
      </c>
      <c r="D49" s="130"/>
      <c r="E49" s="131">
        <f ca="1">IF(E36="",0,E36*E46*Acc_2008)</f>
        <v>0</v>
      </c>
      <c r="F49" s="95"/>
      <c r="G49" s="83" t="s">
        <v>696</v>
      </c>
      <c r="H49" s="83"/>
      <c r="I49" s="83"/>
    </row>
    <row r="50" spans="2:9" x14ac:dyDescent="0.2">
      <c r="B50" s="762"/>
      <c r="C50" s="132" t="s">
        <v>698</v>
      </c>
      <c r="D50" s="130"/>
      <c r="E50" s="131">
        <f ca="1">IF($E$37="",0,$E$37*E44*Acc_2008)</f>
        <v>0</v>
      </c>
      <c r="F50" s="95"/>
      <c r="G50" s="83" t="s">
        <v>696</v>
      </c>
      <c r="H50" s="83"/>
      <c r="I50" s="83"/>
    </row>
    <row r="51" spans="2:9" x14ac:dyDescent="0.2">
      <c r="B51" s="762"/>
      <c r="C51" s="132" t="s">
        <v>701</v>
      </c>
      <c r="D51" s="130"/>
      <c r="E51" s="131">
        <f ca="1">IF($E$37="",0,$E$37*E45*Acc_2008)</f>
        <v>0</v>
      </c>
      <c r="F51" s="95"/>
      <c r="G51" s="83" t="s">
        <v>696</v>
      </c>
      <c r="H51" s="83"/>
      <c r="I51" s="83"/>
    </row>
    <row r="52" spans="2:9" ht="13.5" thickBot="1" x14ac:dyDescent="0.25">
      <c r="B52" s="762"/>
      <c r="C52" s="132" t="s">
        <v>702</v>
      </c>
      <c r="D52" s="115"/>
      <c r="E52" s="138">
        <f ca="1">IF($E$37="",0,$E$37*E46*Acc_2008)</f>
        <v>0</v>
      </c>
      <c r="F52" s="96"/>
      <c r="G52" s="83" t="s">
        <v>696</v>
      </c>
      <c r="H52" s="83"/>
      <c r="I52" s="83"/>
    </row>
    <row r="53" spans="2:9" x14ac:dyDescent="0.2">
      <c r="B53" s="761" t="s">
        <v>629</v>
      </c>
      <c r="C53" s="97" t="s">
        <v>630</v>
      </c>
      <c r="D53" s="130">
        <f>ChosenRA-D24</f>
        <v>-60</v>
      </c>
      <c r="E53" s="131">
        <f>ChosenRA-E24</f>
        <v>-65</v>
      </c>
      <c r="F53" s="95" t="e">
        <f t="shared" si="1"/>
        <v>#N/A</v>
      </c>
      <c r="G53" s="29"/>
      <c r="H53" s="29"/>
      <c r="I53" s="83"/>
    </row>
    <row r="54" spans="2:9" x14ac:dyDescent="0.2">
      <c r="B54" s="762"/>
      <c r="C54" s="98" t="s">
        <v>469</v>
      </c>
      <c r="D54" s="485">
        <v>1</v>
      </c>
      <c r="E54" s="462">
        <f>IFERROR(VLOOKUP(RA_Year,LRF1_table,RA_month+2,FALSE),1)</f>
        <v>1</v>
      </c>
      <c r="F54" s="95" t="e">
        <f>IF(CurrentScheme=Sch_1995,D54,E54)</f>
        <v>#N/A</v>
      </c>
      <c r="G54" s="29"/>
      <c r="H54" s="29"/>
      <c r="I54" s="83"/>
    </row>
    <row r="55" spans="2:9" ht="14.25" customHeight="1" x14ac:dyDescent="0.2">
      <c r="B55" s="762"/>
      <c r="C55" s="98" t="s">
        <v>384</v>
      </c>
      <c r="D55" s="462">
        <f>IF(D53=0,1,IFERROR(VLOOKUP(RA_Year,ERF1_table,RA_month+2,FALSE),1))</f>
        <v>1</v>
      </c>
      <c r="E55" s="462">
        <f>IF(E53=0,1,IFERROR(VLOOKUP(RA_Year,ERF1_table,RA_month+2,FALSE),1))</f>
        <v>1</v>
      </c>
      <c r="F55" s="95" t="e">
        <f>IF(CurrentScheme=Sch_1995,D55,E55)</f>
        <v>#N/A</v>
      </c>
      <c r="G55" s="581" t="s">
        <v>690</v>
      </c>
      <c r="H55" s="526"/>
      <c r="I55" s="83"/>
    </row>
    <row r="56" spans="2:9" ht="14.25" customHeight="1" thickBot="1" x14ac:dyDescent="0.25">
      <c r="B56" s="514"/>
      <c r="C56" s="464" t="s">
        <v>637</v>
      </c>
      <c r="D56" s="480">
        <f>IF(D53=0,1,IFERROR(VLOOKUP(RA_Year,ERF7_table,RA_month+2,FALSE),1))</f>
        <v>1</v>
      </c>
      <c r="E56" s="462">
        <f>IFERROR(VLOOKUP(RA_Year,ERF7_table,RA_month+2,FALSE),1)</f>
        <v>1</v>
      </c>
      <c r="F56" s="481">
        <f>IFERROR(VLOOKUP(RA_Year,ERF7_table,RA_month+2,FALSE),1)</f>
        <v>1</v>
      </c>
      <c r="G56" s="582" t="s">
        <v>711</v>
      </c>
      <c r="H56" s="526"/>
      <c r="I56" s="83"/>
    </row>
    <row r="57" spans="2:9" x14ac:dyDescent="0.2">
      <c r="B57" s="762" t="s">
        <v>281</v>
      </c>
      <c r="C57" s="93" t="str">
        <f>"Pension - "&amp;basis1</f>
        <v>Pension - CPI + 0%</v>
      </c>
      <c r="D57" s="486">
        <f ca="1">D$35*Acc_1995*D44*IF(D$53&lt;0,D$55,1)</f>
        <v>0</v>
      </c>
      <c r="E57" s="487">
        <f ca="1">(E47*$E$54+E50)*$E$55</f>
        <v>0</v>
      </c>
      <c r="F57" s="488" t="e">
        <f>IF(DJS&gt;=NewSchDate,0,IF(CurrentScheme=Sch_1995,D57,E57))</f>
        <v>#N/A</v>
      </c>
      <c r="G57" s="523"/>
      <c r="H57" s="525"/>
      <c r="I57" s="83"/>
    </row>
    <row r="58" spans="2:9" x14ac:dyDescent="0.2">
      <c r="B58" s="762"/>
      <c r="C58" s="464" t="str">
        <f>"Pension - "&amp;basis2</f>
        <v>Pension - CPI + 1%</v>
      </c>
      <c r="D58" s="489">
        <f ca="1">D$35*Acc_1995*D45*IF(D$53&lt;0,D$55,1)</f>
        <v>0</v>
      </c>
      <c r="E58" s="484">
        <f ca="1">(E48*$E$54+E51)*$E$55</f>
        <v>0</v>
      </c>
      <c r="F58" s="490" t="e">
        <f>IF(DJS&gt;=NewSchDate,0,IF(CurrentScheme=Sch_1995,D58,E58))</f>
        <v>#N/A</v>
      </c>
      <c r="G58" s="92"/>
      <c r="H58" s="525"/>
      <c r="I58" s="83"/>
    </row>
    <row r="59" spans="2:9" ht="13.5" thickBot="1" x14ac:dyDescent="0.25">
      <c r="B59" s="762"/>
      <c r="C59" s="464" t="str">
        <f>"Pension - "&amp;basis3</f>
        <v>Pension - CPI + 2%</v>
      </c>
      <c r="D59" s="489">
        <f ca="1">D$35*Acc_1995*D46*IF(D$53&lt;0,D$55,1)</f>
        <v>0</v>
      </c>
      <c r="E59" s="484">
        <f ca="1">(E49*$E$54+E52)*$E$55</f>
        <v>0</v>
      </c>
      <c r="F59" s="490" t="e">
        <f t="shared" ref="F59:F68" si="4">IF(DJS&gt;=NewSchDate,0,IF(CurrentScheme=Sch_1995,D59,E59))</f>
        <v>#N/A</v>
      </c>
      <c r="G59" s="92"/>
      <c r="H59" s="525"/>
      <c r="I59" s="83"/>
    </row>
    <row r="60" spans="2:9" x14ac:dyDescent="0.2">
      <c r="B60" s="764"/>
      <c r="C60" s="428" t="s">
        <v>664</v>
      </c>
      <c r="D60" s="486">
        <f ca="1">D$35*Acc_1995*D44*Lump_Sum_1995*IF(D$53&lt;0,D$56,1)</f>
        <v>0</v>
      </c>
      <c r="E60" s="487">
        <v>0</v>
      </c>
      <c r="F60" s="488" t="e">
        <f>IF(CurrentScheme=Sch_1995,D60,E60)</f>
        <v>#N/A</v>
      </c>
      <c r="G60" s="529" t="s">
        <v>710</v>
      </c>
      <c r="H60" s="524"/>
      <c r="I60" s="83"/>
    </row>
    <row r="61" spans="2:9" x14ac:dyDescent="0.2">
      <c r="B61" s="764"/>
      <c r="C61" s="510" t="s">
        <v>665</v>
      </c>
      <c r="D61" s="489">
        <f ca="1">D$35*Acc_1995*D45*Lump_Sum_1995*IF(D$53&lt;0,D$56,1)</f>
        <v>0</v>
      </c>
      <c r="E61" s="484">
        <v>0</v>
      </c>
      <c r="F61" s="490" t="e">
        <f>IF(CurrentScheme=Sch_1995,D61,E61)</f>
        <v>#N/A</v>
      </c>
      <c r="G61" s="529" t="s">
        <v>710</v>
      </c>
      <c r="H61" s="29"/>
      <c r="I61" s="83"/>
    </row>
    <row r="62" spans="2:9" ht="13.5" thickBot="1" x14ac:dyDescent="0.25">
      <c r="B62" s="765"/>
      <c r="C62" s="459" t="s">
        <v>666</v>
      </c>
      <c r="D62" s="491">
        <f ca="1">D$35*Acc_1995*D46*Lump_Sum_1995*IF(D$53&lt;0,D$56,1)</f>
        <v>0</v>
      </c>
      <c r="E62" s="492">
        <v>0</v>
      </c>
      <c r="F62" s="238" t="e">
        <f>IF(CurrentScheme=Sch_1995,D62,E62)</f>
        <v>#N/A</v>
      </c>
      <c r="G62" s="529" t="s">
        <v>710</v>
      </c>
      <c r="I62" s="83"/>
    </row>
    <row r="63" spans="2:9" x14ac:dyDescent="0.2">
      <c r="B63" s="761" t="s">
        <v>628</v>
      </c>
      <c r="C63" s="464" t="str">
        <f>"Nominal Pension - "&amp;basis1</f>
        <v>Nominal Pension - CPI + 0%</v>
      </c>
      <c r="D63" s="489">
        <f ca="1">D$35*Acc_1995*D41*IF(D$53&lt;0,D$55,1)</f>
        <v>0</v>
      </c>
      <c r="E63" s="484" t="e">
        <f ca="1">(E47*$E$54/G44+E50/G44)*$E$55</f>
        <v>#DIV/0!</v>
      </c>
      <c r="F63" s="490" t="e">
        <f t="shared" si="4"/>
        <v>#N/A</v>
      </c>
      <c r="I63" s="83"/>
    </row>
    <row r="64" spans="2:9" x14ac:dyDescent="0.2">
      <c r="B64" s="762"/>
      <c r="C64" s="464" t="str">
        <f>"Nominal Pension - "&amp;basis2</f>
        <v>Nominal Pension - CPI + 1%</v>
      </c>
      <c r="D64" s="489">
        <f ca="1">D$35*Acc_1995*D42*IF(D$53&lt;0,D$55,1)</f>
        <v>0</v>
      </c>
      <c r="E64" s="484" t="e">
        <f ca="1">(E48*$E$54/G45+E51/G45)*$E$55</f>
        <v>#DIV/0!</v>
      </c>
      <c r="F64" s="490" t="e">
        <f t="shared" si="4"/>
        <v>#N/A</v>
      </c>
      <c r="I64" s="83"/>
    </row>
    <row r="65" spans="2:9" ht="13.5" thickBot="1" x14ac:dyDescent="0.25">
      <c r="B65" s="762"/>
      <c r="C65" s="464" t="str">
        <f>"Nominal Pension - "&amp;basis3</f>
        <v>Nominal Pension - CPI + 2%</v>
      </c>
      <c r="D65" s="489">
        <f ca="1">D$35*Acc_1995*D43*IF(D$53&lt;0,D$55,1)</f>
        <v>0</v>
      </c>
      <c r="E65" s="484" t="e">
        <f ca="1">(E49*$E$54/G46+E52/G46)*$E$55</f>
        <v>#DIV/0!</v>
      </c>
      <c r="F65" s="490" t="e">
        <f t="shared" si="4"/>
        <v>#N/A</v>
      </c>
      <c r="I65" s="83"/>
    </row>
    <row r="66" spans="2:9" x14ac:dyDescent="0.2">
      <c r="B66" s="762"/>
      <c r="C66" s="509" t="str">
        <f>"Nominal Lump Sum - "&amp;basis1</f>
        <v>Nominal Lump Sum - CPI + 0%</v>
      </c>
      <c r="D66" s="486">
        <f ca="1">IFERROR(Lump_Sum_1995*D63,0)</f>
        <v>0</v>
      </c>
      <c r="E66" s="487"/>
      <c r="F66" s="488" t="e">
        <f t="shared" si="4"/>
        <v>#N/A</v>
      </c>
      <c r="I66" s="83"/>
    </row>
    <row r="67" spans="2:9" x14ac:dyDescent="0.2">
      <c r="B67" s="762"/>
      <c r="C67" s="510" t="str">
        <f>"Nominal `Lump Sum - "&amp;basis2</f>
        <v>Nominal `Lump Sum - CPI + 1%</v>
      </c>
      <c r="D67" s="489">
        <f ca="1">IFERROR(Lump_Sum_1995*D64,0)</f>
        <v>0</v>
      </c>
      <c r="E67" s="484"/>
      <c r="F67" s="490" t="e">
        <f t="shared" si="4"/>
        <v>#N/A</v>
      </c>
      <c r="I67" s="83"/>
    </row>
    <row r="68" spans="2:9" ht="13.5" thickBot="1" x14ac:dyDescent="0.25">
      <c r="B68" s="763"/>
      <c r="C68" s="459" t="str">
        <f>"Nominal Lump Sum - "&amp;basis3</f>
        <v>Nominal Lump Sum - CPI + 2%</v>
      </c>
      <c r="D68" s="491">
        <f ca="1">IFERROR(Lump_Sum_1995*D65,0)</f>
        <v>0</v>
      </c>
      <c r="E68" s="492"/>
      <c r="F68" s="238" t="e">
        <f t="shared" si="4"/>
        <v>#N/A</v>
      </c>
      <c r="I68" s="83"/>
    </row>
    <row r="69" spans="2:9" x14ac:dyDescent="0.2">
      <c r="B69" s="10"/>
      <c r="C69" s="1"/>
      <c r="D69" s="90"/>
      <c r="E69" s="91"/>
      <c r="F69" s="90"/>
      <c r="G69" t="s">
        <v>66</v>
      </c>
      <c r="H69" t="s">
        <v>69</v>
      </c>
      <c r="I69" s="83"/>
    </row>
    <row r="70" spans="2:9" x14ac:dyDescent="0.2">
      <c r="B70" s="10"/>
      <c r="C70" s="1" t="s">
        <v>508</v>
      </c>
      <c r="D70" s="90">
        <f>D35</f>
        <v>0</v>
      </c>
      <c r="E70" s="91">
        <f>E35</f>
        <v>0</v>
      </c>
      <c r="F70" s="90" t="e">
        <f>IF(Scheme_Full="2015 Scheme",0,IF(CurrentScheme=Sch_1995,D70,E70))</f>
        <v>#N/A</v>
      </c>
      <c r="G70" s="78" t="e">
        <f>ROUND(INT(F70),0)</f>
        <v>#N/A</v>
      </c>
      <c r="H70" s="650" t="e">
        <f>ROUND((F70-G70)*365,0)</f>
        <v>#N/A</v>
      </c>
    </row>
  </sheetData>
  <mergeCells count="7">
    <mergeCell ref="B23:B32"/>
    <mergeCell ref="B33:B39"/>
    <mergeCell ref="B57:B62"/>
    <mergeCell ref="B40:B46"/>
    <mergeCell ref="B63:B68"/>
    <mergeCell ref="B53:B55"/>
    <mergeCell ref="B47:B52"/>
  </mergeCells>
  <phoneticPr fontId="30" type="noConversion"/>
  <pageMargins left="0.70866141732283472" right="0.70866141732283472" top="0.74803149606299213" bottom="0.74803149606299213" header="0.31496062992125984" footer="0.31496062992125984"/>
  <pageSetup paperSize="9" scale="38" orientation="portrait" r:id="rId1"/>
  <headerFooter>
    <oddHeader>&amp;CPROTECT - SCHEME MANAGEMENT&amp;L_x000D_&amp;Z&amp;F  [&amp;A]</oddHeader>
    <oddFooter>&amp;LPage &amp;P of &amp;N&amp;R&amp;T &amp;D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M46"/>
  <sheetViews>
    <sheetView topLeftCell="A10" workbookViewId="0">
      <selection activeCell="D26" sqref="D26"/>
    </sheetView>
  </sheetViews>
  <sheetFormatPr defaultRowHeight="12.75" x14ac:dyDescent="0.2"/>
  <cols>
    <col min="1" max="1" width="5" customWidth="1"/>
    <col min="2" max="2" width="26" customWidth="1"/>
    <col min="3" max="3" width="48.140625" customWidth="1"/>
    <col min="4" max="6" width="17.5703125" customWidth="1"/>
    <col min="7" max="7" width="12.5703125" customWidth="1"/>
    <col min="8" max="8" width="13.140625" customWidth="1"/>
    <col min="9" max="9" width="10.140625" bestFit="1" customWidth="1"/>
  </cols>
  <sheetData>
    <row r="1" spans="1:13" ht="20.25" x14ac:dyDescent="0.3">
      <c r="A1" s="13" t="s">
        <v>19</v>
      </c>
      <c r="B1" s="12"/>
      <c r="C1" s="12"/>
      <c r="D1" s="12"/>
      <c r="E1" s="12"/>
      <c r="F1" s="12"/>
      <c r="G1" s="12"/>
      <c r="H1" s="12"/>
      <c r="I1" s="12"/>
    </row>
    <row r="2" spans="1:13" ht="15.75" x14ac:dyDescent="0.25">
      <c r="A2" s="27" t="str">
        <f>IF(title="&gt; Enter workbook title here","Enter workbook title in Cover sheet",title)</f>
        <v>Scottish Fire pension  projection calculator</v>
      </c>
      <c r="B2" s="11"/>
      <c r="C2" s="11"/>
      <c r="D2" s="11"/>
      <c r="E2" s="11"/>
      <c r="F2" s="11"/>
      <c r="G2" s="11"/>
      <c r="H2" s="11"/>
      <c r="I2" s="11"/>
    </row>
    <row r="3" spans="1:13" ht="15.75" x14ac:dyDescent="0.25">
      <c r="A3" s="75" t="s">
        <v>254</v>
      </c>
      <c r="B3" s="11"/>
      <c r="C3" s="11"/>
      <c r="D3" s="11"/>
      <c r="E3" s="11"/>
      <c r="F3" s="11"/>
      <c r="G3" s="11"/>
      <c r="H3" s="11"/>
      <c r="I3" s="11"/>
    </row>
    <row r="4" spans="1:13" x14ac:dyDescent="0.2">
      <c r="A4" s="7" t="str">
        <f ca="1">CELL("filename",A1)</f>
        <v>C:\Users\u205538\Downloads\[NHS_Pension_Calculator_v2.3 22 Dec 2020 (6).xlsx]Lump Sum</v>
      </c>
      <c r="K4" s="29"/>
    </row>
    <row r="5" spans="1:13" ht="13.5" thickBot="1" x14ac:dyDescent="0.25"/>
    <row r="6" spans="1:13" ht="13.5" thickBot="1" x14ac:dyDescent="0.25">
      <c r="C6" s="766" t="s">
        <v>261</v>
      </c>
      <c r="D6" s="767"/>
      <c r="G6" s="29"/>
      <c r="M6" s="29"/>
    </row>
    <row r="7" spans="1:13" x14ac:dyDescent="0.2">
      <c r="C7" s="463" t="s">
        <v>258</v>
      </c>
      <c r="D7" s="470">
        <f>ChosenRA</f>
        <v>0</v>
      </c>
      <c r="G7" s="29"/>
      <c r="I7" s="29"/>
    </row>
    <row r="8" spans="1:13" x14ac:dyDescent="0.2">
      <c r="C8" s="230" t="s">
        <v>256</v>
      </c>
      <c r="D8" s="471">
        <f>INT(D7)</f>
        <v>0</v>
      </c>
      <c r="G8" s="29"/>
      <c r="I8" s="29"/>
    </row>
    <row r="9" spans="1:13" ht="13.5" thickBot="1" x14ac:dyDescent="0.25">
      <c r="C9" s="228" t="s">
        <v>257</v>
      </c>
      <c r="D9" s="472">
        <f>INT((D7-D8)*12)</f>
        <v>0</v>
      </c>
    </row>
    <row r="10" spans="1:13" x14ac:dyDescent="0.2">
      <c r="C10" s="16"/>
      <c r="D10" s="9"/>
    </row>
    <row r="11" spans="1:13" ht="13.5" thickBot="1" x14ac:dyDescent="0.25">
      <c r="C11" s="16"/>
      <c r="D11" s="9"/>
      <c r="F11" s="9"/>
      <c r="G11" s="465"/>
    </row>
    <row r="12" spans="1:13" x14ac:dyDescent="0.2">
      <c r="C12" s="97"/>
      <c r="D12" s="93" t="s">
        <v>268</v>
      </c>
      <c r="E12" s="103" t="s">
        <v>301</v>
      </c>
      <c r="G12" s="286" t="s">
        <v>550</v>
      </c>
      <c r="H12" s="467">
        <v>0.19639999999999999</v>
      </c>
    </row>
    <row r="13" spans="1:13" ht="13.5" thickBot="1" x14ac:dyDescent="0.25">
      <c r="C13" s="105" t="s">
        <v>270</v>
      </c>
      <c r="D13" s="469">
        <v>12</v>
      </c>
      <c r="E13" s="189">
        <v>12</v>
      </c>
      <c r="G13" s="466" t="s">
        <v>549</v>
      </c>
      <c r="H13" s="468">
        <v>0.35709999999999997</v>
      </c>
    </row>
    <row r="14" spans="1:13" ht="13.5" thickBot="1" x14ac:dyDescent="0.25">
      <c r="A14" s="170"/>
      <c r="C14" s="106" t="s">
        <v>259</v>
      </c>
      <c r="D14" s="134" t="e">
        <f>VLOOKUP(Scheme_Full,G12:H13,2,FALSE)</f>
        <v>#N/A</v>
      </c>
      <c r="E14" s="188">
        <v>0.35709999999999997</v>
      </c>
      <c r="G14" s="68"/>
    </row>
    <row r="15" spans="1:13" ht="13.5" thickBot="1" x14ac:dyDescent="0.25">
      <c r="A15" s="170"/>
      <c r="C15" s="101"/>
      <c r="D15" s="68"/>
      <c r="G15" s="68"/>
    </row>
    <row r="16" spans="1:13" ht="13.5" thickBot="1" x14ac:dyDescent="0.25">
      <c r="A16" s="170"/>
      <c r="D16" s="117" t="str">
        <f>basis1</f>
        <v>CPI + 0%</v>
      </c>
      <c r="E16" s="111" t="str">
        <f>basis2</f>
        <v>CPI + 1%</v>
      </c>
      <c r="F16" s="112" t="str">
        <f>basis3</f>
        <v>CPI + 2%</v>
      </c>
    </row>
    <row r="17" spans="1:8" ht="13.5" thickBot="1" x14ac:dyDescent="0.25">
      <c r="A17" s="170"/>
      <c r="C17" s="97" t="s">
        <v>268</v>
      </c>
      <c r="D17" s="768" t="s">
        <v>253</v>
      </c>
      <c r="E17" s="769"/>
      <c r="F17" s="770"/>
    </row>
    <row r="18" spans="1:8" x14ac:dyDescent="0.2">
      <c r="A18" s="170"/>
      <c r="C18" s="93" t="s">
        <v>271</v>
      </c>
      <c r="D18" s="476" t="e">
        <f>'1995 &amp; 2008 calcs'!F57</f>
        <v>#N/A</v>
      </c>
      <c r="E18" s="204" t="e">
        <f>'1995 &amp; 2008 calcs'!F58</f>
        <v>#N/A</v>
      </c>
      <c r="F18" s="205" t="e">
        <f>'1995 &amp; 2008 calcs'!F59</f>
        <v>#N/A</v>
      </c>
      <c r="G18" s="527" t="s">
        <v>662</v>
      </c>
      <c r="H18" s="90"/>
    </row>
    <row r="19" spans="1:8" x14ac:dyDescent="0.2">
      <c r="A19" s="170"/>
      <c r="C19" s="464" t="s">
        <v>300</v>
      </c>
      <c r="D19" s="114" t="e">
        <f>$D$14*D18</f>
        <v>#N/A</v>
      </c>
      <c r="E19" s="108" t="e">
        <f>$D$14*E18</f>
        <v>#N/A</v>
      </c>
      <c r="F19" s="94" t="e">
        <f>$D$14*F18</f>
        <v>#N/A</v>
      </c>
      <c r="G19" s="527" t="s">
        <v>662</v>
      </c>
      <c r="H19" s="90"/>
    </row>
    <row r="20" spans="1:8" x14ac:dyDescent="0.2">
      <c r="A20" s="170"/>
      <c r="C20" s="464" t="s">
        <v>337</v>
      </c>
      <c r="D20" s="118" t="e">
        <f>D18-D19</f>
        <v>#N/A</v>
      </c>
      <c r="E20" s="108" t="e">
        <f>E18-E19</f>
        <v>#N/A</v>
      </c>
      <c r="F20" s="94" t="e">
        <f>F18-F19</f>
        <v>#N/A</v>
      </c>
      <c r="H20" s="90"/>
    </row>
    <row r="21" spans="1:8" x14ac:dyDescent="0.2">
      <c r="A21" s="170"/>
      <c r="C21" s="464" t="s">
        <v>636</v>
      </c>
      <c r="D21" s="118" t="e">
        <f>$D$13*D19</f>
        <v>#N/A</v>
      </c>
      <c r="E21" s="108" t="e">
        <f>$D$13*E19</f>
        <v>#N/A</v>
      </c>
      <c r="F21" s="94" t="e">
        <f>$D$13*F19</f>
        <v>#N/A</v>
      </c>
      <c r="H21" s="90"/>
    </row>
    <row r="22" spans="1:8" x14ac:dyDescent="0.2">
      <c r="A22" s="170"/>
      <c r="B22" s="82" t="s">
        <v>663</v>
      </c>
      <c r="C22" s="464" t="s">
        <v>667</v>
      </c>
      <c r="D22" s="118" t="e">
        <f>'1995 &amp; 2008 calcs'!F60</f>
        <v>#N/A</v>
      </c>
      <c r="E22" s="109" t="e">
        <f>'1995 &amp; 2008 calcs'!F61</f>
        <v>#N/A</v>
      </c>
      <c r="F22" s="234" t="e">
        <f>'1995 &amp; 2008 calcs'!F62</f>
        <v>#N/A</v>
      </c>
      <c r="G22" s="528"/>
      <c r="H22" s="90"/>
    </row>
    <row r="23" spans="1:8" ht="13.5" thickBot="1" x14ac:dyDescent="0.25">
      <c r="A23" s="170"/>
      <c r="B23" s="82" t="s">
        <v>663</v>
      </c>
      <c r="C23" s="429" t="s">
        <v>255</v>
      </c>
      <c r="D23" s="477" t="e">
        <f>D22+D21</f>
        <v>#N/A</v>
      </c>
      <c r="E23" s="478" t="e">
        <f>E22+E21</f>
        <v>#N/A</v>
      </c>
      <c r="F23" s="479" t="e">
        <f>F22+F21</f>
        <v>#N/A</v>
      </c>
    </row>
    <row r="24" spans="1:8" ht="13.5" thickBot="1" x14ac:dyDescent="0.25">
      <c r="C24" s="16"/>
    </row>
    <row r="25" spans="1:8" ht="13.5" thickBot="1" x14ac:dyDescent="0.25">
      <c r="C25" s="113" t="s">
        <v>269</v>
      </c>
      <c r="D25" s="117" t="str">
        <f>basis1</f>
        <v>CPI + 0%</v>
      </c>
      <c r="E25" s="111" t="str">
        <f>basis2</f>
        <v>CPI + 1%</v>
      </c>
      <c r="F25" s="112" t="str">
        <f>basis3</f>
        <v>CPI + 2%</v>
      </c>
    </row>
    <row r="26" spans="1:8" x14ac:dyDescent="0.2">
      <c r="B26" s="475"/>
      <c r="C26" s="97" t="s">
        <v>271</v>
      </c>
      <c r="D26" s="233" t="e">
        <f ca="1">'CARE calcs'!D43</f>
        <v>#N/A</v>
      </c>
      <c r="E26" s="643" t="e">
        <f ca="1">'CARE calcs'!E43</f>
        <v>#N/A</v>
      </c>
      <c r="F26" s="647" t="e">
        <f ca="1">'CARE calcs'!F43</f>
        <v>#N/A</v>
      </c>
    </row>
    <row r="27" spans="1:8" x14ac:dyDescent="0.2">
      <c r="B27" s="475"/>
      <c r="C27" s="98" t="s">
        <v>267</v>
      </c>
      <c r="D27" s="118" t="e">
        <f ca="1">$E$14*D26</f>
        <v>#N/A</v>
      </c>
      <c r="E27" s="644" t="e">
        <f ca="1">$E$14*E26</f>
        <v>#N/A</v>
      </c>
      <c r="F27" s="234" t="e">
        <f ca="1">$E$14*F26</f>
        <v>#N/A</v>
      </c>
    </row>
    <row r="28" spans="1:8" x14ac:dyDescent="0.2">
      <c r="B28" s="475"/>
      <c r="C28" s="98" t="s">
        <v>337</v>
      </c>
      <c r="D28" s="114" t="e">
        <f ca="1">D26-D27</f>
        <v>#N/A</v>
      </c>
      <c r="E28" s="645" t="e">
        <f ca="1">E26-E27</f>
        <v>#N/A</v>
      </c>
      <c r="F28" s="94" t="e">
        <f ca="1">F26-F27</f>
        <v>#N/A</v>
      </c>
    </row>
    <row r="29" spans="1:8" ht="13.5" thickBot="1" x14ac:dyDescent="0.25">
      <c r="B29" s="475"/>
      <c r="C29" s="99" t="s">
        <v>255</v>
      </c>
      <c r="D29" s="119" t="e">
        <f ca="1">D27*$E$13</f>
        <v>#N/A</v>
      </c>
      <c r="E29" s="646" t="e">
        <f ca="1">E27*$E$13</f>
        <v>#N/A</v>
      </c>
      <c r="F29" s="235" t="e">
        <f ca="1">F27*$E$13</f>
        <v>#N/A</v>
      </c>
    </row>
    <row r="31" spans="1:8" ht="13.5" thickBot="1" x14ac:dyDescent="0.25">
      <c r="C31" s="101" t="s">
        <v>655</v>
      </c>
      <c r="D31" s="109"/>
      <c r="E31" s="1"/>
    </row>
    <row r="32" spans="1:8" ht="13.5" thickBot="1" x14ac:dyDescent="0.25">
      <c r="D32" s="117" t="str">
        <f>basis1</f>
        <v>CPI + 0%</v>
      </c>
      <c r="E32" s="111" t="str">
        <f>basis2</f>
        <v>CPI + 1%</v>
      </c>
      <c r="F32" s="112" t="str">
        <f>basis3</f>
        <v>CPI + 2%</v>
      </c>
    </row>
    <row r="33" spans="3:7" ht="13.5" thickBot="1" x14ac:dyDescent="0.25">
      <c r="C33" s="113" t="s">
        <v>268</v>
      </c>
      <c r="D33" s="506" t="s">
        <v>253</v>
      </c>
      <c r="E33" s="507"/>
      <c r="F33" s="508"/>
    </row>
    <row r="34" spans="3:7" x14ac:dyDescent="0.2">
      <c r="C34" s="98" t="s">
        <v>271</v>
      </c>
      <c r="D34" s="511" t="e">
        <f>'1995 &amp; 2008 calcs'!F63</f>
        <v>#N/A</v>
      </c>
      <c r="E34" s="136" t="e">
        <f>'1995 &amp; 2008 calcs'!F64</f>
        <v>#N/A</v>
      </c>
      <c r="F34" s="137" t="e">
        <f>'1995 &amp; 2008 calcs'!F65</f>
        <v>#N/A</v>
      </c>
    </row>
    <row r="35" spans="3:7" x14ac:dyDescent="0.2">
      <c r="C35" s="98" t="s">
        <v>300</v>
      </c>
      <c r="D35" s="114" t="e">
        <f>$D$14*D34</f>
        <v>#N/A</v>
      </c>
      <c r="E35" s="108" t="e">
        <f>$D$14*E34</f>
        <v>#N/A</v>
      </c>
      <c r="F35" s="94" t="e">
        <f>$D$14*F34</f>
        <v>#N/A</v>
      </c>
      <c r="G35" s="1"/>
    </row>
    <row r="36" spans="3:7" x14ac:dyDescent="0.2">
      <c r="C36" s="98" t="s">
        <v>337</v>
      </c>
      <c r="D36" s="118" t="e">
        <f>D34-D35</f>
        <v>#N/A</v>
      </c>
      <c r="E36" s="108" t="e">
        <f>E34-E35</f>
        <v>#N/A</v>
      </c>
      <c r="F36" s="94" t="e">
        <f>F34-F35</f>
        <v>#N/A</v>
      </c>
      <c r="G36" s="78"/>
    </row>
    <row r="37" spans="3:7" x14ac:dyDescent="0.2">
      <c r="C37" s="98" t="s">
        <v>636</v>
      </c>
      <c r="D37" s="118" t="e">
        <f>$D$13*D35</f>
        <v>#N/A</v>
      </c>
      <c r="E37" s="109" t="e">
        <f>$D$13*E35</f>
        <v>#N/A</v>
      </c>
      <c r="F37" s="234" t="e">
        <f>$D$13*F35</f>
        <v>#N/A</v>
      </c>
    </row>
    <row r="38" spans="3:7" x14ac:dyDescent="0.2">
      <c r="C38" s="98" t="s">
        <v>656</v>
      </c>
      <c r="D38" s="512" t="e">
        <f>'1995 &amp; 2008 calcs'!F66</f>
        <v>#N/A</v>
      </c>
      <c r="E38" s="178" t="e">
        <f>'1995 &amp; 2008 calcs'!F67</f>
        <v>#N/A</v>
      </c>
      <c r="F38" s="513" t="e">
        <f>'1995 &amp; 2008 calcs'!F68</f>
        <v>#N/A</v>
      </c>
      <c r="G38" s="82" t="s">
        <v>672</v>
      </c>
    </row>
    <row r="39" spans="3:7" ht="13.5" thickBot="1" x14ac:dyDescent="0.25">
      <c r="C39" s="99" t="s">
        <v>255</v>
      </c>
      <c r="D39" s="119" t="e">
        <f>SUM(D37:D38)</f>
        <v>#N/A</v>
      </c>
      <c r="E39" s="116" t="e">
        <f>SUM(E37:E38)</f>
        <v>#N/A</v>
      </c>
      <c r="F39" s="147" t="e">
        <f>SUM(F37:F38)</f>
        <v>#N/A</v>
      </c>
    </row>
    <row r="40" spans="3:7" x14ac:dyDescent="0.2">
      <c r="C40" s="16"/>
      <c r="D40" s="78"/>
      <c r="E40" s="78"/>
      <c r="F40" s="78"/>
    </row>
    <row r="41" spans="3:7" ht="13.5" thickBot="1" x14ac:dyDescent="0.25">
      <c r="C41" s="16"/>
      <c r="E41" s="78"/>
      <c r="F41" s="78"/>
    </row>
    <row r="42" spans="3:7" ht="13.5" thickBot="1" x14ac:dyDescent="0.25">
      <c r="C42" s="113" t="s">
        <v>269</v>
      </c>
      <c r="D42" s="117" t="str">
        <f>basis1</f>
        <v>CPI + 0%</v>
      </c>
      <c r="E42" s="111" t="str">
        <f>basis2</f>
        <v>CPI + 1%</v>
      </c>
      <c r="F42" s="112" t="str">
        <f>basis3</f>
        <v>CPI + 2%</v>
      </c>
    </row>
    <row r="43" spans="3:7" x14ac:dyDescent="0.2">
      <c r="C43" s="97" t="s">
        <v>271</v>
      </c>
      <c r="D43" s="135"/>
      <c r="E43" s="136"/>
      <c r="F43" s="137"/>
    </row>
    <row r="44" spans="3:7" x14ac:dyDescent="0.2">
      <c r="C44" s="98" t="s">
        <v>267</v>
      </c>
      <c r="D44" s="118"/>
      <c r="E44" s="109"/>
      <c r="F44" s="234"/>
    </row>
    <row r="45" spans="3:7" x14ac:dyDescent="0.2">
      <c r="C45" s="98" t="s">
        <v>337</v>
      </c>
      <c r="D45" s="114"/>
      <c r="E45" s="108"/>
      <c r="F45" s="94"/>
    </row>
    <row r="46" spans="3:7" ht="13.5" thickBot="1" x14ac:dyDescent="0.25">
      <c r="C46" s="99" t="s">
        <v>255</v>
      </c>
      <c r="D46" s="119"/>
      <c r="E46" s="236"/>
      <c r="F46" s="235"/>
    </row>
  </sheetData>
  <mergeCells count="2">
    <mergeCell ref="C6:D6"/>
    <mergeCell ref="D17:F17"/>
  </mergeCells>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IV32"/>
  <sheetViews>
    <sheetView workbookViewId="0">
      <selection activeCell="B24" sqref="B24:E24"/>
    </sheetView>
  </sheetViews>
  <sheetFormatPr defaultRowHeight="12.75" x14ac:dyDescent="0.2"/>
  <cols>
    <col min="2" max="2" width="34" bestFit="1" customWidth="1"/>
    <col min="3" max="3" width="13.140625" customWidth="1"/>
    <col min="4" max="4" width="12.5703125" customWidth="1"/>
    <col min="5" max="5" width="12.85546875" customWidth="1"/>
    <col min="6" max="6" width="14" customWidth="1"/>
    <col min="7" max="7" width="10.5703125" customWidth="1"/>
  </cols>
  <sheetData>
    <row r="1" spans="1:256" ht="20.25" x14ac:dyDescent="0.3">
      <c r="A1" s="13" t="s">
        <v>19</v>
      </c>
      <c r="B1" s="12"/>
      <c r="C1" s="12"/>
      <c r="D1" s="12"/>
      <c r="E1" s="12"/>
      <c r="F1" s="12"/>
      <c r="G1" s="12"/>
      <c r="H1" s="12"/>
      <c r="I1" s="12"/>
    </row>
    <row r="2" spans="1:256" ht="15.75" x14ac:dyDescent="0.25">
      <c r="A2" s="27" t="str">
        <f>IF(title="&gt; Enter workbook title here","Enter workbook title in Cover sheet",title)</f>
        <v>Scottish Fire pension  projection calculator</v>
      </c>
      <c r="B2" s="11"/>
      <c r="C2" s="11"/>
      <c r="D2" s="11"/>
      <c r="E2" s="11"/>
      <c r="F2" s="11"/>
      <c r="G2" s="11"/>
      <c r="H2" s="11"/>
      <c r="I2" s="11"/>
    </row>
    <row r="3" spans="1:256" ht="15.75" x14ac:dyDescent="0.25">
      <c r="A3" s="75" t="s">
        <v>251</v>
      </c>
      <c r="B3" s="11"/>
      <c r="C3" s="11"/>
      <c r="D3" s="11"/>
      <c r="E3" s="11"/>
      <c r="F3" s="11"/>
      <c r="G3" s="11"/>
      <c r="H3" s="11"/>
      <c r="I3" s="11"/>
    </row>
    <row r="4" spans="1:256" x14ac:dyDescent="0.2">
      <c r="A4" s="7" t="str">
        <f ca="1">CELL("filename",A1)</f>
        <v>C:\Users\u205538\Downloads\[NHS_Pension_Calculator_v2.3 22 Dec 2020 (6).xlsx]Past Service CARE Calcs</v>
      </c>
    </row>
    <row r="5" spans="1:256" x14ac:dyDescent="0.2">
      <c r="A5" s="7"/>
    </row>
    <row r="6" spans="1:256" x14ac:dyDescent="0.2">
      <c r="B6" s="533" t="s">
        <v>679</v>
      </c>
    </row>
    <row r="7" spans="1:256" ht="13.5" thickBot="1" x14ac:dyDescent="0.25"/>
    <row r="8" spans="1:256" x14ac:dyDescent="0.2">
      <c r="B8" s="286" t="s">
        <v>245</v>
      </c>
      <c r="C8" s="149">
        <f ca="1">DoStartSchYear</f>
        <v>43922</v>
      </c>
      <c r="D8" s="8"/>
      <c r="E8" s="8"/>
      <c r="F8" s="8"/>
    </row>
    <row r="9" spans="1:256" x14ac:dyDescent="0.2">
      <c r="A9" s="29"/>
      <c r="B9" s="237" t="s">
        <v>247</v>
      </c>
      <c r="C9" s="150">
        <f>cpi</f>
        <v>0.02</v>
      </c>
      <c r="D9" s="8"/>
      <c r="E9" s="8"/>
      <c r="F9" s="8"/>
    </row>
    <row r="10" spans="1:256" x14ac:dyDescent="0.2">
      <c r="A10" s="29"/>
      <c r="B10" s="237" t="s">
        <v>580</v>
      </c>
      <c r="C10" s="501">
        <f>care_rev</f>
        <v>3.5000000000000003E-2</v>
      </c>
      <c r="D10" s="8"/>
      <c r="E10" s="8"/>
      <c r="F10" s="8"/>
    </row>
    <row r="11" spans="1:256" x14ac:dyDescent="0.2">
      <c r="A11" s="29"/>
      <c r="B11" s="237" t="s">
        <v>384</v>
      </c>
      <c r="C11" s="504">
        <f>IF(ChosenRA&lt;55,1,IF(ChosenRA&lt;SPA,VLOOKUP(ERF_Year,ERF1_2015_table,ERF_Months+2,FALSE),1))</f>
        <v>1</v>
      </c>
      <c r="D11" s="8"/>
      <c r="E11" s="8"/>
      <c r="F11" s="8"/>
    </row>
    <row r="12" spans="1:256" x14ac:dyDescent="0.2">
      <c r="A12" s="29"/>
      <c r="B12" s="237" t="s">
        <v>469</v>
      </c>
      <c r="C12" s="505" t="e">
        <f>IF(ChosenRA&lt;=SPA,1,VLOOKUP(LRF_Year,LRF1_2015_table,LRF_Months+2,0))</f>
        <v>#N/A</v>
      </c>
      <c r="D12" s="8"/>
      <c r="E12" s="8"/>
      <c r="F12" s="8"/>
    </row>
    <row r="13" spans="1:256" x14ac:dyDescent="0.2">
      <c r="A13" s="29"/>
      <c r="B13" s="237" t="s">
        <v>654</v>
      </c>
      <c r="C13" s="502"/>
      <c r="D13" s="8"/>
      <c r="E13" s="8"/>
      <c r="F13" s="8"/>
    </row>
    <row r="14" spans="1:256" ht="13.5" thickBot="1" x14ac:dyDescent="0.25">
      <c r="B14" s="503" t="s">
        <v>512</v>
      </c>
      <c r="C14" s="180" t="e">
        <f>MAX(DJS,'CARE calcs'!D10)</f>
        <v>#N/A</v>
      </c>
      <c r="D14" s="635" t="s">
        <v>734</v>
      </c>
    </row>
    <row r="15" spans="1:256" ht="13.5" thickBot="1" x14ac:dyDescent="0.25">
      <c r="B15" s="100"/>
      <c r="C15" s="120">
        <v>2015</v>
      </c>
      <c r="D15" s="120">
        <v>2016</v>
      </c>
      <c r="E15" s="120">
        <v>2017</v>
      </c>
      <c r="F15" s="120">
        <v>2018</v>
      </c>
      <c r="G15" s="120">
        <v>2019</v>
      </c>
      <c r="H15" s="120">
        <v>2020</v>
      </c>
      <c r="I15" s="120">
        <v>2021</v>
      </c>
      <c r="J15" s="120">
        <v>2022</v>
      </c>
      <c r="K15" s="120">
        <v>2023</v>
      </c>
      <c r="L15" s="120">
        <v>2024</v>
      </c>
      <c r="M15" s="120">
        <v>2025</v>
      </c>
      <c r="N15" s="120">
        <v>2026</v>
      </c>
      <c r="O15" s="120">
        <v>2027</v>
      </c>
      <c r="P15" s="120">
        <v>2028</v>
      </c>
      <c r="Q15" s="120">
        <v>2029</v>
      </c>
      <c r="R15" s="120">
        <v>2030</v>
      </c>
      <c r="S15" s="120">
        <v>2031</v>
      </c>
      <c r="T15" s="120">
        <v>2032</v>
      </c>
    </row>
    <row r="16" spans="1:256" x14ac:dyDescent="0.2">
      <c r="B16" s="107" t="s">
        <v>673</v>
      </c>
      <c r="C16" s="73">
        <f>DATE(C15,4,1)</f>
        <v>42095</v>
      </c>
      <c r="D16" s="73">
        <f>DATE(D15,4,1)</f>
        <v>42461</v>
      </c>
      <c r="E16" s="73">
        <f t="shared" ref="E16:T16" si="0">DATE(E15,4,1)</f>
        <v>42826</v>
      </c>
      <c r="F16" s="73">
        <f t="shared" si="0"/>
        <v>43191</v>
      </c>
      <c r="G16" s="73">
        <f t="shared" si="0"/>
        <v>43556</v>
      </c>
      <c r="H16" s="73">
        <f t="shared" si="0"/>
        <v>43922</v>
      </c>
      <c r="I16" s="73">
        <f t="shared" si="0"/>
        <v>44287</v>
      </c>
      <c r="J16" s="73">
        <f t="shared" si="0"/>
        <v>44652</v>
      </c>
      <c r="K16" s="73">
        <f t="shared" si="0"/>
        <v>45017</v>
      </c>
      <c r="L16" s="73">
        <f t="shared" si="0"/>
        <v>45383</v>
      </c>
      <c r="M16" s="73">
        <f t="shared" si="0"/>
        <v>45748</v>
      </c>
      <c r="N16" s="73">
        <f t="shared" si="0"/>
        <v>46113</v>
      </c>
      <c r="O16" s="73">
        <f t="shared" si="0"/>
        <v>46478</v>
      </c>
      <c r="P16" s="73">
        <f t="shared" si="0"/>
        <v>46844</v>
      </c>
      <c r="Q16" s="73">
        <f t="shared" si="0"/>
        <v>47209</v>
      </c>
      <c r="R16" s="73">
        <f t="shared" si="0"/>
        <v>47574</v>
      </c>
      <c r="S16" s="73">
        <f t="shared" si="0"/>
        <v>47939</v>
      </c>
      <c r="T16" s="534">
        <f t="shared" si="0"/>
        <v>48305</v>
      </c>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x14ac:dyDescent="0.2">
      <c r="B17" s="290" t="s">
        <v>674</v>
      </c>
      <c r="C17" s="151">
        <f>DATE(C15+1,3,31)</f>
        <v>42460</v>
      </c>
      <c r="D17" s="151">
        <f t="shared" ref="D17:T17" si="1">DATE(D15+1,3,31)</f>
        <v>42825</v>
      </c>
      <c r="E17" s="151">
        <f t="shared" si="1"/>
        <v>43190</v>
      </c>
      <c r="F17" s="151">
        <f t="shared" si="1"/>
        <v>43555</v>
      </c>
      <c r="G17" s="151">
        <f t="shared" si="1"/>
        <v>43921</v>
      </c>
      <c r="H17" s="151">
        <f t="shared" si="1"/>
        <v>44286</v>
      </c>
      <c r="I17" s="151">
        <f t="shared" si="1"/>
        <v>44651</v>
      </c>
      <c r="J17" s="151">
        <f t="shared" si="1"/>
        <v>45016</v>
      </c>
      <c r="K17" s="151">
        <f t="shared" si="1"/>
        <v>45382</v>
      </c>
      <c r="L17" s="151">
        <f t="shared" si="1"/>
        <v>45747</v>
      </c>
      <c r="M17" s="151">
        <f t="shared" si="1"/>
        <v>46112</v>
      </c>
      <c r="N17" s="151">
        <f t="shared" si="1"/>
        <v>46477</v>
      </c>
      <c r="O17" s="151">
        <f t="shared" si="1"/>
        <v>46843</v>
      </c>
      <c r="P17" s="151">
        <f t="shared" si="1"/>
        <v>47208</v>
      </c>
      <c r="Q17" s="151">
        <f t="shared" si="1"/>
        <v>47573</v>
      </c>
      <c r="R17" s="151">
        <f t="shared" si="1"/>
        <v>47938</v>
      </c>
      <c r="S17" s="151">
        <f t="shared" si="1"/>
        <v>48304</v>
      </c>
      <c r="T17" s="535">
        <f t="shared" si="1"/>
        <v>48669</v>
      </c>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x14ac:dyDescent="0.2">
      <c r="B18" s="226" t="s">
        <v>675</v>
      </c>
      <c r="C18" s="9" t="b">
        <f t="shared" ref="C18:T18" ca="1" si="2">Date_curr&gt;C17</f>
        <v>1</v>
      </c>
      <c r="D18" s="9" t="b">
        <f t="shared" ca="1" si="2"/>
        <v>1</v>
      </c>
      <c r="E18" s="9" t="b">
        <f t="shared" ca="1" si="2"/>
        <v>1</v>
      </c>
      <c r="F18" s="9" t="b">
        <f t="shared" ca="1" si="2"/>
        <v>1</v>
      </c>
      <c r="G18" s="9" t="b">
        <f t="shared" ca="1" si="2"/>
        <v>1</v>
      </c>
      <c r="H18" s="9" t="b">
        <f t="shared" ca="1" si="2"/>
        <v>0</v>
      </c>
      <c r="I18" s="9" t="b">
        <f t="shared" ca="1" si="2"/>
        <v>0</v>
      </c>
      <c r="J18" s="9" t="b">
        <f t="shared" ca="1" si="2"/>
        <v>0</v>
      </c>
      <c r="K18" s="9" t="b">
        <f t="shared" ca="1" si="2"/>
        <v>0</v>
      </c>
      <c r="L18" s="9" t="b">
        <f t="shared" ca="1" si="2"/>
        <v>0</v>
      </c>
      <c r="M18" s="9" t="b">
        <f t="shared" ca="1" si="2"/>
        <v>0</v>
      </c>
      <c r="N18" s="9" t="b">
        <f t="shared" ca="1" si="2"/>
        <v>0</v>
      </c>
      <c r="O18" s="9" t="b">
        <f t="shared" ca="1" si="2"/>
        <v>0</v>
      </c>
      <c r="P18" s="9" t="b">
        <f t="shared" ca="1" si="2"/>
        <v>0</v>
      </c>
      <c r="Q18" s="9" t="b">
        <f t="shared" ca="1" si="2"/>
        <v>0</v>
      </c>
      <c r="R18" s="9" t="b">
        <f t="shared" ca="1" si="2"/>
        <v>0</v>
      </c>
      <c r="S18" s="9" t="b">
        <f t="shared" ca="1" si="2"/>
        <v>0</v>
      </c>
      <c r="T18" s="292" t="b">
        <f t="shared" ca="1" si="2"/>
        <v>0</v>
      </c>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ht="25.5" x14ac:dyDescent="0.2">
      <c r="B19" s="361" t="s">
        <v>676</v>
      </c>
      <c r="C19" s="9" t="e">
        <f>$C14&lt;D16</f>
        <v>#N/A</v>
      </c>
      <c r="D19" s="9" t="e">
        <f t="shared" ref="D19:T19" si="3">$C14&lt;E16</f>
        <v>#N/A</v>
      </c>
      <c r="E19" s="9" t="e">
        <f t="shared" si="3"/>
        <v>#N/A</v>
      </c>
      <c r="F19" s="9" t="e">
        <f t="shared" si="3"/>
        <v>#N/A</v>
      </c>
      <c r="G19" s="9" t="e">
        <f t="shared" si="3"/>
        <v>#N/A</v>
      </c>
      <c r="H19" s="9" t="e">
        <f t="shared" si="3"/>
        <v>#N/A</v>
      </c>
      <c r="I19" s="9" t="e">
        <f t="shared" si="3"/>
        <v>#N/A</v>
      </c>
      <c r="J19" s="9" t="e">
        <f t="shared" si="3"/>
        <v>#N/A</v>
      </c>
      <c r="K19" s="9" t="e">
        <f t="shared" si="3"/>
        <v>#N/A</v>
      </c>
      <c r="L19" s="9" t="e">
        <f t="shared" si="3"/>
        <v>#N/A</v>
      </c>
      <c r="M19" s="9" t="e">
        <f t="shared" si="3"/>
        <v>#N/A</v>
      </c>
      <c r="N19" s="9" t="e">
        <f t="shared" si="3"/>
        <v>#N/A</v>
      </c>
      <c r="O19" s="9" t="e">
        <f t="shared" si="3"/>
        <v>#N/A</v>
      </c>
      <c r="P19" s="9" t="e">
        <f t="shared" si="3"/>
        <v>#N/A</v>
      </c>
      <c r="Q19" s="9" t="e">
        <f t="shared" si="3"/>
        <v>#N/A</v>
      </c>
      <c r="R19" s="9" t="e">
        <f t="shared" si="3"/>
        <v>#N/A</v>
      </c>
      <c r="S19" s="9" t="e">
        <f t="shared" si="3"/>
        <v>#N/A</v>
      </c>
      <c r="T19" s="292" t="e">
        <f t="shared" si="3"/>
        <v>#N/A</v>
      </c>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x14ac:dyDescent="0.2">
      <c r="B20" s="226" t="s">
        <v>677</v>
      </c>
      <c r="C20" s="127" t="e">
        <f>MAX(0,MIN(C17,DoR)-$C14)/365.25</f>
        <v>#N/A</v>
      </c>
      <c r="D20" s="127" t="e">
        <f t="shared" ref="D20:T20" si="4">MAX(0,MIN(D17,DoR)-MAX(C17,$C14))/365.25</f>
        <v>#N/A</v>
      </c>
      <c r="E20" s="127" t="e">
        <f t="shared" si="4"/>
        <v>#N/A</v>
      </c>
      <c r="F20" s="127" t="e">
        <f t="shared" si="4"/>
        <v>#N/A</v>
      </c>
      <c r="G20" s="127" t="e">
        <f t="shared" si="4"/>
        <v>#N/A</v>
      </c>
      <c r="H20" s="127" t="e">
        <f t="shared" si="4"/>
        <v>#N/A</v>
      </c>
      <c r="I20" s="127" t="e">
        <f t="shared" si="4"/>
        <v>#N/A</v>
      </c>
      <c r="J20" s="127" t="e">
        <f t="shared" si="4"/>
        <v>#N/A</v>
      </c>
      <c r="K20" s="127" t="e">
        <f t="shared" si="4"/>
        <v>#N/A</v>
      </c>
      <c r="L20" s="127" t="e">
        <f t="shared" si="4"/>
        <v>#N/A</v>
      </c>
      <c r="M20" s="127" t="e">
        <f t="shared" si="4"/>
        <v>#N/A</v>
      </c>
      <c r="N20" s="127" t="e">
        <f t="shared" si="4"/>
        <v>#N/A</v>
      </c>
      <c r="O20" s="127" t="e">
        <f t="shared" si="4"/>
        <v>#N/A</v>
      </c>
      <c r="P20" s="127" t="e">
        <f t="shared" si="4"/>
        <v>#N/A</v>
      </c>
      <c r="Q20" s="127" t="e">
        <f t="shared" si="4"/>
        <v>#N/A</v>
      </c>
      <c r="R20" s="127" t="e">
        <f t="shared" si="4"/>
        <v>#N/A</v>
      </c>
      <c r="S20" s="127" t="e">
        <f t="shared" si="4"/>
        <v>#N/A</v>
      </c>
      <c r="T20" s="536" t="e">
        <f t="shared" si="4"/>
        <v>#N/A</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x14ac:dyDescent="0.2">
      <c r="B21" s="226" t="s">
        <v>678</v>
      </c>
      <c r="C21" s="537" t="e">
        <f ca="1">IF(AND(C18,C19),C20,0)</f>
        <v>#N/A</v>
      </c>
      <c r="D21" s="537" t="e">
        <f ca="1">IF(AND(D18,D19),D20,0)</f>
        <v>#N/A</v>
      </c>
      <c r="E21" s="537" t="e">
        <f ca="1">IF(AND(E18,E19),E20,0)</f>
        <v>#N/A</v>
      </c>
      <c r="F21" s="537" t="e">
        <f ca="1">IF(AND(F18,F19),F20,0)</f>
        <v>#N/A</v>
      </c>
      <c r="G21" s="537" t="e">
        <f t="shared" ref="G21:T21" ca="1" si="5">IF(AND(G18,G19),G20,0)</f>
        <v>#N/A</v>
      </c>
      <c r="H21" s="537" t="e">
        <f t="shared" ca="1" si="5"/>
        <v>#N/A</v>
      </c>
      <c r="I21" s="537" t="e">
        <f t="shared" ca="1" si="5"/>
        <v>#N/A</v>
      </c>
      <c r="J21" s="537" t="e">
        <f t="shared" ca="1" si="5"/>
        <v>#N/A</v>
      </c>
      <c r="K21" s="537" t="e">
        <f t="shared" ca="1" si="5"/>
        <v>#N/A</v>
      </c>
      <c r="L21" s="537" t="e">
        <f t="shared" ca="1" si="5"/>
        <v>#N/A</v>
      </c>
      <c r="M21" s="537" t="e">
        <f t="shared" ca="1" si="5"/>
        <v>#N/A</v>
      </c>
      <c r="N21" s="537" t="e">
        <f t="shared" ca="1" si="5"/>
        <v>#N/A</v>
      </c>
      <c r="O21" s="537" t="e">
        <f t="shared" ca="1" si="5"/>
        <v>#N/A</v>
      </c>
      <c r="P21" s="537" t="e">
        <f t="shared" ca="1" si="5"/>
        <v>#N/A</v>
      </c>
      <c r="Q21" s="537" t="e">
        <f t="shared" ca="1" si="5"/>
        <v>#N/A</v>
      </c>
      <c r="R21" s="537" t="e">
        <f t="shared" ca="1" si="5"/>
        <v>#N/A</v>
      </c>
      <c r="S21" s="537" t="e">
        <f t="shared" ca="1" si="5"/>
        <v>#N/A</v>
      </c>
      <c r="T21" s="538" t="e">
        <f t="shared" ca="1" si="5"/>
        <v>#N/A</v>
      </c>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x14ac:dyDescent="0.2">
      <c r="B22" s="226" t="s">
        <v>680</v>
      </c>
      <c r="C22" s="532">
        <f t="shared" ref="C22:T22" ca="1" si="6">MAX(0,(DoStartSchYear-C16)/DoY)</f>
        <v>5.0020533880903493</v>
      </c>
      <c r="D22" s="532">
        <f t="shared" ca="1" si="6"/>
        <v>4</v>
      </c>
      <c r="E22" s="532">
        <f t="shared" ca="1" si="6"/>
        <v>3.0006844626967832</v>
      </c>
      <c r="F22" s="532">
        <f t="shared" ca="1" si="6"/>
        <v>2.001368925393566</v>
      </c>
      <c r="G22" s="532">
        <f t="shared" ca="1" si="6"/>
        <v>1.0020533880903491</v>
      </c>
      <c r="H22" s="532">
        <f t="shared" ca="1" si="6"/>
        <v>0</v>
      </c>
      <c r="I22" s="532">
        <f t="shared" ca="1" si="6"/>
        <v>0</v>
      </c>
      <c r="J22" s="532">
        <f t="shared" ca="1" si="6"/>
        <v>0</v>
      </c>
      <c r="K22" s="532">
        <f t="shared" ca="1" si="6"/>
        <v>0</v>
      </c>
      <c r="L22" s="532">
        <f t="shared" ca="1" si="6"/>
        <v>0</v>
      </c>
      <c r="M22" s="532">
        <f t="shared" ca="1" si="6"/>
        <v>0</v>
      </c>
      <c r="N22" s="532">
        <f t="shared" ca="1" si="6"/>
        <v>0</v>
      </c>
      <c r="O22" s="532">
        <f t="shared" ca="1" si="6"/>
        <v>0</v>
      </c>
      <c r="P22" s="532">
        <f t="shared" ca="1" si="6"/>
        <v>0</v>
      </c>
      <c r="Q22" s="532">
        <f t="shared" ca="1" si="6"/>
        <v>0</v>
      </c>
      <c r="R22" s="532">
        <f t="shared" ca="1" si="6"/>
        <v>0</v>
      </c>
      <c r="S22" s="532">
        <f t="shared" ca="1" si="6"/>
        <v>0</v>
      </c>
      <c r="T22" s="532">
        <f t="shared" ca="1" si="6"/>
        <v>0</v>
      </c>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ht="13.5" thickBot="1" x14ac:dyDescent="0.25">
      <c r="B23" s="226" t="s">
        <v>681</v>
      </c>
      <c r="C23" s="532">
        <f ca="1">CurrentSal/(1+cpi_2)^C22</f>
        <v>0</v>
      </c>
      <c r="D23" s="532">
        <f t="shared" ref="D23:T23" ca="1" si="7">CurrentSal/(1+cpi_2)^D22</f>
        <v>0</v>
      </c>
      <c r="E23" s="532">
        <f t="shared" ca="1" si="7"/>
        <v>0</v>
      </c>
      <c r="F23" s="532">
        <f t="shared" ca="1" si="7"/>
        <v>0</v>
      </c>
      <c r="G23" s="532">
        <f t="shared" ca="1" si="7"/>
        <v>0</v>
      </c>
      <c r="H23" s="532">
        <f t="shared" ca="1" si="7"/>
        <v>0</v>
      </c>
      <c r="I23" s="532">
        <f t="shared" ca="1" si="7"/>
        <v>0</v>
      </c>
      <c r="J23" s="532">
        <f t="shared" ca="1" si="7"/>
        <v>0</v>
      </c>
      <c r="K23" s="532">
        <f t="shared" ca="1" si="7"/>
        <v>0</v>
      </c>
      <c r="L23" s="532">
        <f t="shared" ca="1" si="7"/>
        <v>0</v>
      </c>
      <c r="M23" s="532">
        <f t="shared" ca="1" si="7"/>
        <v>0</v>
      </c>
      <c r="N23" s="532">
        <f t="shared" ca="1" si="7"/>
        <v>0</v>
      </c>
      <c r="O23" s="532">
        <f t="shared" ca="1" si="7"/>
        <v>0</v>
      </c>
      <c r="P23" s="532">
        <f t="shared" ca="1" si="7"/>
        <v>0</v>
      </c>
      <c r="Q23" s="532">
        <f t="shared" ca="1" si="7"/>
        <v>0</v>
      </c>
      <c r="R23" s="532">
        <f t="shared" ca="1" si="7"/>
        <v>0</v>
      </c>
      <c r="S23" s="532">
        <f t="shared" ca="1" si="7"/>
        <v>0</v>
      </c>
      <c r="T23" s="532">
        <f t="shared" ca="1" si="7"/>
        <v>0</v>
      </c>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x14ac:dyDescent="0.2">
      <c r="A24" s="83"/>
      <c r="B24" s="148" t="s">
        <v>246</v>
      </c>
      <c r="C24" s="539" t="e">
        <f ca="1">C23*Acc_CARE*C21</f>
        <v>#N/A</v>
      </c>
      <c r="D24" s="539" t="e">
        <f ca="1">D23*Acc_CARE*D21</f>
        <v>#N/A</v>
      </c>
      <c r="E24" s="539" t="e">
        <f t="shared" ref="E24:T24" ca="1" si="8">E23*Acc_CARE*E21</f>
        <v>#N/A</v>
      </c>
      <c r="F24" s="539" t="e">
        <f t="shared" ca="1" si="8"/>
        <v>#N/A</v>
      </c>
      <c r="G24" s="539" t="e">
        <f t="shared" ca="1" si="8"/>
        <v>#N/A</v>
      </c>
      <c r="H24" s="539" t="e">
        <f t="shared" ca="1" si="8"/>
        <v>#N/A</v>
      </c>
      <c r="I24" s="539" t="e">
        <f t="shared" ca="1" si="8"/>
        <v>#N/A</v>
      </c>
      <c r="J24" s="539" t="e">
        <f t="shared" ca="1" si="8"/>
        <v>#N/A</v>
      </c>
      <c r="K24" s="539" t="e">
        <f t="shared" ca="1" si="8"/>
        <v>#N/A</v>
      </c>
      <c r="L24" s="539" t="e">
        <f t="shared" ca="1" si="8"/>
        <v>#N/A</v>
      </c>
      <c r="M24" s="539" t="e">
        <f t="shared" ca="1" si="8"/>
        <v>#N/A</v>
      </c>
      <c r="N24" s="539" t="e">
        <f t="shared" ca="1" si="8"/>
        <v>#N/A</v>
      </c>
      <c r="O24" s="539" t="e">
        <f t="shared" ca="1" si="8"/>
        <v>#N/A</v>
      </c>
      <c r="P24" s="539" t="e">
        <f t="shared" ca="1" si="8"/>
        <v>#N/A</v>
      </c>
      <c r="Q24" s="539" t="e">
        <f t="shared" ca="1" si="8"/>
        <v>#N/A</v>
      </c>
      <c r="R24" s="539" t="e">
        <f t="shared" ca="1" si="8"/>
        <v>#N/A</v>
      </c>
      <c r="S24" s="539" t="e">
        <f t="shared" ca="1" si="8"/>
        <v>#N/A</v>
      </c>
      <c r="T24" s="539" t="e">
        <f t="shared" ca="1" si="8"/>
        <v>#N/A</v>
      </c>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row>
    <row r="25" spans="1:256" ht="13.5" thickBot="1" x14ac:dyDescent="0.25">
      <c r="B25" s="184" t="s">
        <v>336</v>
      </c>
      <c r="C25" s="154" t="e">
        <f ca="1">C24*(1+care_rev)^((DoR-C17)/DoY)</f>
        <v>#N/A</v>
      </c>
      <c r="D25" s="154" t="e">
        <f t="shared" ref="D25:T25" ca="1" si="9">D24*(1+care_rev)^((DoR-D17)/DoY)</f>
        <v>#N/A</v>
      </c>
      <c r="E25" s="154" t="e">
        <f t="shared" ca="1" si="9"/>
        <v>#N/A</v>
      </c>
      <c r="F25" s="154" t="e">
        <f t="shared" ca="1" si="9"/>
        <v>#N/A</v>
      </c>
      <c r="G25" s="154" t="e">
        <f t="shared" ca="1" si="9"/>
        <v>#N/A</v>
      </c>
      <c r="H25" s="154" t="e">
        <f t="shared" ca="1" si="9"/>
        <v>#N/A</v>
      </c>
      <c r="I25" s="154" t="e">
        <f t="shared" ca="1" si="9"/>
        <v>#N/A</v>
      </c>
      <c r="J25" s="154" t="e">
        <f t="shared" ca="1" si="9"/>
        <v>#N/A</v>
      </c>
      <c r="K25" s="154" t="e">
        <f t="shared" ca="1" si="9"/>
        <v>#N/A</v>
      </c>
      <c r="L25" s="154" t="e">
        <f t="shared" ca="1" si="9"/>
        <v>#N/A</v>
      </c>
      <c r="M25" s="154" t="e">
        <f t="shared" ca="1" si="9"/>
        <v>#N/A</v>
      </c>
      <c r="N25" s="154" t="e">
        <f t="shared" ca="1" si="9"/>
        <v>#N/A</v>
      </c>
      <c r="O25" s="154" t="e">
        <f t="shared" ca="1" si="9"/>
        <v>#N/A</v>
      </c>
      <c r="P25" s="154" t="e">
        <f t="shared" ca="1" si="9"/>
        <v>#N/A</v>
      </c>
      <c r="Q25" s="154" t="e">
        <f t="shared" ca="1" si="9"/>
        <v>#N/A</v>
      </c>
      <c r="R25" s="154" t="e">
        <f t="shared" ca="1" si="9"/>
        <v>#N/A</v>
      </c>
      <c r="S25" s="154" t="e">
        <f t="shared" ca="1" si="9"/>
        <v>#N/A</v>
      </c>
      <c r="T25" s="154" t="e">
        <f t="shared" ca="1" si="9"/>
        <v>#N/A</v>
      </c>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row>
    <row r="26" spans="1:256" x14ac:dyDescent="0.2">
      <c r="B26" s="26" t="s">
        <v>682</v>
      </c>
      <c r="C26" s="37" t="e">
        <f ca="1">SUM(C25:T25)</f>
        <v>#N/A</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row>
    <row r="28" spans="1:256" x14ac:dyDescent="0.2">
      <c r="B28" s="26" t="s">
        <v>683</v>
      </c>
      <c r="C28" s="37">
        <f>Calculator!L44</f>
        <v>0</v>
      </c>
    </row>
    <row r="29" spans="1:256" x14ac:dyDescent="0.2">
      <c r="B29" s="26" t="s">
        <v>684</v>
      </c>
      <c r="C29" s="8">
        <f>DATE(ABSEndDate1,4,1)</f>
        <v>92</v>
      </c>
    </row>
    <row r="30" spans="1:256" x14ac:dyDescent="0.2">
      <c r="B30" s="26" t="s">
        <v>685</v>
      </c>
      <c r="C30" s="68">
        <f>C28*(1+care_rev)^((DoR-C29)/DoY)</f>
        <v>0</v>
      </c>
    </row>
    <row r="31" spans="1:256" x14ac:dyDescent="0.2">
      <c r="B31" s="26" t="s">
        <v>686</v>
      </c>
      <c r="C31" s="8" t="b">
        <f>Parameters!B129</f>
        <v>0</v>
      </c>
    </row>
    <row r="32" spans="1:256" x14ac:dyDescent="0.2">
      <c r="B32" s="26" t="s">
        <v>687</v>
      </c>
      <c r="C32" t="e">
        <f ca="1">IF(OR(ProtStatus="full",DoStartSchYear&lt;=DoProtEnd),0,IF(C31,C30,C26))</f>
        <v>#N/A</v>
      </c>
    </row>
  </sheetData>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P74"/>
  <sheetViews>
    <sheetView topLeftCell="B28" workbookViewId="0">
      <selection activeCell="G38" sqref="G38"/>
    </sheetView>
  </sheetViews>
  <sheetFormatPr defaultRowHeight="12.75" x14ac:dyDescent="0.2"/>
  <cols>
    <col min="2" max="2" width="30.42578125" customWidth="1"/>
    <col min="3" max="3" width="56.140625" customWidth="1"/>
    <col min="4" max="4" width="19.85546875" customWidth="1"/>
    <col min="5" max="5" width="16.140625" customWidth="1"/>
    <col min="6" max="6" width="12" customWidth="1"/>
    <col min="7" max="7" width="13.42578125" customWidth="1"/>
    <col min="8" max="8" width="10.42578125" bestFit="1" customWidth="1"/>
    <col min="9" max="9" width="9.5703125" bestFit="1" customWidth="1"/>
  </cols>
  <sheetData>
    <row r="1" spans="1:10" ht="20.25" x14ac:dyDescent="0.3">
      <c r="A1" s="13" t="s">
        <v>19</v>
      </c>
      <c r="B1" s="12"/>
      <c r="C1" s="12"/>
      <c r="D1" s="12"/>
      <c r="E1" s="12"/>
      <c r="F1" s="12"/>
      <c r="G1" s="12"/>
      <c r="H1" s="12"/>
      <c r="I1" s="12"/>
    </row>
    <row r="2" spans="1:10" ht="15.75" x14ac:dyDescent="0.25">
      <c r="A2" s="27" t="str">
        <f>IF(title="&gt; Enter workbook title here","Enter workbook title in Cover sheet",title)</f>
        <v>Scottish Fire pension  projection calculator</v>
      </c>
      <c r="B2" s="11"/>
      <c r="C2" s="11"/>
      <c r="D2" s="11"/>
      <c r="E2" s="11"/>
      <c r="F2" s="11"/>
      <c r="G2" s="11"/>
      <c r="H2" s="11"/>
      <c r="I2" s="11"/>
    </row>
    <row r="3" spans="1:10" ht="15.75" x14ac:dyDescent="0.25">
      <c r="A3" s="75" t="s">
        <v>79</v>
      </c>
      <c r="B3" s="11"/>
      <c r="C3" s="11"/>
      <c r="D3" s="11"/>
      <c r="E3" s="11"/>
      <c r="F3" s="11"/>
      <c r="G3" s="11"/>
      <c r="H3" s="11"/>
      <c r="I3" s="11"/>
    </row>
    <row r="4" spans="1:10" x14ac:dyDescent="0.2">
      <c r="A4" s="7" t="str">
        <f ca="1">CELL("filename",A1)</f>
        <v>C:\Users\u205538\Downloads\[NHS_Pension_Calculator_v2.3 22 Dec 2020 (6).xlsx]CARE calcs</v>
      </c>
    </row>
    <row r="5" spans="1:10" ht="12.75" customHeight="1" x14ac:dyDescent="0.2">
      <c r="A5" s="7"/>
      <c r="C5" s="29"/>
      <c r="D5" s="773" t="s">
        <v>729</v>
      </c>
      <c r="E5" s="774"/>
      <c r="F5" s="774"/>
      <c r="G5" s="774"/>
      <c r="H5" s="631"/>
    </row>
    <row r="6" spans="1:10" x14ac:dyDescent="0.2">
      <c r="A6" s="600"/>
      <c r="B6" s="39"/>
      <c r="C6" s="181"/>
      <c r="D6" s="773"/>
      <c r="E6" s="774"/>
      <c r="F6" s="774"/>
      <c r="G6" s="774"/>
      <c r="H6" s="631"/>
      <c r="J6" s="39"/>
    </row>
    <row r="7" spans="1:10" x14ac:dyDescent="0.2">
      <c r="A7" s="600"/>
      <c r="B7" s="39"/>
      <c r="C7" s="181"/>
      <c r="D7" s="773"/>
      <c r="E7" s="774"/>
      <c r="F7" s="774"/>
      <c r="G7" s="774"/>
      <c r="H7" s="631"/>
      <c r="J7" s="39"/>
    </row>
    <row r="8" spans="1:10" x14ac:dyDescent="0.2">
      <c r="A8" s="600"/>
      <c r="B8" s="39"/>
      <c r="C8" s="181"/>
      <c r="D8" s="632"/>
      <c r="E8" s="632"/>
      <c r="F8" s="632"/>
      <c r="G8" s="632"/>
      <c r="H8" s="631"/>
      <c r="J8" s="39"/>
    </row>
    <row r="9" spans="1:10" x14ac:dyDescent="0.2">
      <c r="A9" s="600"/>
      <c r="B9" s="39"/>
      <c r="C9" s="181" t="s">
        <v>732</v>
      </c>
      <c r="D9" s="641" t="e">
        <f>'1995 &amp; 2008 calcs'!F31</f>
        <v>#N/A</v>
      </c>
      <c r="E9" s="642" t="s">
        <v>749</v>
      </c>
      <c r="F9" s="632"/>
      <c r="G9" s="632"/>
      <c r="H9" s="631"/>
      <c r="J9" s="39"/>
    </row>
    <row r="10" spans="1:10" x14ac:dyDescent="0.2">
      <c r="A10" s="600"/>
      <c r="B10" s="39"/>
      <c r="C10" s="181" t="s">
        <v>733</v>
      </c>
      <c r="D10" s="636" t="e">
        <f>IF(D9="Full",DoR,DoProtEnd)</f>
        <v>#N/A</v>
      </c>
      <c r="E10" s="635" t="s">
        <v>734</v>
      </c>
      <c r="F10" s="39"/>
      <c r="G10" s="181"/>
      <c r="H10" s="39"/>
      <c r="I10" s="39"/>
      <c r="J10" s="39"/>
    </row>
    <row r="11" spans="1:10" x14ac:dyDescent="0.2">
      <c r="A11" s="600"/>
      <c r="B11" s="39"/>
      <c r="C11" s="181"/>
      <c r="D11" s="602"/>
      <c r="E11" s="601"/>
      <c r="F11" s="39"/>
      <c r="G11" s="181"/>
      <c r="H11" s="39"/>
      <c r="I11" s="39"/>
      <c r="J11" s="39"/>
    </row>
    <row r="12" spans="1:10" x14ac:dyDescent="0.2">
      <c r="A12" s="600"/>
      <c r="B12" s="39"/>
      <c r="C12" s="583" t="s">
        <v>712</v>
      </c>
      <c r="D12" s="603" t="e">
        <f>IF(D9="Full",DoR,MIN(DoR,MAX(DJS,DoProtEnd)))</f>
        <v>#N/A</v>
      </c>
      <c r="E12" s="587"/>
      <c r="F12" s="587"/>
      <c r="G12" s="588"/>
      <c r="H12" s="635" t="s">
        <v>776</v>
      </c>
    </row>
    <row r="13" spans="1:10" ht="15" customHeight="1" x14ac:dyDescent="0.2">
      <c r="A13" s="600"/>
      <c r="B13" s="39"/>
      <c r="C13" s="584" t="s">
        <v>713</v>
      </c>
      <c r="D13" s="604">
        <f ca="1">DoStartSchYear</f>
        <v>43922</v>
      </c>
      <c r="E13" s="771" t="s">
        <v>728</v>
      </c>
      <c r="F13" s="771"/>
      <c r="G13" s="772"/>
    </row>
    <row r="14" spans="1:10" x14ac:dyDescent="0.2">
      <c r="A14" s="600"/>
      <c r="B14" s="39"/>
      <c r="C14" s="584" t="s">
        <v>668</v>
      </c>
      <c r="D14" s="589">
        <f ca="1">YEARFRAC(Date_curr, DoR)</f>
        <v>121.12777777777778</v>
      </c>
      <c r="E14" s="592"/>
      <c r="F14" s="590"/>
      <c r="G14" s="591"/>
    </row>
    <row r="15" spans="1:10" x14ac:dyDescent="0.2">
      <c r="A15" s="600"/>
      <c r="B15" s="39"/>
      <c r="C15" s="584" t="s">
        <v>714</v>
      </c>
      <c r="D15" s="605">
        <f ca="1">YEARFRAC(D13,DoR)</f>
        <v>120.25277777777778</v>
      </c>
      <c r="E15" s="589" t="s">
        <v>730</v>
      </c>
      <c r="F15" s="590"/>
      <c r="G15" s="593"/>
      <c r="H15" s="39"/>
      <c r="I15" s="39"/>
      <c r="J15" s="39"/>
    </row>
    <row r="16" spans="1:10" ht="25.5" x14ac:dyDescent="0.2">
      <c r="A16" s="600"/>
      <c r="B16" s="39"/>
      <c r="C16" s="584" t="s">
        <v>715</v>
      </c>
      <c r="D16" s="589" t="e">
        <f>YEARFRAC(D12,DoR)</f>
        <v>#N/A</v>
      </c>
      <c r="E16" s="589" t="s">
        <v>731</v>
      </c>
      <c r="F16" s="590"/>
      <c r="G16" s="591"/>
      <c r="H16" s="594"/>
      <c r="I16" s="39"/>
      <c r="J16" s="39"/>
    </row>
    <row r="17" spans="1:10" x14ac:dyDescent="0.2">
      <c r="A17" s="600"/>
      <c r="B17" s="39"/>
      <c r="C17" s="584" t="s">
        <v>716</v>
      </c>
      <c r="D17" s="589" t="e">
        <f>MAX(D25-D24,0)</f>
        <v>#N/A</v>
      </c>
      <c r="E17" s="592"/>
      <c r="F17" s="590"/>
      <c r="G17" s="591"/>
      <c r="H17" s="594"/>
      <c r="I17" s="39"/>
      <c r="J17" s="39"/>
    </row>
    <row r="18" spans="1:10" x14ac:dyDescent="0.2">
      <c r="A18" s="600"/>
      <c r="B18" s="39"/>
      <c r="C18" s="584" t="s">
        <v>717</v>
      </c>
      <c r="D18" s="589" t="e">
        <f>YEARFRAC(D12,DoR)</f>
        <v>#N/A</v>
      </c>
      <c r="E18" s="592"/>
      <c r="F18" s="590"/>
      <c r="G18" s="591"/>
      <c r="H18" s="39"/>
      <c r="I18" s="39"/>
      <c r="J18" s="39"/>
    </row>
    <row r="19" spans="1:10" x14ac:dyDescent="0.2">
      <c r="A19" s="600"/>
      <c r="B19" s="39"/>
      <c r="C19" s="584" t="s">
        <v>718</v>
      </c>
      <c r="D19" s="589" t="e">
        <f ca="1">MAX(0,D15-D18)</f>
        <v>#N/A</v>
      </c>
      <c r="E19" s="590"/>
      <c r="F19" s="590"/>
      <c r="G19" s="591"/>
      <c r="H19" s="595"/>
      <c r="I19" s="39"/>
      <c r="J19" s="39"/>
    </row>
    <row r="20" spans="1:10" x14ac:dyDescent="0.2">
      <c r="A20" s="600"/>
      <c r="B20" s="39"/>
      <c r="C20" s="606" t="s">
        <v>719</v>
      </c>
      <c r="D20" s="607">
        <f ca="1">INT(D15)</f>
        <v>120</v>
      </c>
      <c r="E20" s="596"/>
      <c r="F20" s="596"/>
      <c r="G20" s="591"/>
      <c r="H20" s="181"/>
      <c r="I20" s="39"/>
      <c r="J20" s="39"/>
    </row>
    <row r="21" spans="1:10" x14ac:dyDescent="0.2">
      <c r="A21" s="600"/>
      <c r="B21" s="39"/>
      <c r="C21" s="606" t="s">
        <v>720</v>
      </c>
      <c r="D21" s="608">
        <f ca="1">D15-D20</f>
        <v>0.25277777777777999</v>
      </c>
      <c r="E21" s="597"/>
      <c r="F21" s="597"/>
      <c r="G21" s="591"/>
      <c r="H21" s="181"/>
      <c r="I21" s="39"/>
      <c r="J21" s="39"/>
    </row>
    <row r="22" spans="1:10" x14ac:dyDescent="0.2">
      <c r="A22" s="600"/>
      <c r="B22" s="39"/>
      <c r="C22" s="585" t="s">
        <v>721</v>
      </c>
      <c r="D22" s="589" t="e">
        <f ca="1">INT(D19)</f>
        <v>#N/A</v>
      </c>
      <c r="E22" s="592"/>
      <c r="F22" s="592"/>
      <c r="G22" s="591"/>
      <c r="H22" s="181"/>
      <c r="I22" s="39"/>
      <c r="J22" s="39"/>
    </row>
    <row r="23" spans="1:10" x14ac:dyDescent="0.2">
      <c r="A23" s="600"/>
      <c r="B23" s="39"/>
      <c r="C23" s="585" t="s">
        <v>722</v>
      </c>
      <c r="D23" s="589" t="e">
        <f ca="1">D19-D22</f>
        <v>#N/A</v>
      </c>
      <c r="E23" s="592"/>
      <c r="F23" s="592"/>
      <c r="G23" s="591"/>
      <c r="H23" s="181"/>
      <c r="I23" s="39"/>
      <c r="J23" s="39"/>
    </row>
    <row r="24" spans="1:10" x14ac:dyDescent="0.2">
      <c r="A24" s="600"/>
      <c r="B24" s="39"/>
      <c r="C24" s="584" t="s">
        <v>73</v>
      </c>
      <c r="D24" s="609" t="e">
        <f>VLOOKUP(DoB,Parameters!D27:F30,3,TRUE)</f>
        <v>#N/A</v>
      </c>
      <c r="E24" s="592"/>
      <c r="F24" s="592"/>
      <c r="G24" s="591"/>
      <c r="H24" s="181"/>
      <c r="I24" s="39"/>
      <c r="J24" s="39"/>
    </row>
    <row r="25" spans="1:10" x14ac:dyDescent="0.2">
      <c r="A25" s="600"/>
      <c r="B25" s="39"/>
      <c r="C25" s="610" t="s">
        <v>292</v>
      </c>
      <c r="D25" s="611">
        <f>ChosenRA</f>
        <v>0</v>
      </c>
      <c r="E25" s="598"/>
      <c r="F25" s="598"/>
      <c r="G25" s="599"/>
      <c r="H25" s="181"/>
      <c r="I25" s="39"/>
      <c r="J25" s="39"/>
    </row>
    <row r="26" spans="1:10" x14ac:dyDescent="0.2">
      <c r="A26" s="600"/>
      <c r="B26" s="39"/>
      <c r="C26" s="609"/>
      <c r="D26" s="612"/>
      <c r="E26" s="39"/>
      <c r="F26" s="39"/>
      <c r="G26" s="181"/>
      <c r="H26" s="39"/>
      <c r="I26" s="39"/>
      <c r="J26" s="39"/>
    </row>
    <row r="27" spans="1:10" ht="25.5" x14ac:dyDescent="0.2">
      <c r="A27" s="600"/>
      <c r="B27" s="39"/>
      <c r="C27" s="613"/>
      <c r="D27" s="586" t="s">
        <v>385</v>
      </c>
      <c r="E27" s="39"/>
      <c r="F27" s="39"/>
      <c r="G27" s="181"/>
      <c r="H27" s="39"/>
      <c r="I27" s="39"/>
      <c r="J27" s="39"/>
    </row>
    <row r="28" spans="1:10" x14ac:dyDescent="0.2">
      <c r="A28" s="600"/>
      <c r="B28" s="39"/>
      <c r="C28" s="614" t="s">
        <v>469</v>
      </c>
      <c r="D28" s="615" t="e">
        <f>IF(ChosenRA&lt;=SPA,1,VLOOKUP(LRF_Year,LRF1_2015_table,LRF_Months+2,0))</f>
        <v>#N/A</v>
      </c>
      <c r="E28" s="39"/>
      <c r="F28" s="39"/>
      <c r="G28" s="181"/>
      <c r="H28" s="39"/>
      <c r="I28" s="39"/>
      <c r="J28" s="39"/>
    </row>
    <row r="29" spans="1:10" ht="114.75" x14ac:dyDescent="0.2">
      <c r="A29" s="600"/>
      <c r="B29" s="39"/>
      <c r="C29" s="614" t="s">
        <v>384</v>
      </c>
      <c r="D29" s="615" t="e">
        <f>IF(AND(Special_Class="no",ChosenRA&lt;55),1,IF(ChosenRA&lt;SPA,VLOOKUP(MIN(12,ERF_Year),ERF1_2015_table,ERF_Months+2,FALSE),1))</f>
        <v>#N/A</v>
      </c>
      <c r="E29" s="39" t="s">
        <v>735</v>
      </c>
      <c r="F29" s="39"/>
      <c r="G29" s="181"/>
      <c r="H29" s="39"/>
      <c r="I29" s="39"/>
      <c r="J29" s="39"/>
    </row>
    <row r="30" spans="1:10" x14ac:dyDescent="0.2">
      <c r="A30" s="600"/>
      <c r="B30" s="39"/>
      <c r="C30" s="616"/>
      <c r="D30" s="617"/>
      <c r="E30" s="39"/>
      <c r="F30" s="39"/>
      <c r="G30" s="181"/>
      <c r="H30" s="39"/>
      <c r="I30" s="39"/>
      <c r="J30" s="39"/>
    </row>
    <row r="31" spans="1:10" x14ac:dyDescent="0.2">
      <c r="A31" s="600"/>
      <c r="B31" s="39"/>
      <c r="C31" s="613" t="s">
        <v>723</v>
      </c>
      <c r="D31" s="618" t="e">
        <f ca="1">'Past Service CARE Calcs'!$C$32</f>
        <v>#N/A</v>
      </c>
      <c r="E31" s="618" t="e">
        <f ca="1">'Past Service CARE Calcs'!$C$32</f>
        <v>#N/A</v>
      </c>
      <c r="F31" s="618" t="e">
        <f ca="1">'Past Service CARE Calcs'!$C$32</f>
        <v>#N/A</v>
      </c>
      <c r="G31" s="637"/>
      <c r="H31" s="39"/>
      <c r="I31" s="39"/>
      <c r="J31" s="39"/>
    </row>
    <row r="32" spans="1:10" x14ac:dyDescent="0.2">
      <c r="A32" s="600"/>
      <c r="B32" s="39"/>
      <c r="C32" s="584"/>
      <c r="D32" s="608" t="s">
        <v>724</v>
      </c>
      <c r="E32" s="608" t="s">
        <v>725</v>
      </c>
      <c r="F32" s="619" t="s">
        <v>726</v>
      </c>
      <c r="G32" s="181"/>
      <c r="H32" s="39"/>
      <c r="I32" s="39"/>
      <c r="J32" s="39"/>
    </row>
    <row r="33" spans="1:16" x14ac:dyDescent="0.2">
      <c r="A33" s="600"/>
      <c r="B33" s="39"/>
      <c r="C33" s="584" t="s">
        <v>331</v>
      </c>
      <c r="D33" s="620">
        <f>1+cpi_1</f>
        <v>1.01</v>
      </c>
      <c r="E33" s="620">
        <f>1+cpi_2</f>
        <v>1.03</v>
      </c>
      <c r="F33" s="621">
        <f>1+cpi_3</f>
        <v>1.04</v>
      </c>
      <c r="G33" s="181"/>
      <c r="H33" s="39"/>
      <c r="I33" s="39"/>
      <c r="J33" s="39"/>
    </row>
    <row r="34" spans="1:16" x14ac:dyDescent="0.2">
      <c r="A34" s="600"/>
      <c r="B34" s="39"/>
      <c r="C34" s="584" t="s">
        <v>298</v>
      </c>
      <c r="D34" s="620">
        <f>((1+care_rev)/D33)</f>
        <v>1.0247524752475248</v>
      </c>
      <c r="E34" s="620">
        <f>((1+care_rev)/E33)</f>
        <v>1.0048543689320388</v>
      </c>
      <c r="F34" s="621">
        <f>((1+care_rev)/F33)</f>
        <v>0.9951923076923076</v>
      </c>
      <c r="G34" s="181"/>
      <c r="H34" s="39"/>
      <c r="I34" s="39"/>
      <c r="J34" s="39"/>
    </row>
    <row r="35" spans="1:16" x14ac:dyDescent="0.2">
      <c r="A35" s="600"/>
      <c r="B35" s="39"/>
      <c r="C35" s="584" t="s">
        <v>321</v>
      </c>
      <c r="D35" s="620">
        <f>(1+cpi_1)/(1+cpi)</f>
        <v>0.99019607843137258</v>
      </c>
      <c r="E35" s="620">
        <f>(1+cpi_2)/(1+cpi)</f>
        <v>1.0098039215686274</v>
      </c>
      <c r="F35" s="621">
        <f>(1+cpi_3)/(1+cpi)</f>
        <v>1.0196078431372548</v>
      </c>
      <c r="G35" s="181"/>
      <c r="H35" s="39"/>
      <c r="I35" s="39"/>
      <c r="J35" s="39"/>
    </row>
    <row r="36" spans="1:16" x14ac:dyDescent="0.2">
      <c r="A36" s="600"/>
      <c r="B36" s="39"/>
      <c r="C36" s="584" t="s">
        <v>727</v>
      </c>
      <c r="D36" s="622">
        <f ca="1">CurrentSal*Acc_CARE*D$33^($D15)*(1-D$34^$D15)/(1-D$34)</f>
        <v>0</v>
      </c>
      <c r="E36" s="622">
        <f ca="1">CurrentSal*Acc_CARE*E$33^($D15)*(1-E$34^$D15)/(1-E$34)</f>
        <v>0</v>
      </c>
      <c r="F36" s="623">
        <f ca="1">CurrentSal*Acc_CARE*F$33^($D15)*(1-F$34^$D15)/(1-F$34)</f>
        <v>0</v>
      </c>
      <c r="G36" s="181"/>
      <c r="H36" s="39"/>
      <c r="I36" s="39"/>
      <c r="J36" s="39"/>
    </row>
    <row r="37" spans="1:16" x14ac:dyDescent="0.2">
      <c r="A37" s="600"/>
      <c r="B37" s="39"/>
      <c r="C37" s="584" t="s">
        <v>350</v>
      </c>
      <c r="D37" s="622" t="e">
        <f ca="1">D19</f>
        <v>#N/A</v>
      </c>
      <c r="E37" s="622" t="e">
        <f ca="1">D37</f>
        <v>#N/A</v>
      </c>
      <c r="F37" s="623" t="e">
        <f ca="1">E37</f>
        <v>#N/A</v>
      </c>
      <c r="G37" s="181"/>
      <c r="H37" s="39"/>
      <c r="I37" s="39"/>
      <c r="J37" s="39"/>
    </row>
    <row r="38" spans="1:16" x14ac:dyDescent="0.2">
      <c r="A38" s="600"/>
      <c r="B38" s="39"/>
      <c r="C38" s="584" t="s">
        <v>351</v>
      </c>
      <c r="D38" s="622" t="e">
        <f ca="1">CurrentSal*Acc_CARE*D$33^($D37)*(1-D$34^$D37)/(1-D$34)*(1+care_rev)^$D16</f>
        <v>#N/A</v>
      </c>
      <c r="E38" s="622" t="e">
        <f ca="1">CurrentSal*Acc_CARE*E$33^($E37)*(1-E$34^$E37)/(1-E$34)*(1+care_rev)^$D16</f>
        <v>#N/A</v>
      </c>
      <c r="F38" s="623" t="e">
        <f ca="1">CurrentSal*Acc_CARE*F$33^($F37)*(1-F$34^$F37)/(1-F$34)*(1+care_rev)^$D16</f>
        <v>#N/A</v>
      </c>
      <c r="G38" s="181"/>
      <c r="H38" s="39"/>
      <c r="I38" s="39"/>
      <c r="J38" s="39"/>
    </row>
    <row r="39" spans="1:16" x14ac:dyDescent="0.2">
      <c r="A39" s="600"/>
      <c r="B39" s="39"/>
      <c r="C39" s="584" t="s">
        <v>244</v>
      </c>
      <c r="D39" s="622" t="e">
        <f ca="1">D36-D38</f>
        <v>#N/A</v>
      </c>
      <c r="E39" s="622" t="e">
        <f ca="1">E36-E38</f>
        <v>#N/A</v>
      </c>
      <c r="F39" s="623" t="e">
        <f ca="1">F36-F38</f>
        <v>#N/A</v>
      </c>
      <c r="G39" s="181"/>
      <c r="H39" s="39"/>
      <c r="I39" s="39"/>
      <c r="J39" s="39"/>
    </row>
    <row r="40" spans="1:16" x14ac:dyDescent="0.2">
      <c r="A40" s="600"/>
      <c r="B40" s="39"/>
      <c r="C40" s="584" t="s">
        <v>784</v>
      </c>
      <c r="D40" s="622" t="e">
        <f ca="1">IF(PT_Status="some Part-Time",D39*future_PTP,D39)</f>
        <v>#N/A</v>
      </c>
      <c r="E40" s="622" t="e">
        <f ca="1">IF(PT_Status="some Part-Time",E39*future_PTP,E39)</f>
        <v>#N/A</v>
      </c>
      <c r="F40" s="623" t="e">
        <f ca="1">IF(PT_Status="some Part-Time",F39*future_PTP,F39)</f>
        <v>#N/A</v>
      </c>
      <c r="G40" s="637" t="s">
        <v>788</v>
      </c>
      <c r="H40" s="39"/>
      <c r="I40" s="39"/>
      <c r="J40" s="39"/>
    </row>
    <row r="41" spans="1:16" x14ac:dyDescent="0.2">
      <c r="A41" s="600"/>
      <c r="B41" s="39"/>
      <c r="C41" s="585" t="s">
        <v>332</v>
      </c>
      <c r="D41" s="624" t="e">
        <f ca="1">SUM(D31,D40)/(1+cpi)^$D14</f>
        <v>#N/A</v>
      </c>
      <c r="E41" s="624" t="e">
        <f ca="1">SUM(E31,E40)/(1+cpi)^$D14</f>
        <v>#N/A</v>
      </c>
      <c r="F41" s="625" t="e">
        <f ca="1">SUM(F31,F40)/(1+cpi)^$D14</f>
        <v>#N/A</v>
      </c>
      <c r="G41" s="637" t="s">
        <v>786</v>
      </c>
      <c r="H41" s="39"/>
      <c r="I41" s="39"/>
      <c r="J41" s="39"/>
    </row>
    <row r="42" spans="1:16" x14ac:dyDescent="0.2">
      <c r="A42" s="600"/>
      <c r="B42" s="39"/>
      <c r="C42" s="585" t="s">
        <v>338</v>
      </c>
      <c r="D42" s="622" t="e">
        <f ca="1">D41*$D29*$D28</f>
        <v>#N/A</v>
      </c>
      <c r="E42" s="622" t="e">
        <f ca="1">E41*$D29*$D28</f>
        <v>#N/A</v>
      </c>
      <c r="F42" s="623" t="e">
        <f ca="1">F41*$D29*$D28</f>
        <v>#N/A</v>
      </c>
      <c r="G42" s="181"/>
      <c r="H42" s="39"/>
      <c r="I42" s="39"/>
      <c r="J42" s="39"/>
    </row>
    <row r="43" spans="1:16" x14ac:dyDescent="0.2">
      <c r="A43" s="600"/>
      <c r="B43" s="39"/>
      <c r="C43" s="610" t="s">
        <v>339</v>
      </c>
      <c r="D43" s="626" t="e">
        <f ca="1">D42</f>
        <v>#N/A</v>
      </c>
      <c r="E43" s="626" t="e">
        <f ca="1">IF(PT_Status="some Part-Time",E42*future_PTP,E42)</f>
        <v>#N/A</v>
      </c>
      <c r="F43" s="627" t="e">
        <f ca="1">IF(PT_Status="some Part-Time",F42*future_PTP,F42)</f>
        <v>#N/A</v>
      </c>
      <c r="G43" s="637" t="s">
        <v>785</v>
      </c>
      <c r="H43" s="39"/>
      <c r="I43" s="39"/>
      <c r="J43" s="39"/>
    </row>
    <row r="44" spans="1:16" x14ac:dyDescent="0.2">
      <c r="A44" s="600"/>
      <c r="B44" s="39"/>
      <c r="C44" s="609"/>
      <c r="D44" s="612"/>
      <c r="E44" s="39"/>
      <c r="F44" s="39"/>
      <c r="G44" s="181"/>
      <c r="H44" s="39"/>
      <c r="I44" s="39"/>
      <c r="J44" s="39"/>
    </row>
    <row r="45" spans="1:16" x14ac:dyDescent="0.2">
      <c r="A45" s="600"/>
      <c r="B45" s="39"/>
      <c r="C45" s="39"/>
      <c r="D45" s="39"/>
      <c r="E45" s="39"/>
      <c r="F45" s="39"/>
      <c r="G45" s="181"/>
      <c r="H45" s="39"/>
      <c r="I45" s="39"/>
      <c r="J45" s="39"/>
    </row>
    <row r="46" spans="1:16" x14ac:dyDescent="0.2">
      <c r="A46" s="600"/>
      <c r="B46" s="39"/>
      <c r="C46" s="39"/>
      <c r="D46" s="39"/>
      <c r="E46" s="39"/>
      <c r="F46" s="39"/>
      <c r="G46" s="181"/>
      <c r="H46" s="628"/>
      <c r="I46" s="39"/>
      <c r="J46" s="39"/>
      <c r="N46" s="90"/>
      <c r="O46" s="90"/>
      <c r="P46" s="90"/>
    </row>
    <row r="47" spans="1:16" x14ac:dyDescent="0.2">
      <c r="A47" s="39"/>
      <c r="B47" s="39"/>
      <c r="C47" s="39"/>
      <c r="D47" s="39"/>
      <c r="E47" s="39"/>
      <c r="F47" s="39"/>
      <c r="G47" s="39"/>
      <c r="H47" s="39"/>
      <c r="I47" s="629"/>
      <c r="J47" s="629"/>
      <c r="N47" s="90"/>
      <c r="O47" s="90"/>
      <c r="P47" s="90"/>
    </row>
    <row r="48" spans="1:16" x14ac:dyDescent="0.2">
      <c r="A48" s="39"/>
      <c r="B48" s="39"/>
      <c r="C48" s="39"/>
      <c r="D48" s="39"/>
      <c r="E48" s="39"/>
      <c r="F48" s="39"/>
      <c r="G48" s="39"/>
      <c r="H48" s="39"/>
      <c r="I48" s="629"/>
      <c r="J48" s="629"/>
      <c r="N48" s="90"/>
      <c r="O48" s="90"/>
    </row>
    <row r="49" spans="1:15" x14ac:dyDescent="0.2">
      <c r="A49" s="39"/>
      <c r="B49" s="39"/>
      <c r="C49" s="39"/>
      <c r="D49" s="39"/>
      <c r="E49" s="39"/>
      <c r="F49" s="39"/>
      <c r="G49" s="39"/>
      <c r="H49" s="39"/>
      <c r="I49" s="629"/>
      <c r="J49" s="629"/>
      <c r="N49" s="90"/>
      <c r="O49" s="90"/>
    </row>
    <row r="50" spans="1:15" x14ac:dyDescent="0.2">
      <c r="A50" s="39"/>
      <c r="B50" s="39"/>
      <c r="C50" s="39"/>
      <c r="D50" s="39"/>
      <c r="E50" s="39"/>
      <c r="F50" s="39"/>
      <c r="G50" s="39"/>
      <c r="H50" s="39"/>
      <c r="I50" s="629"/>
      <c r="J50" s="629"/>
      <c r="N50" s="90"/>
      <c r="O50" s="90"/>
    </row>
    <row r="51" spans="1:15" x14ac:dyDescent="0.2">
      <c r="A51" s="39"/>
      <c r="B51" s="39"/>
      <c r="C51" s="39"/>
      <c r="D51" s="39"/>
      <c r="E51" s="39"/>
      <c r="F51" s="39"/>
      <c r="G51" s="594"/>
      <c r="H51" s="39"/>
      <c r="I51" s="629"/>
      <c r="J51" s="629"/>
      <c r="N51" s="90"/>
      <c r="O51" s="90"/>
    </row>
    <row r="52" spans="1:15" x14ac:dyDescent="0.2">
      <c r="A52" s="39"/>
      <c r="B52" s="39"/>
      <c r="C52" s="39"/>
      <c r="D52" s="39"/>
      <c r="E52" s="39"/>
      <c r="F52" s="39"/>
      <c r="G52" s="594"/>
      <c r="H52" s="39"/>
      <c r="I52" s="629"/>
      <c r="J52" s="629"/>
      <c r="N52" s="90"/>
      <c r="O52" s="90"/>
    </row>
    <row r="53" spans="1:15" x14ac:dyDescent="0.2">
      <c r="A53" s="39"/>
      <c r="B53" s="39"/>
      <c r="C53" s="39"/>
      <c r="D53" s="39"/>
      <c r="E53" s="39"/>
      <c r="F53" s="39"/>
      <c r="G53" s="39"/>
      <c r="H53" s="39"/>
      <c r="I53" s="589"/>
      <c r="J53" s="629"/>
      <c r="N53" s="90"/>
      <c r="O53" s="90"/>
    </row>
    <row r="54" spans="1:15" x14ac:dyDescent="0.2">
      <c r="A54" s="39"/>
      <c r="B54" s="39"/>
      <c r="C54" s="39"/>
      <c r="D54" s="39"/>
      <c r="E54" s="39"/>
      <c r="F54" s="39"/>
      <c r="G54" s="595"/>
      <c r="H54" s="590"/>
      <c r="I54" s="592"/>
      <c r="J54" s="39"/>
      <c r="K54" s="9"/>
      <c r="L54" s="9"/>
      <c r="N54" s="90"/>
      <c r="O54" s="90"/>
    </row>
    <row r="55" spans="1:15" x14ac:dyDescent="0.2">
      <c r="A55" s="39"/>
      <c r="B55" s="39"/>
      <c r="C55" s="39"/>
      <c r="D55" s="39"/>
      <c r="E55" s="39"/>
      <c r="F55" s="39"/>
      <c r="G55" s="39"/>
      <c r="H55" s="630"/>
      <c r="I55" s="596"/>
      <c r="J55" s="596"/>
      <c r="K55" s="159"/>
      <c r="L55" s="9"/>
      <c r="N55" s="90"/>
      <c r="O55" s="90"/>
    </row>
    <row r="56" spans="1:15" x14ac:dyDescent="0.2">
      <c r="A56" s="39"/>
      <c r="B56" s="39"/>
      <c r="C56" s="39"/>
      <c r="D56" s="39"/>
      <c r="E56" s="39"/>
      <c r="F56" s="39"/>
      <c r="G56" s="39"/>
      <c r="H56" s="630"/>
      <c r="I56" s="608"/>
      <c r="J56" s="597"/>
      <c r="K56" s="129"/>
      <c r="L56" s="9"/>
      <c r="N56" s="90"/>
      <c r="O56" s="90"/>
    </row>
    <row r="57" spans="1:15" x14ac:dyDescent="0.2">
      <c r="A57" s="39"/>
      <c r="B57" s="39"/>
      <c r="C57" s="39"/>
      <c r="D57" s="39"/>
      <c r="E57" s="39"/>
      <c r="F57" s="39"/>
      <c r="G57" s="39"/>
      <c r="H57" s="590"/>
      <c r="I57" s="592"/>
      <c r="J57" s="592"/>
      <c r="K57" s="131"/>
      <c r="L57" s="9"/>
      <c r="N57" s="90"/>
      <c r="O57" s="90"/>
    </row>
    <row r="58" spans="1:15" x14ac:dyDescent="0.2">
      <c r="A58" s="39"/>
      <c r="B58" s="39"/>
      <c r="C58" s="39"/>
      <c r="D58" s="39"/>
      <c r="E58" s="39"/>
      <c r="F58" s="39"/>
      <c r="G58" s="39"/>
      <c r="H58" s="590"/>
      <c r="I58" s="592"/>
      <c r="J58" s="592"/>
      <c r="K58" s="131"/>
      <c r="L58" s="9"/>
      <c r="N58" s="90"/>
      <c r="O58" s="90"/>
    </row>
    <row r="59" spans="1:15" x14ac:dyDescent="0.2">
      <c r="A59" s="39"/>
      <c r="B59" s="39"/>
      <c r="C59" s="39"/>
      <c r="D59" s="39"/>
      <c r="E59" s="39"/>
      <c r="F59" s="39"/>
      <c r="G59" s="39"/>
      <c r="H59" s="590"/>
      <c r="I59" s="592"/>
      <c r="J59" s="592"/>
      <c r="K59" s="131"/>
      <c r="L59" s="9"/>
      <c r="N59" s="90"/>
      <c r="O59" s="90"/>
    </row>
    <row r="60" spans="1:15" x14ac:dyDescent="0.2">
      <c r="G60" s="29"/>
      <c r="H60" s="9"/>
      <c r="I60" s="131"/>
      <c r="J60" s="131"/>
      <c r="K60" s="131"/>
      <c r="L60" s="9"/>
      <c r="N60" s="90"/>
      <c r="O60" s="90"/>
    </row>
    <row r="61" spans="1:15" x14ac:dyDescent="0.2">
      <c r="H61" s="9"/>
      <c r="I61" s="131"/>
      <c r="J61" s="131"/>
      <c r="K61" s="131"/>
      <c r="L61" s="9"/>
      <c r="N61" s="90"/>
      <c r="O61" s="90"/>
    </row>
    <row r="62" spans="1:15" x14ac:dyDescent="0.2">
      <c r="H62" s="9"/>
      <c r="I62" s="131"/>
      <c r="J62" s="131"/>
      <c r="K62" s="131"/>
      <c r="L62" s="9"/>
      <c r="N62" s="90"/>
      <c r="O62" s="90"/>
    </row>
    <row r="63" spans="1:15" x14ac:dyDescent="0.2">
      <c r="H63" s="9"/>
      <c r="I63" s="131"/>
      <c r="J63" s="131"/>
      <c r="K63" s="131"/>
      <c r="L63" s="9"/>
      <c r="N63" s="90"/>
      <c r="O63" s="90"/>
    </row>
    <row r="64" spans="1:15" x14ac:dyDescent="0.2">
      <c r="A64" s="9"/>
      <c r="G64" s="9"/>
      <c r="H64" s="9"/>
      <c r="I64" s="131"/>
      <c r="J64" s="131"/>
      <c r="K64" s="131"/>
      <c r="L64" s="9"/>
      <c r="N64" s="90"/>
      <c r="O64" s="90"/>
    </row>
    <row r="65" spans="7:8" ht="12.75" customHeight="1" x14ac:dyDescent="0.2">
      <c r="H65" s="90"/>
    </row>
    <row r="66" spans="7:8" ht="12.75" customHeight="1" x14ac:dyDescent="0.2"/>
    <row r="67" spans="7:8" x14ac:dyDescent="0.2">
      <c r="H67" s="90"/>
    </row>
    <row r="68" spans="7:8" ht="12.75" customHeight="1" x14ac:dyDescent="0.2"/>
    <row r="69" spans="7:8" ht="12.75" customHeight="1" x14ac:dyDescent="0.2">
      <c r="H69" s="191"/>
    </row>
    <row r="70" spans="7:8" ht="12.75" customHeight="1" x14ac:dyDescent="0.2">
      <c r="H70" s="191"/>
    </row>
    <row r="71" spans="7:8" x14ac:dyDescent="0.2">
      <c r="H71" s="90"/>
    </row>
    <row r="72" spans="7:8" x14ac:dyDescent="0.2">
      <c r="G72" s="90"/>
      <c r="H72" s="90"/>
    </row>
    <row r="73" spans="7:8" x14ac:dyDescent="0.2">
      <c r="G73" s="90"/>
      <c r="H73" s="90"/>
    </row>
    <row r="74" spans="7:8" x14ac:dyDescent="0.2">
      <c r="H74" s="90"/>
    </row>
  </sheetData>
  <mergeCells count="2">
    <mergeCell ref="E13:G13"/>
    <mergeCell ref="D5:G7"/>
  </mergeCells>
  <phoneticPr fontId="30" type="noConversion"/>
  <pageMargins left="0.70866141732283472" right="0.70866141732283472" top="0.74803149606299213" bottom="0.74803149606299213" header="0.31496062992125984" footer="0.31496062992125984"/>
  <pageSetup paperSize="9" scale="46" orientation="portrait" r:id="rId1"/>
  <headerFooter>
    <oddHeader>&amp;CPROTECT - SCHEME MANAGEMENT&amp;L_x000D_&amp;Z&amp;F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G60"/>
  <sheetViews>
    <sheetView topLeftCell="A13" workbookViewId="0">
      <selection activeCell="D26" sqref="D26"/>
    </sheetView>
  </sheetViews>
  <sheetFormatPr defaultRowHeight="12.75" x14ac:dyDescent="0.2"/>
  <cols>
    <col min="2" max="2" width="14.5703125" style="1" customWidth="1"/>
    <col min="3" max="3" width="36.85546875" bestFit="1" customWidth="1"/>
    <col min="4" max="6" width="12.42578125" customWidth="1"/>
  </cols>
  <sheetData>
    <row r="1" spans="1:6" ht="20.25" x14ac:dyDescent="0.3">
      <c r="A1" s="13" t="s">
        <v>19</v>
      </c>
      <c r="B1" s="31"/>
      <c r="C1" s="12"/>
      <c r="D1" s="12"/>
      <c r="E1" s="12"/>
      <c r="F1" s="12"/>
    </row>
    <row r="2" spans="1:6" ht="15.75" x14ac:dyDescent="0.25">
      <c r="A2" s="27" t="str">
        <f>IF(title="&gt; Enter workbook title here","Enter workbook title in Cover sheet",title)</f>
        <v>Scottish Fire pension  projection calculator</v>
      </c>
      <c r="B2" s="32"/>
      <c r="C2" s="11"/>
      <c r="D2" s="11"/>
      <c r="E2" s="11"/>
      <c r="F2" s="11"/>
    </row>
    <row r="3" spans="1:6" ht="15.75" x14ac:dyDescent="0.25">
      <c r="A3" s="75" t="s">
        <v>82</v>
      </c>
      <c r="B3" s="32"/>
      <c r="C3" s="11"/>
      <c r="D3" s="11"/>
      <c r="E3" s="11"/>
      <c r="F3" s="11"/>
    </row>
    <row r="4" spans="1:6" x14ac:dyDescent="0.2">
      <c r="A4" s="7" t="str">
        <f ca="1">CELL("filename",A1)</f>
        <v>C:\Users\u205538\Downloads\[NHS_Pension_Calculator_v2.3 22 Dec 2020 (6).xlsx]Summary</v>
      </c>
    </row>
    <row r="6" spans="1:6" ht="13.5" thickBot="1" x14ac:dyDescent="0.25"/>
    <row r="7" spans="1:6" ht="13.5" thickBot="1" x14ac:dyDescent="0.25">
      <c r="D7" s="117" t="str">
        <f>basis1</f>
        <v>CPI + 0%</v>
      </c>
      <c r="E7" s="111" t="str">
        <f>basis2</f>
        <v>CPI + 1%</v>
      </c>
      <c r="F7" s="112" t="str">
        <f>basis3</f>
        <v>CPI + 2%</v>
      </c>
    </row>
    <row r="8" spans="1:6" x14ac:dyDescent="0.2">
      <c r="B8" s="775" t="s">
        <v>302</v>
      </c>
      <c r="C8" s="97" t="s">
        <v>283</v>
      </c>
      <c r="D8" s="160">
        <f>CurrentSal</f>
        <v>0</v>
      </c>
      <c r="E8" s="160">
        <f>D8</f>
        <v>0</v>
      </c>
      <c r="F8" s="161">
        <f>D8</f>
        <v>0</v>
      </c>
    </row>
    <row r="9" spans="1:6" x14ac:dyDescent="0.2">
      <c r="B9" s="776"/>
      <c r="C9" s="98" t="s">
        <v>285</v>
      </c>
      <c r="D9" s="162" t="e">
        <f>'1995 &amp; 2008 calcs'!F41</f>
        <v>#N/A</v>
      </c>
      <c r="E9" s="162" t="e">
        <f>'1995 &amp; 2008 calcs'!F42</f>
        <v>#N/A</v>
      </c>
      <c r="F9" s="163" t="e">
        <f>'1995 &amp; 2008 calcs'!F43</f>
        <v>#N/A</v>
      </c>
    </row>
    <row r="10" spans="1:6" x14ac:dyDescent="0.2">
      <c r="B10" s="776"/>
      <c r="C10" s="98" t="s">
        <v>286</v>
      </c>
      <c r="D10" s="152" t="e">
        <f>'1995 &amp; 2008 calcs'!F44</f>
        <v>#N/A</v>
      </c>
      <c r="E10" s="152" t="e">
        <f>'1995 &amp; 2008 calcs'!F45</f>
        <v>#N/A</v>
      </c>
      <c r="F10" s="153" t="e">
        <f>'1995 &amp; 2008 calcs'!F46</f>
        <v>#N/A</v>
      </c>
    </row>
    <row r="11" spans="1:6" x14ac:dyDescent="0.2">
      <c r="B11" s="776"/>
      <c r="C11" s="98" t="s">
        <v>86</v>
      </c>
      <c r="D11" s="80">
        <f>'1995 &amp; 2008 calcs'!D9</f>
        <v>112.25188227241615</v>
      </c>
      <c r="E11" s="80">
        <f t="shared" ref="E11:E16" si="0">D11</f>
        <v>112.25188227241615</v>
      </c>
      <c r="F11" s="81">
        <f t="shared" ref="F11:F16" si="1">D11</f>
        <v>112.25188227241615</v>
      </c>
    </row>
    <row r="12" spans="1:6" x14ac:dyDescent="0.2">
      <c r="B12" s="776"/>
      <c r="C12" s="98" t="s">
        <v>89</v>
      </c>
      <c r="D12" s="80">
        <f>'1995 &amp; 2008 calcs'!D17</f>
        <v>112.25188227241615</v>
      </c>
      <c r="E12" s="80">
        <f t="shared" si="0"/>
        <v>112.25188227241615</v>
      </c>
      <c r="F12" s="81">
        <f t="shared" si="1"/>
        <v>112.25188227241615</v>
      </c>
    </row>
    <row r="13" spans="1:6" x14ac:dyDescent="0.2">
      <c r="B13" s="776"/>
      <c r="C13" s="98" t="s">
        <v>80</v>
      </c>
      <c r="D13" s="633" t="e">
        <f>DoProtEnd</f>
        <v>#N/A</v>
      </c>
      <c r="E13" s="633" t="e">
        <f>DoProtEnd</f>
        <v>#N/A</v>
      </c>
      <c r="F13" s="634" t="e">
        <f>DoProtEnd</f>
        <v>#N/A</v>
      </c>
    </row>
    <row r="14" spans="1:6" x14ac:dyDescent="0.2">
      <c r="B14" s="776"/>
      <c r="C14" s="98" t="s">
        <v>98</v>
      </c>
      <c r="D14" s="633">
        <f>DoR</f>
        <v>0</v>
      </c>
      <c r="E14" s="633">
        <f>DoR</f>
        <v>0</v>
      </c>
      <c r="F14" s="634">
        <f>DoR</f>
        <v>0</v>
      </c>
    </row>
    <row r="15" spans="1:6" x14ac:dyDescent="0.2">
      <c r="B15" s="776"/>
      <c r="C15" s="98" t="s">
        <v>99</v>
      </c>
      <c r="D15" s="164">
        <f>ChosenRA</f>
        <v>0</v>
      </c>
      <c r="E15" s="164">
        <f>ChosenRA</f>
        <v>0</v>
      </c>
      <c r="F15" s="165">
        <f>ChosenRA</f>
        <v>0</v>
      </c>
    </row>
    <row r="16" spans="1:6" x14ac:dyDescent="0.2">
      <c r="B16" s="776"/>
      <c r="C16" s="98" t="s">
        <v>97</v>
      </c>
      <c r="D16" s="80" t="e">
        <f>'1995 &amp; 2008 calcs'!F35</f>
        <v>#N/A</v>
      </c>
      <c r="E16" s="80" t="e">
        <f t="shared" si="0"/>
        <v>#N/A</v>
      </c>
      <c r="F16" s="81" t="e">
        <f t="shared" si="1"/>
        <v>#N/A</v>
      </c>
    </row>
    <row r="17" spans="2:7" x14ac:dyDescent="0.2">
      <c r="B17" s="776"/>
      <c r="C17" s="98" t="s">
        <v>273</v>
      </c>
      <c r="D17" s="162" t="e">
        <f>'Lump Sum'!D18</f>
        <v>#N/A</v>
      </c>
      <c r="E17" s="162" t="e">
        <f>'Lump Sum'!E18</f>
        <v>#N/A</v>
      </c>
      <c r="F17" s="163" t="e">
        <f>'Lump Sum'!F18</f>
        <v>#N/A</v>
      </c>
    </row>
    <row r="18" spans="2:7" x14ac:dyDescent="0.2">
      <c r="B18" s="776"/>
      <c r="C18" s="98" t="s">
        <v>255</v>
      </c>
      <c r="D18" s="162" t="e">
        <f>'Lump Sum'!D23</f>
        <v>#N/A</v>
      </c>
      <c r="E18" s="162" t="e">
        <f>'Lump Sum'!E23</f>
        <v>#N/A</v>
      </c>
      <c r="F18" s="162" t="e">
        <f>'Lump Sum'!F23</f>
        <v>#N/A</v>
      </c>
      <c r="G18" s="83" t="s">
        <v>670</v>
      </c>
    </row>
    <row r="19" spans="2:7" x14ac:dyDescent="0.2">
      <c r="B19" s="776"/>
      <c r="C19" s="98" t="s">
        <v>293</v>
      </c>
      <c r="D19" s="162" t="e">
        <f>'Lump Sum'!D19</f>
        <v>#N/A</v>
      </c>
      <c r="E19" s="162" t="e">
        <f>'Lump Sum'!E19</f>
        <v>#N/A</v>
      </c>
      <c r="F19" s="163" t="e">
        <f>'Lump Sum'!F19</f>
        <v>#N/A</v>
      </c>
    </row>
    <row r="20" spans="2:7" x14ac:dyDescent="0.2">
      <c r="B20" s="776"/>
      <c r="C20" s="98" t="s">
        <v>272</v>
      </c>
      <c r="D20" s="162" t="e">
        <f>'Lump Sum'!D20</f>
        <v>#N/A</v>
      </c>
      <c r="E20" s="162" t="e">
        <f>'Lump Sum'!E20</f>
        <v>#N/A</v>
      </c>
      <c r="F20" s="163" t="e">
        <f>'Lump Sum'!F20</f>
        <v>#N/A</v>
      </c>
    </row>
    <row r="21" spans="2:7" ht="13.5" thickBot="1" x14ac:dyDescent="0.25">
      <c r="B21" s="777"/>
      <c r="C21" s="99" t="s">
        <v>100</v>
      </c>
      <c r="D21" s="166" t="e">
        <f>IF(AND(CurrentScheme="PPS",D16&gt;FPSmax),45,IF(AND(CurrentScheme="NPPS",D16&gt;Max_service_2008),70,MAX(45,D8*D16/D17)))</f>
        <v>#N/A</v>
      </c>
      <c r="E21" s="166" t="e">
        <f>D21</f>
        <v>#N/A</v>
      </c>
      <c r="F21" s="167" t="e">
        <f>D21</f>
        <v>#N/A</v>
      </c>
    </row>
    <row r="22" spans="2:7" ht="13.5" thickBot="1" x14ac:dyDescent="0.25"/>
    <row r="23" spans="2:7" ht="13.5" thickBot="1" x14ac:dyDescent="0.25">
      <c r="D23" s="93" t="str">
        <f>basis1</f>
        <v>CPI + 0%</v>
      </c>
      <c r="E23" s="102" t="str">
        <f>basis2</f>
        <v>CPI + 1%</v>
      </c>
      <c r="F23" s="103" t="str">
        <f>basis3</f>
        <v>CPI + 2%</v>
      </c>
      <c r="G23" s="9"/>
    </row>
    <row r="24" spans="2:7" x14ac:dyDescent="0.2">
      <c r="B24" s="775" t="s">
        <v>317</v>
      </c>
      <c r="C24" s="428" t="s">
        <v>303</v>
      </c>
      <c r="D24" s="174">
        <f>'CARE calcs'!$D$25</f>
        <v>0</v>
      </c>
      <c r="E24" s="175">
        <f>'CARE calcs'!$D$25</f>
        <v>0</v>
      </c>
      <c r="F24" s="176">
        <f>'CARE calcs'!$D$25</f>
        <v>0</v>
      </c>
      <c r="G24" s="9"/>
    </row>
    <row r="25" spans="2:7" x14ac:dyDescent="0.2">
      <c r="B25" s="776"/>
      <c r="C25" s="510" t="s">
        <v>73</v>
      </c>
      <c r="D25" s="187" t="e">
        <f>'CARE calcs'!$D$24</f>
        <v>#N/A</v>
      </c>
      <c r="E25" s="185" t="e">
        <f>'CARE calcs'!$D$24</f>
        <v>#N/A</v>
      </c>
      <c r="F25" s="186" t="e">
        <f>'CARE calcs'!$D$24</f>
        <v>#N/A</v>
      </c>
      <c r="G25" s="9"/>
    </row>
    <row r="26" spans="2:7" x14ac:dyDescent="0.2">
      <c r="B26" s="776"/>
      <c r="C26" s="464" t="str">
        <f>CONCATENATE(IF(ChosenRA&lt;55,"Deferred p","P"),"re-Commutation Pension")</f>
        <v>Deferred pre-Commutation Pension</v>
      </c>
      <c r="D26" s="171" t="e">
        <f ca="1">'Lump Sum'!D26</f>
        <v>#N/A</v>
      </c>
      <c r="E26" s="152" t="e">
        <f ca="1">'Lump Sum'!E26</f>
        <v>#N/A</v>
      </c>
      <c r="F26" s="153" t="e">
        <f ca="1">'Lump Sum'!F26</f>
        <v>#N/A</v>
      </c>
      <c r="G26" s="9"/>
    </row>
    <row r="27" spans="2:7" x14ac:dyDescent="0.2">
      <c r="B27" s="776"/>
      <c r="C27" s="464" t="s">
        <v>255</v>
      </c>
      <c r="D27" s="171" t="e">
        <f ca="1">'Lump Sum'!D29</f>
        <v>#N/A</v>
      </c>
      <c r="E27" s="152" t="e">
        <f ca="1">'Lump Sum'!E29</f>
        <v>#N/A</v>
      </c>
      <c r="F27" s="153" t="e">
        <f ca="1">'Lump Sum'!F29</f>
        <v>#N/A</v>
      </c>
      <c r="G27" s="9"/>
    </row>
    <row r="28" spans="2:7" x14ac:dyDescent="0.2">
      <c r="B28" s="776"/>
      <c r="C28" s="464" t="s">
        <v>293</v>
      </c>
      <c r="D28" s="171" t="e">
        <f ca="1">'Lump Sum'!D27</f>
        <v>#N/A</v>
      </c>
      <c r="E28" s="152" t="e">
        <f ca="1">'Lump Sum'!E27</f>
        <v>#N/A</v>
      </c>
      <c r="F28" s="153" t="e">
        <f ca="1">'Lump Sum'!F27</f>
        <v>#N/A</v>
      </c>
    </row>
    <row r="29" spans="2:7" ht="13.5" thickBot="1" x14ac:dyDescent="0.25">
      <c r="B29" s="777"/>
      <c r="C29" s="429" t="s">
        <v>337</v>
      </c>
      <c r="D29" s="172" t="e">
        <f ca="1">'Lump Sum'!D28</f>
        <v>#N/A</v>
      </c>
      <c r="E29" s="154" t="e">
        <f ca="1">'Lump Sum'!E28</f>
        <v>#N/A</v>
      </c>
      <c r="F29" s="155" t="e">
        <f ca="1">'Lump Sum'!F28</f>
        <v>#N/A</v>
      </c>
    </row>
    <row r="30" spans="2:7" x14ac:dyDescent="0.2">
      <c r="B30" s="177"/>
      <c r="C30" s="16"/>
      <c r="D30" s="152"/>
      <c r="E30" s="152"/>
      <c r="F30" s="152"/>
      <c r="G30" s="9"/>
    </row>
    <row r="31" spans="2:7" ht="13.5" thickBot="1" x14ac:dyDescent="0.25"/>
    <row r="32" spans="2:7" ht="13.5" thickBot="1" x14ac:dyDescent="0.25">
      <c r="C32" s="1" t="s">
        <v>399</v>
      </c>
      <c r="D32" s="93" t="str">
        <f>basis1</f>
        <v>CPI + 0%</v>
      </c>
      <c r="E32" s="102" t="str">
        <f>basis2</f>
        <v>CPI + 1%</v>
      </c>
      <c r="F32" s="103" t="str">
        <f>basis3</f>
        <v>CPI + 2%</v>
      </c>
    </row>
    <row r="33" spans="2:7" x14ac:dyDescent="0.2">
      <c r="C33" s="173" t="s">
        <v>400</v>
      </c>
      <c r="D33" s="204">
        <f>ROUND(CurrentSal,0)</f>
        <v>0</v>
      </c>
      <c r="E33" s="204">
        <f>$D33</f>
        <v>0</v>
      </c>
      <c r="F33" s="205">
        <f>$D33</f>
        <v>0</v>
      </c>
    </row>
    <row r="34" spans="2:7" ht="12.75" customHeight="1" thickBot="1" x14ac:dyDescent="0.25">
      <c r="C34" s="98" t="s">
        <v>381</v>
      </c>
      <c r="D34" s="108" t="e">
        <f>ROUND(Summary!D9,0)</f>
        <v>#N/A</v>
      </c>
      <c r="E34" s="108" t="e">
        <f>ROUND(Summary!E9,0)</f>
        <v>#N/A</v>
      </c>
      <c r="F34" s="94" t="e">
        <f>ROUND(Summary!F9,0)</f>
        <v>#N/A</v>
      </c>
    </row>
    <row r="35" spans="2:7" x14ac:dyDescent="0.2">
      <c r="B35" s="778" t="s">
        <v>404</v>
      </c>
      <c r="C35" s="97" t="str">
        <f>Scheme_Full&amp;" pension"</f>
        <v xml:space="preserve"> pension</v>
      </c>
      <c r="D35" s="204" t="e">
        <f>IF(Summary!D20&lt;0,"input error",ROUND(Summary!D20,0))</f>
        <v>#N/A</v>
      </c>
      <c r="E35" s="204" t="e">
        <f>IF(Summary!E20&lt;0,"input error",ROUND(Summary!E20,0))</f>
        <v>#N/A</v>
      </c>
      <c r="F35" s="205" t="e">
        <f>IF(Summary!F20&lt;0,"input error",ROUND(Summary!F20,0))</f>
        <v>#N/A</v>
      </c>
    </row>
    <row r="36" spans="2:7" x14ac:dyDescent="0.2">
      <c r="B36" s="764"/>
      <c r="C36" s="98" t="str">
        <f>Scheme_Full&amp;" lump sum"</f>
        <v xml:space="preserve"> lump sum</v>
      </c>
      <c r="D36" s="108" t="e">
        <f>ROUND('Lump Sum'!D23,0)</f>
        <v>#N/A</v>
      </c>
      <c r="E36" s="108" t="e">
        <f>ROUND('Lump Sum'!E23,0)</f>
        <v>#N/A</v>
      </c>
      <c r="F36" s="108" t="e">
        <f>ROUND('Lump Sum'!F23,0)</f>
        <v>#N/A</v>
      </c>
    </row>
    <row r="37" spans="2:7" x14ac:dyDescent="0.2">
      <c r="B37" s="764"/>
      <c r="C37" s="98" t="str">
        <f>"2015 Scheme pension" &amp; IF(ChosenRA&gt;=55,""," deferred until SPA")</f>
        <v>2015 Scheme pension deferred until SPA</v>
      </c>
      <c r="D37" s="108" t="e">
        <f ca="1">IF(Summary!D29&lt;0,"input error",ROUND(Summary!D29,0))</f>
        <v>#N/A</v>
      </c>
      <c r="E37" s="108" t="e">
        <f ca="1">IF(Summary!E29&lt;0,"input error",ROUND(Summary!E29,0))</f>
        <v>#N/A</v>
      </c>
      <c r="F37" s="94" t="e">
        <f ca="1">IF(Summary!F29&lt;0,"input error",ROUND(Summary!F29,0))</f>
        <v>#N/A</v>
      </c>
    </row>
    <row r="38" spans="2:7" x14ac:dyDescent="0.2">
      <c r="B38" s="764"/>
      <c r="C38" s="98" t="str">
        <f>"2015 Scheme lump sum" &amp; IF(ChosenRA&gt;=55,""," deferred until SPA")</f>
        <v>2015 Scheme lump sum deferred until SPA</v>
      </c>
      <c r="D38" s="108" t="e">
        <f ca="1">ROUND(Summary!D27,0)</f>
        <v>#N/A</v>
      </c>
      <c r="E38" s="108" t="e">
        <f ca="1">ROUND(Summary!E27,0)</f>
        <v>#N/A</v>
      </c>
      <c r="F38" s="94" t="e">
        <f ca="1">ROUND(Summary!F27,0)</f>
        <v>#N/A</v>
      </c>
    </row>
    <row r="39" spans="2:7" x14ac:dyDescent="0.2">
      <c r="B39" s="764"/>
      <c r="C39" s="98" t="s">
        <v>370</v>
      </c>
      <c r="D39" s="108" t="str">
        <f>IF(ChosenRA&lt;55,"",IF(OR(Summary!D20&lt;0,Summary!D29&lt;0),"input error",ROUND(SUM(Summary!D35,Summary!D37),0)))</f>
        <v/>
      </c>
      <c r="E39" s="108" t="str">
        <f>IF(ChosenRA&lt;55,"",IF(OR(Summary!E20&lt;0,Summary!E29&lt;0),"input error",ROUND(SUM(Summary!E35,Summary!E37),0)))</f>
        <v/>
      </c>
      <c r="F39" s="94" t="str">
        <f>IF(ChosenRA&lt;55,"",IF(OR(Summary!F20&lt;0,Summary!F29&lt;0),"input error",ROUND(SUM(Summary!F35,Summary!F37),0)))</f>
        <v/>
      </c>
    </row>
    <row r="40" spans="2:7" ht="13.5" thickBot="1" x14ac:dyDescent="0.25">
      <c r="B40" s="765"/>
      <c r="C40" s="99" t="s">
        <v>403</v>
      </c>
      <c r="D40" s="116" t="str">
        <f>IF(ChosenRA&lt;55,"",ROUND(SUM(D36,D38),0))</f>
        <v/>
      </c>
      <c r="E40" s="116" t="str">
        <f>IF(ChosenRA&lt;55,"",ROUND(SUM(E36,E38),0))</f>
        <v/>
      </c>
      <c r="F40" s="147" t="str">
        <f>IF(ChosenRA&lt;55,"",ROUND(SUM(F36,F38),0))</f>
        <v/>
      </c>
    </row>
    <row r="41" spans="2:7" ht="12.75" customHeight="1" x14ac:dyDescent="0.2">
      <c r="B41" s="778" t="s">
        <v>405</v>
      </c>
      <c r="C41" s="97" t="str">
        <f>Scheme_Full&amp;" pension"</f>
        <v xml:space="preserve"> pension</v>
      </c>
      <c r="D41" s="204" t="e">
        <f>IF(Summary!D17&lt;0,"input error",ROUND(Summary!D17,0))</f>
        <v>#N/A</v>
      </c>
      <c r="E41" s="204" t="e">
        <f>IF(Summary!E17&lt;0,"input error",ROUND(Summary!E17,0))</f>
        <v>#N/A</v>
      </c>
      <c r="F41" s="205" t="e">
        <f>IF(Summary!F17&lt;0,"input error",ROUND(Summary!F17,0))</f>
        <v>#N/A</v>
      </c>
    </row>
    <row r="42" spans="2:7" x14ac:dyDescent="0.2">
      <c r="B42" s="764"/>
      <c r="C42" s="98" t="str">
        <f>Scheme_Full&amp;" lump sum"</f>
        <v xml:space="preserve"> lump sum</v>
      </c>
      <c r="D42" s="108" t="e">
        <f>IF(CurrentScheme="1995 section",ROUND('Lump Sum'!D22,0),0)</f>
        <v>#N/A</v>
      </c>
      <c r="E42" s="108" t="e">
        <f>IF(CurrentScheme="1995 section",ROUND('Lump Sum'!E22,0),0)</f>
        <v>#N/A</v>
      </c>
      <c r="F42" s="108" t="e">
        <f>IF(CurrentScheme="1995 section",ROUND('Lump Sum'!F22,0),0)</f>
        <v>#N/A</v>
      </c>
      <c r="G42" s="83" t="s">
        <v>671</v>
      </c>
    </row>
    <row r="43" spans="2:7" x14ac:dyDescent="0.2">
      <c r="B43" s="764"/>
      <c r="C43" s="98" t="str">
        <f>"2015 Scheme pension" &amp; IF(ChosenRA&gt;=55,""," deferred until SPA")</f>
        <v>2015 Scheme pension deferred until SPA</v>
      </c>
      <c r="D43" s="108" t="e">
        <f ca="1">IF(Summary!D26&lt;0,"input error",ROUND(Summary!D26,0))</f>
        <v>#N/A</v>
      </c>
      <c r="E43" s="108" t="e">
        <f ca="1">IF(Summary!E26&lt;0,"input error",ROUND(Summary!E26,0))</f>
        <v>#N/A</v>
      </c>
      <c r="F43" s="94" t="e">
        <f ca="1">IF(Summary!F26&lt;0,"input error",ROUND(Summary!F26,0))</f>
        <v>#N/A</v>
      </c>
    </row>
    <row r="44" spans="2:7" x14ac:dyDescent="0.2">
      <c r="B44" s="764"/>
      <c r="C44" s="98" t="s">
        <v>370</v>
      </c>
      <c r="D44" s="108" t="str">
        <f>IF(ChosenRA&lt;55,"",IF(OR(Summary!D17&lt;0,Summary!D26&lt;0),"input error",ROUND(SUM(Summary!D41,Summary!D43),0)))</f>
        <v/>
      </c>
      <c r="E44" s="108" t="str">
        <f>IF(ChosenRA&lt;55,"",IF(OR(Summary!E17&lt;0,Summary!E26&lt;0),"input error",ROUND(SUM(Summary!E41,Summary!E43),0)))</f>
        <v/>
      </c>
      <c r="F44" s="94" t="str">
        <f>IF(ChosenRA&lt;55,"",IF(OR(Summary!F17&lt;0,Summary!F26&lt;0),"input error",ROUND(SUM(Summary!F41,Summary!F43),0)))</f>
        <v/>
      </c>
    </row>
    <row r="45" spans="2:7" ht="13.5" thickBot="1" x14ac:dyDescent="0.25">
      <c r="B45" s="764"/>
      <c r="C45" s="98" t="s">
        <v>403</v>
      </c>
      <c r="D45" s="108" t="e">
        <f>D42</f>
        <v>#N/A</v>
      </c>
      <c r="E45" s="108" t="e">
        <f>E42</f>
        <v>#N/A</v>
      </c>
      <c r="F45" s="94" t="e">
        <f>F42</f>
        <v>#N/A</v>
      </c>
    </row>
    <row r="46" spans="2:7" ht="12.75" customHeight="1" x14ac:dyDescent="0.2">
      <c r="B46" s="779" t="s">
        <v>371</v>
      </c>
      <c r="C46" s="463" t="s">
        <v>401</v>
      </c>
      <c r="D46" s="515"/>
      <c r="E46" s="516"/>
      <c r="F46" s="517"/>
    </row>
    <row r="47" spans="2:7" x14ac:dyDescent="0.2">
      <c r="B47" s="780"/>
      <c r="C47" s="230" t="s">
        <v>402</v>
      </c>
      <c r="D47" s="518"/>
      <c r="E47" s="519"/>
      <c r="F47" s="520"/>
    </row>
    <row r="48" spans="2:7" x14ac:dyDescent="0.2">
      <c r="B48" s="780"/>
      <c r="C48" s="230" t="s">
        <v>370</v>
      </c>
      <c r="D48" s="518"/>
      <c r="E48" s="519"/>
      <c r="F48" s="520"/>
    </row>
    <row r="49" spans="2:6" ht="13.5" thickBot="1" x14ac:dyDescent="0.25">
      <c r="B49" s="781"/>
      <c r="C49" s="228" t="s">
        <v>408</v>
      </c>
      <c r="D49" s="521"/>
      <c r="E49" s="522"/>
      <c r="F49" s="229"/>
    </row>
    <row r="50" spans="2:6" x14ac:dyDescent="0.2">
      <c r="B50" s="778" t="s">
        <v>658</v>
      </c>
      <c r="C50" s="97" t="str">
        <f>Scheme_Full&amp;" pension"</f>
        <v xml:space="preserve"> pension</v>
      </c>
      <c r="D50" s="204" t="e">
        <f>IF('Lump Sum'!D36&lt;0,"input error",ROUND('Lump Sum'!D36,0))</f>
        <v>#N/A</v>
      </c>
      <c r="E50" s="204" t="e">
        <f>IF('Lump Sum'!E36&lt;0,"input error",ROUND('Lump Sum'!E36,0))</f>
        <v>#N/A</v>
      </c>
      <c r="F50" s="204" t="e">
        <f>IF('Lump Sum'!F36&lt;0,"input error",ROUND('Lump Sum'!F36,0))</f>
        <v>#N/A</v>
      </c>
    </row>
    <row r="51" spans="2:6" x14ac:dyDescent="0.2">
      <c r="B51" s="764"/>
      <c r="C51" s="98" t="str">
        <f>Scheme_Full&amp;" lump sum"</f>
        <v xml:space="preserve"> lump sum</v>
      </c>
      <c r="D51" s="108" t="e">
        <f>ROUND('Lump Sum'!D39,0)</f>
        <v>#N/A</v>
      </c>
      <c r="E51" s="108" t="e">
        <f>ROUND('Lump Sum'!E39,0)</f>
        <v>#N/A</v>
      </c>
      <c r="F51" s="108" t="e">
        <f>ROUND('Lump Sum'!F39,0)</f>
        <v>#N/A</v>
      </c>
    </row>
    <row r="52" spans="2:6" x14ac:dyDescent="0.2">
      <c r="B52" s="764"/>
      <c r="C52" s="98" t="str">
        <f>"2015 Scheme pension" &amp; IF(ChosenRA&gt;=55,""," deferred until SPA")</f>
        <v>2015 Scheme pension deferred until SPA</v>
      </c>
    </row>
    <row r="53" spans="2:6" x14ac:dyDescent="0.2">
      <c r="B53" s="764"/>
      <c r="C53" s="98" t="str">
        <f>"2015 Scheme lump sum" &amp; IF(ChosenRA&gt;=55,""," deferred until SPA")</f>
        <v>2015 Scheme lump sum deferred until SPA</v>
      </c>
    </row>
    <row r="54" spans="2:6" x14ac:dyDescent="0.2">
      <c r="B54" s="764"/>
      <c r="C54" s="98" t="s">
        <v>370</v>
      </c>
    </row>
    <row r="55" spans="2:6" ht="13.5" thickBot="1" x14ac:dyDescent="0.25">
      <c r="B55" s="765"/>
      <c r="C55" s="99" t="s">
        <v>403</v>
      </c>
    </row>
    <row r="56" spans="2:6" x14ac:dyDescent="0.2">
      <c r="B56" s="778" t="s">
        <v>659</v>
      </c>
      <c r="C56" s="97" t="str">
        <f>Scheme_Full&amp;" pension"</f>
        <v xml:space="preserve"> pension</v>
      </c>
    </row>
    <row r="57" spans="2:6" x14ac:dyDescent="0.2">
      <c r="B57" s="764"/>
      <c r="C57" s="98" t="str">
        <f>Scheme_Full&amp;" lump sum"</f>
        <v xml:space="preserve"> lump sum</v>
      </c>
    </row>
    <row r="58" spans="2:6" x14ac:dyDescent="0.2">
      <c r="B58" s="764"/>
      <c r="C58" s="98" t="str">
        <f>"2015 Scheme pension" &amp; IF(ChosenRA&gt;=55,""," deferred until SPA")</f>
        <v>2015 Scheme pension deferred until SPA</v>
      </c>
    </row>
    <row r="59" spans="2:6" x14ac:dyDescent="0.2">
      <c r="B59" s="764"/>
      <c r="C59" s="98" t="s">
        <v>370</v>
      </c>
    </row>
    <row r="60" spans="2:6" ht="13.5" thickBot="1" x14ac:dyDescent="0.25">
      <c r="B60" s="765"/>
      <c r="C60" s="99" t="s">
        <v>403</v>
      </c>
    </row>
  </sheetData>
  <mergeCells count="7">
    <mergeCell ref="B8:B21"/>
    <mergeCell ref="B24:B29"/>
    <mergeCell ref="B50:B55"/>
    <mergeCell ref="B56:B60"/>
    <mergeCell ref="B35:B40"/>
    <mergeCell ref="B41:B45"/>
    <mergeCell ref="B46:B49"/>
  </mergeCells>
  <phoneticPr fontId="30" type="noConversion"/>
  <pageMargins left="0.7" right="0.7" top="0.75" bottom="0.75" header="0.3" footer="0.3"/>
  <pageSetup paperSize="9" orientation="landscape" r:id="rId1"/>
  <headerFooter>
    <oddHeader>&amp;CPROTECT - SCHEME MANAGEMENT&amp;L_x000D_&amp;Z&amp;F  [&amp;A]</oddHeader>
    <oddFooter>&amp;LPage &amp;P of &amp;N&amp;R&amp;T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05"/>
  <sheetViews>
    <sheetView topLeftCell="F98" workbookViewId="0">
      <selection activeCell="H109" sqref="H109"/>
    </sheetView>
  </sheetViews>
  <sheetFormatPr defaultRowHeight="12.75" x14ac:dyDescent="0.2"/>
  <cols>
    <col min="2" max="2" width="66" customWidth="1"/>
    <col min="3" max="4" width="11.5703125" customWidth="1"/>
    <col min="5" max="5" width="26.42578125" customWidth="1"/>
    <col min="6" max="6" width="17.5703125" customWidth="1"/>
    <col min="7" max="7" width="11.42578125" customWidth="1"/>
    <col min="8" max="8" width="65.5703125" customWidth="1"/>
    <col min="9" max="9" width="17.5703125" customWidth="1"/>
    <col min="10" max="10" width="11.42578125" customWidth="1"/>
    <col min="11" max="11" width="65.5703125" customWidth="1"/>
    <col min="12" max="12" width="14.140625" customWidth="1"/>
    <col min="15" max="15" width="15.42578125" bestFit="1" customWidth="1"/>
    <col min="16" max="16" width="21" bestFit="1" customWidth="1"/>
    <col min="17" max="17" width="9.42578125" customWidth="1"/>
    <col min="18" max="22" width="9.5703125" customWidth="1"/>
    <col min="23" max="23" width="13.140625" customWidth="1"/>
    <col min="30" max="30" width="10.42578125" customWidth="1"/>
    <col min="31" max="31" width="10.5703125" customWidth="1"/>
    <col min="34" max="34" width="15.42578125" bestFit="1" customWidth="1"/>
    <col min="35" max="35" width="21" bestFit="1" customWidth="1"/>
    <col min="36" max="37" width="9.5703125" bestFit="1" customWidth="1"/>
    <col min="38" max="38" width="9.5703125" customWidth="1"/>
  </cols>
  <sheetData>
    <row r="1" spans="1:12" ht="20.25" x14ac:dyDescent="0.3">
      <c r="A1" s="4" t="s">
        <v>19</v>
      </c>
      <c r="B1" s="4"/>
      <c r="C1" s="4"/>
      <c r="D1" s="4"/>
      <c r="E1" s="4"/>
      <c r="F1" s="4"/>
      <c r="G1" s="4"/>
      <c r="H1" s="4"/>
      <c r="I1" s="4"/>
      <c r="J1" s="4"/>
      <c r="K1" s="4"/>
      <c r="L1" s="4"/>
    </row>
    <row r="2" spans="1:12" ht="15.75" x14ac:dyDescent="0.25">
      <c r="A2" s="5" t="str">
        <f>IF(title="&gt; Enter workbook title here","Enter workbook title in Cover sheet",title)</f>
        <v>Scottish Fire pension  projection calculator</v>
      </c>
      <c r="B2" s="5"/>
      <c r="C2" s="5"/>
      <c r="D2" s="5"/>
      <c r="E2" s="5"/>
      <c r="F2" s="5"/>
      <c r="G2" s="5"/>
      <c r="H2" s="5"/>
      <c r="I2" s="5"/>
      <c r="J2" s="5"/>
      <c r="K2" s="5"/>
      <c r="L2" s="5"/>
    </row>
    <row r="3" spans="1:12" ht="15.75" x14ac:dyDescent="0.25">
      <c r="A3" s="76" t="s">
        <v>0</v>
      </c>
      <c r="B3" s="6"/>
      <c r="C3" s="6"/>
      <c r="D3" s="6"/>
      <c r="E3" s="6"/>
      <c r="F3" s="6"/>
      <c r="G3" s="6"/>
      <c r="H3" s="6"/>
      <c r="I3" s="6"/>
      <c r="J3" s="6"/>
      <c r="K3" s="6"/>
      <c r="L3" s="6"/>
    </row>
    <row r="4" spans="1:12" x14ac:dyDescent="0.2">
      <c r="A4" s="7" t="str">
        <f ca="1">CELL("filename",A1)</f>
        <v>C:\Users\u205538\Downloads\[NHS_Pension_Calculator_v2.3 22 Dec 2020 (6).xlsx]Version control</v>
      </c>
      <c r="B4" s="7"/>
    </row>
    <row r="5" spans="1:12" x14ac:dyDescent="0.2">
      <c r="E5" s="8"/>
      <c r="F5" s="8"/>
      <c r="G5" s="8"/>
    </row>
    <row r="6" spans="1:12" ht="38.25" x14ac:dyDescent="0.2">
      <c r="A6" s="10" t="s">
        <v>1</v>
      </c>
      <c r="B6" s="10" t="s">
        <v>36</v>
      </c>
      <c r="C6" s="10" t="s">
        <v>8</v>
      </c>
      <c r="D6" s="10" t="s">
        <v>9</v>
      </c>
      <c r="E6" s="10" t="s">
        <v>7</v>
      </c>
      <c r="F6" s="10" t="s">
        <v>10</v>
      </c>
      <c r="G6" s="10" t="s">
        <v>2</v>
      </c>
      <c r="H6" s="10" t="s">
        <v>3</v>
      </c>
      <c r="I6" s="10" t="s">
        <v>6</v>
      </c>
      <c r="J6" s="10" t="s">
        <v>2</v>
      </c>
      <c r="K6" s="10" t="s">
        <v>3</v>
      </c>
      <c r="L6" s="10" t="s">
        <v>15</v>
      </c>
    </row>
    <row r="7" spans="1:12" ht="25.5" x14ac:dyDescent="0.2">
      <c r="A7" s="2" t="s">
        <v>14</v>
      </c>
      <c r="B7" s="2" t="s">
        <v>57</v>
      </c>
      <c r="C7" s="2"/>
      <c r="D7" s="2"/>
      <c r="E7" s="2"/>
      <c r="F7" s="2" t="s">
        <v>58</v>
      </c>
      <c r="G7" s="28">
        <v>41136</v>
      </c>
      <c r="H7" s="2" t="s">
        <v>101</v>
      </c>
      <c r="I7" s="2" t="s">
        <v>91</v>
      </c>
      <c r="J7" s="28">
        <v>41137</v>
      </c>
      <c r="K7" s="2" t="s">
        <v>92</v>
      </c>
      <c r="L7" s="2"/>
    </row>
    <row r="8" spans="1:12" ht="63.75" x14ac:dyDescent="0.2">
      <c r="A8" s="2">
        <v>2</v>
      </c>
      <c r="B8" s="2" t="s">
        <v>85</v>
      </c>
      <c r="C8" s="2"/>
      <c r="D8" s="2"/>
      <c r="E8" s="2"/>
      <c r="F8" s="2" t="s">
        <v>58</v>
      </c>
      <c r="G8" s="28">
        <v>41138</v>
      </c>
      <c r="H8" s="2" t="s">
        <v>102</v>
      </c>
      <c r="I8" s="2" t="s">
        <v>91</v>
      </c>
      <c r="J8" s="28">
        <v>41141</v>
      </c>
      <c r="K8" s="2" t="s">
        <v>93</v>
      </c>
      <c r="L8" s="2" t="s">
        <v>95</v>
      </c>
    </row>
    <row r="9" spans="1:12" ht="51" x14ac:dyDescent="0.2">
      <c r="A9" s="2">
        <v>3</v>
      </c>
      <c r="B9" s="2" t="s">
        <v>88</v>
      </c>
      <c r="C9" s="2"/>
      <c r="D9" s="2"/>
      <c r="E9" s="2"/>
      <c r="F9" s="2" t="s">
        <v>58</v>
      </c>
      <c r="G9" s="28">
        <v>41142</v>
      </c>
      <c r="H9" s="2" t="s">
        <v>103</v>
      </c>
      <c r="I9" s="2" t="s">
        <v>91</v>
      </c>
      <c r="J9" s="28">
        <v>41142</v>
      </c>
      <c r="K9" s="2" t="s">
        <v>94</v>
      </c>
      <c r="L9" s="2"/>
    </row>
    <row r="10" spans="1:12" ht="76.5" x14ac:dyDescent="0.2">
      <c r="A10" s="2">
        <v>4</v>
      </c>
      <c r="B10" s="2" t="s">
        <v>96</v>
      </c>
      <c r="C10" s="2"/>
      <c r="D10" s="2"/>
      <c r="E10" s="2"/>
      <c r="F10" s="2" t="s">
        <v>58</v>
      </c>
      <c r="G10" s="28">
        <v>41142</v>
      </c>
      <c r="H10" s="2" t="s">
        <v>104</v>
      </c>
      <c r="I10" s="2" t="s">
        <v>91</v>
      </c>
      <c r="J10" s="28">
        <v>41142</v>
      </c>
      <c r="K10" s="2" t="s">
        <v>105</v>
      </c>
      <c r="L10" s="2"/>
    </row>
    <row r="11" spans="1:12" ht="25.5" x14ac:dyDescent="0.2">
      <c r="A11" s="2">
        <v>5</v>
      </c>
      <c r="B11" s="2" t="s">
        <v>106</v>
      </c>
      <c r="C11" s="2"/>
      <c r="D11" s="2"/>
      <c r="E11" s="2"/>
      <c r="F11" s="2" t="s">
        <v>58</v>
      </c>
      <c r="G11" s="28">
        <v>41143</v>
      </c>
      <c r="H11" s="2" t="s">
        <v>107</v>
      </c>
      <c r="I11" s="2" t="s">
        <v>91</v>
      </c>
      <c r="J11" s="28">
        <v>41143</v>
      </c>
      <c r="K11" s="2" t="s">
        <v>108</v>
      </c>
      <c r="L11" s="2"/>
    </row>
    <row r="12" spans="1:12" ht="63.75" x14ac:dyDescent="0.2">
      <c r="A12" s="2">
        <v>6</v>
      </c>
      <c r="B12" s="2" t="s">
        <v>109</v>
      </c>
      <c r="C12" s="2"/>
      <c r="D12" s="2"/>
      <c r="E12" s="2"/>
      <c r="F12" s="2" t="s">
        <v>58</v>
      </c>
      <c r="G12" s="28">
        <v>41143</v>
      </c>
      <c r="H12" s="2" t="s">
        <v>111</v>
      </c>
      <c r="I12" s="2" t="s">
        <v>112</v>
      </c>
      <c r="J12" s="28">
        <v>41144</v>
      </c>
      <c r="K12" s="2" t="s">
        <v>113</v>
      </c>
      <c r="L12" s="2"/>
    </row>
    <row r="13" spans="1:12" ht="140.25" x14ac:dyDescent="0.2">
      <c r="A13" s="2">
        <v>7</v>
      </c>
      <c r="B13" s="38" t="s">
        <v>114</v>
      </c>
      <c r="C13" s="2"/>
      <c r="D13" s="2"/>
      <c r="E13" s="2"/>
      <c r="F13" s="2" t="s">
        <v>115</v>
      </c>
      <c r="G13" s="28">
        <v>41144</v>
      </c>
      <c r="H13" s="2" t="s">
        <v>136</v>
      </c>
      <c r="I13" s="2" t="s">
        <v>91</v>
      </c>
      <c r="J13" s="28">
        <v>41145</v>
      </c>
      <c r="K13" s="2" t="s">
        <v>137</v>
      </c>
      <c r="L13" s="2"/>
    </row>
    <row r="14" spans="1:12" ht="38.25" x14ac:dyDescent="0.2">
      <c r="A14" s="2">
        <v>8</v>
      </c>
      <c r="B14" s="38" t="s">
        <v>138</v>
      </c>
      <c r="C14" s="2"/>
      <c r="D14" s="2"/>
      <c r="E14" s="2"/>
      <c r="F14" s="2" t="s">
        <v>139</v>
      </c>
      <c r="G14" s="28">
        <v>41145</v>
      </c>
      <c r="H14" s="2" t="s">
        <v>140</v>
      </c>
      <c r="I14" s="2" t="s">
        <v>91</v>
      </c>
      <c r="J14" s="28">
        <v>41145</v>
      </c>
      <c r="K14" s="2" t="s">
        <v>142</v>
      </c>
      <c r="L14" s="2"/>
    </row>
    <row r="15" spans="1:12" ht="51" x14ac:dyDescent="0.2">
      <c r="A15" s="2">
        <v>9</v>
      </c>
      <c r="B15" s="2" t="s">
        <v>148</v>
      </c>
      <c r="C15" s="2"/>
      <c r="D15" s="2"/>
      <c r="E15" s="2"/>
      <c r="F15" s="2" t="s">
        <v>58</v>
      </c>
      <c r="G15" s="28">
        <v>41145</v>
      </c>
      <c r="H15" s="2" t="s">
        <v>145</v>
      </c>
      <c r="I15" s="2" t="s">
        <v>91</v>
      </c>
      <c r="J15" s="28">
        <v>41145</v>
      </c>
      <c r="K15" s="2" t="s">
        <v>146</v>
      </c>
      <c r="L15" s="2"/>
    </row>
    <row r="16" spans="1:12" ht="38.25" x14ac:dyDescent="0.2">
      <c r="A16" s="2">
        <v>10</v>
      </c>
      <c r="B16" s="2" t="s">
        <v>147</v>
      </c>
      <c r="C16" s="2"/>
      <c r="D16" s="2"/>
      <c r="E16" s="2"/>
      <c r="F16" s="2" t="s">
        <v>58</v>
      </c>
      <c r="G16" s="28">
        <v>41149</v>
      </c>
      <c r="H16" s="2" t="s">
        <v>149</v>
      </c>
      <c r="I16" s="2" t="s">
        <v>91</v>
      </c>
      <c r="J16" s="28">
        <v>41149</v>
      </c>
      <c r="K16" s="2" t="s">
        <v>152</v>
      </c>
      <c r="L16" s="2"/>
    </row>
    <row r="17" spans="1:12" ht="38.25" x14ac:dyDescent="0.2">
      <c r="A17" s="2">
        <v>11</v>
      </c>
      <c r="B17" s="2" t="s">
        <v>150</v>
      </c>
      <c r="C17" s="2"/>
      <c r="D17" s="2"/>
      <c r="E17" s="2"/>
      <c r="F17" s="2" t="s">
        <v>58</v>
      </c>
      <c r="G17" s="28">
        <v>41149</v>
      </c>
      <c r="H17" s="2" t="s">
        <v>151</v>
      </c>
      <c r="I17" s="2" t="s">
        <v>91</v>
      </c>
      <c r="J17" s="28">
        <v>41150</v>
      </c>
      <c r="K17" s="2" t="s">
        <v>160</v>
      </c>
      <c r="L17" s="2"/>
    </row>
    <row r="18" spans="1:12" ht="38.25" x14ac:dyDescent="0.2">
      <c r="A18" s="2">
        <v>12</v>
      </c>
      <c r="B18" s="2" t="s">
        <v>153</v>
      </c>
      <c r="C18" s="2"/>
      <c r="D18" s="2"/>
      <c r="E18" s="2"/>
      <c r="F18" s="2" t="s">
        <v>58</v>
      </c>
      <c r="G18" s="28">
        <v>41150</v>
      </c>
      <c r="H18" s="2" t="s">
        <v>154</v>
      </c>
      <c r="I18" s="2" t="s">
        <v>91</v>
      </c>
      <c r="J18" s="28">
        <v>41150</v>
      </c>
      <c r="K18" s="2" t="s">
        <v>161</v>
      </c>
      <c r="L18" s="2"/>
    </row>
    <row r="19" spans="1:12" ht="63.75" x14ac:dyDescent="0.2">
      <c r="A19" s="2">
        <v>13</v>
      </c>
      <c r="B19" s="2" t="s">
        <v>156</v>
      </c>
      <c r="C19" s="2"/>
      <c r="D19" s="2"/>
      <c r="E19" s="2"/>
      <c r="F19" s="2" t="s">
        <v>58</v>
      </c>
      <c r="G19" s="28">
        <v>41150</v>
      </c>
      <c r="H19" s="2" t="s">
        <v>157</v>
      </c>
      <c r="I19" s="2" t="s">
        <v>91</v>
      </c>
      <c r="J19" s="28">
        <v>41150</v>
      </c>
      <c r="K19" s="2" t="s">
        <v>162</v>
      </c>
      <c r="L19" s="2"/>
    </row>
    <row r="20" spans="1:12" ht="51" x14ac:dyDescent="0.2">
      <c r="A20" s="2">
        <v>14</v>
      </c>
      <c r="B20" s="2" t="s">
        <v>158</v>
      </c>
      <c r="C20" s="2"/>
      <c r="D20" s="2"/>
      <c r="E20" s="2"/>
      <c r="F20" s="2" t="s">
        <v>58</v>
      </c>
      <c r="G20" s="28">
        <v>41150</v>
      </c>
      <c r="H20" s="2" t="s">
        <v>159</v>
      </c>
      <c r="I20" s="2" t="s">
        <v>91</v>
      </c>
      <c r="J20" s="28">
        <v>41150</v>
      </c>
      <c r="K20" s="2" t="s">
        <v>163</v>
      </c>
      <c r="L20" s="2"/>
    </row>
    <row r="21" spans="1:12" ht="80.25" customHeight="1" x14ac:dyDescent="0.2">
      <c r="A21" s="2">
        <v>15</v>
      </c>
      <c r="B21" s="2" t="s">
        <v>164</v>
      </c>
      <c r="C21" s="2"/>
      <c r="D21" s="2"/>
      <c r="E21" s="2"/>
      <c r="F21" s="2" t="s">
        <v>165</v>
      </c>
      <c r="G21" s="28">
        <v>41151</v>
      </c>
      <c r="H21" s="2" t="s">
        <v>169</v>
      </c>
      <c r="I21" s="2" t="s">
        <v>91</v>
      </c>
      <c r="J21" s="28">
        <v>41151</v>
      </c>
      <c r="K21" s="2" t="s">
        <v>108</v>
      </c>
      <c r="L21" s="2"/>
    </row>
    <row r="22" spans="1:12" ht="63.75" x14ac:dyDescent="0.2">
      <c r="A22" s="2">
        <v>16</v>
      </c>
      <c r="B22" s="2" t="s">
        <v>170</v>
      </c>
      <c r="C22" s="2"/>
      <c r="D22" s="2"/>
      <c r="E22" s="2"/>
      <c r="F22" s="2" t="s">
        <v>165</v>
      </c>
      <c r="G22" s="28">
        <v>41151</v>
      </c>
      <c r="H22" s="2" t="s">
        <v>171</v>
      </c>
      <c r="I22" s="2" t="s">
        <v>91</v>
      </c>
      <c r="J22" s="28">
        <v>41151</v>
      </c>
      <c r="K22" s="2" t="s">
        <v>345</v>
      </c>
      <c r="L22" s="2"/>
    </row>
    <row r="23" spans="1:12" ht="36.75" customHeight="1" x14ac:dyDescent="0.2">
      <c r="A23" s="2">
        <v>17</v>
      </c>
      <c r="B23" s="2" t="s">
        <v>173</v>
      </c>
      <c r="C23" s="2"/>
      <c r="D23" s="2"/>
      <c r="E23" s="2"/>
      <c r="F23" s="2" t="s">
        <v>165</v>
      </c>
      <c r="G23" s="28">
        <v>41152</v>
      </c>
      <c r="H23" s="2" t="s">
        <v>174</v>
      </c>
      <c r="I23" s="2" t="s">
        <v>91</v>
      </c>
      <c r="J23" s="28">
        <v>41152</v>
      </c>
      <c r="K23" s="2" t="s">
        <v>175</v>
      </c>
      <c r="L23" s="2"/>
    </row>
    <row r="24" spans="1:12" ht="25.5" x14ac:dyDescent="0.2">
      <c r="A24" s="2">
        <v>18</v>
      </c>
      <c r="B24" s="38" t="s">
        <v>178</v>
      </c>
      <c r="C24" s="2"/>
      <c r="D24" s="2"/>
      <c r="E24" s="2"/>
      <c r="F24" s="2" t="s">
        <v>179</v>
      </c>
      <c r="G24" s="28">
        <v>41152</v>
      </c>
      <c r="H24" s="2" t="s">
        <v>180</v>
      </c>
      <c r="I24" s="2" t="s">
        <v>91</v>
      </c>
      <c r="J24" s="28">
        <v>41155</v>
      </c>
      <c r="K24" s="2" t="s">
        <v>183</v>
      </c>
      <c r="L24" s="2"/>
    </row>
    <row r="25" spans="1:12" ht="25.5" x14ac:dyDescent="0.2">
      <c r="A25" s="2">
        <v>19</v>
      </c>
      <c r="B25" s="38" t="s">
        <v>189</v>
      </c>
      <c r="C25" s="2"/>
      <c r="D25" s="2"/>
      <c r="E25" s="2"/>
      <c r="F25" s="2" t="s">
        <v>179</v>
      </c>
      <c r="G25" s="28">
        <v>41154</v>
      </c>
      <c r="H25" s="2" t="s">
        <v>180</v>
      </c>
      <c r="I25" s="2" t="s">
        <v>91</v>
      </c>
      <c r="J25" s="28">
        <v>41155</v>
      </c>
      <c r="K25" s="2" t="s">
        <v>183</v>
      </c>
      <c r="L25" s="2"/>
    </row>
    <row r="26" spans="1:12" ht="38.25" x14ac:dyDescent="0.2">
      <c r="A26" s="2">
        <v>20</v>
      </c>
      <c r="B26" s="2" t="s">
        <v>190</v>
      </c>
      <c r="C26" s="2"/>
      <c r="D26" s="2"/>
      <c r="E26" s="2"/>
      <c r="F26" s="2" t="s">
        <v>91</v>
      </c>
      <c r="G26" s="28">
        <v>41155</v>
      </c>
      <c r="H26" s="2" t="s">
        <v>188</v>
      </c>
      <c r="I26" s="2" t="s">
        <v>179</v>
      </c>
      <c r="J26" s="28">
        <v>41155</v>
      </c>
      <c r="K26" s="2" t="s">
        <v>194</v>
      </c>
      <c r="L26" s="2"/>
    </row>
    <row r="27" spans="1:12" ht="38.25" x14ac:dyDescent="0.2">
      <c r="A27" s="2">
        <v>21</v>
      </c>
      <c r="B27" s="2" t="s">
        <v>193</v>
      </c>
      <c r="C27" s="2"/>
      <c r="D27" s="2"/>
      <c r="E27" s="2"/>
      <c r="F27" s="2" t="s">
        <v>58</v>
      </c>
      <c r="G27" s="28">
        <v>41163</v>
      </c>
      <c r="H27" s="2" t="s">
        <v>192</v>
      </c>
      <c r="I27" s="2" t="s">
        <v>91</v>
      </c>
      <c r="J27" s="28">
        <v>41163</v>
      </c>
      <c r="K27" s="2" t="s">
        <v>175</v>
      </c>
      <c r="L27" s="2"/>
    </row>
    <row r="28" spans="1:12" ht="63.75" x14ac:dyDescent="0.2">
      <c r="A28" s="2"/>
      <c r="B28" s="2"/>
      <c r="C28" s="2"/>
      <c r="D28" s="2"/>
      <c r="E28" s="2"/>
      <c r="F28" s="2"/>
      <c r="G28" s="2"/>
      <c r="H28" s="2"/>
      <c r="I28" s="2" t="s">
        <v>195</v>
      </c>
      <c r="J28" s="28">
        <v>41171</v>
      </c>
      <c r="K28" s="2" t="s">
        <v>211</v>
      </c>
      <c r="L28" s="2"/>
    </row>
    <row r="29" spans="1:12" ht="38.25" x14ac:dyDescent="0.2">
      <c r="A29" s="2">
        <v>22</v>
      </c>
      <c r="B29" s="2" t="s">
        <v>196</v>
      </c>
      <c r="C29" s="2"/>
      <c r="D29" s="2"/>
      <c r="E29" s="2"/>
      <c r="F29" s="2" t="s">
        <v>58</v>
      </c>
      <c r="G29" s="28">
        <v>41173</v>
      </c>
      <c r="H29" s="2" t="s">
        <v>202</v>
      </c>
      <c r="I29" s="2" t="s">
        <v>91</v>
      </c>
      <c r="J29" s="28">
        <v>41173</v>
      </c>
      <c r="K29" s="2" t="s">
        <v>203</v>
      </c>
      <c r="L29" s="2"/>
    </row>
    <row r="30" spans="1:12" ht="51" x14ac:dyDescent="0.2">
      <c r="A30" s="2">
        <v>23</v>
      </c>
      <c r="B30" s="2" t="s">
        <v>204</v>
      </c>
      <c r="C30" s="2"/>
      <c r="D30" s="2"/>
      <c r="E30" s="2"/>
      <c r="F30" s="2" t="s">
        <v>58</v>
      </c>
      <c r="G30" s="28">
        <v>41173</v>
      </c>
      <c r="H30" s="2" t="s">
        <v>205</v>
      </c>
      <c r="I30" s="2" t="s">
        <v>91</v>
      </c>
      <c r="J30" s="28">
        <v>41176</v>
      </c>
      <c r="K30" s="2" t="s">
        <v>206</v>
      </c>
      <c r="L30" s="2"/>
    </row>
    <row r="31" spans="1:12" ht="25.5" x14ac:dyDescent="0.2">
      <c r="A31" s="2">
        <v>24</v>
      </c>
      <c r="B31" s="2" t="s">
        <v>207</v>
      </c>
      <c r="F31" s="2" t="s">
        <v>58</v>
      </c>
      <c r="G31" s="28">
        <v>41177</v>
      </c>
      <c r="H31" s="2" t="s">
        <v>208</v>
      </c>
      <c r="I31" s="2" t="s">
        <v>91</v>
      </c>
      <c r="J31" s="28">
        <v>41179</v>
      </c>
      <c r="K31" s="2" t="s">
        <v>175</v>
      </c>
    </row>
    <row r="32" spans="1:12" ht="51" x14ac:dyDescent="0.2">
      <c r="F32" s="2" t="s">
        <v>91</v>
      </c>
      <c r="G32" s="28">
        <v>41180</v>
      </c>
      <c r="H32" s="2" t="s">
        <v>210</v>
      </c>
      <c r="I32" s="2" t="s">
        <v>212</v>
      </c>
      <c r="J32" s="8">
        <v>41183</v>
      </c>
      <c r="K32" s="2" t="s">
        <v>346</v>
      </c>
    </row>
    <row r="33" spans="1:11" ht="25.5" x14ac:dyDescent="0.2">
      <c r="F33" s="2" t="s">
        <v>212</v>
      </c>
      <c r="G33" s="63">
        <v>41183</v>
      </c>
      <c r="H33" s="2" t="s">
        <v>214</v>
      </c>
      <c r="I33" s="2" t="s">
        <v>91</v>
      </c>
      <c r="J33" s="8">
        <v>41183</v>
      </c>
      <c r="K33" s="2" t="s">
        <v>215</v>
      </c>
    </row>
    <row r="34" spans="1:11" ht="38.25" x14ac:dyDescent="0.2">
      <c r="A34" s="2">
        <v>25</v>
      </c>
      <c r="B34" s="2" t="s">
        <v>216</v>
      </c>
      <c r="F34" s="2" t="s">
        <v>58</v>
      </c>
      <c r="G34" s="8">
        <v>41184</v>
      </c>
      <c r="H34" s="2" t="s">
        <v>217</v>
      </c>
      <c r="I34" s="2" t="s">
        <v>91</v>
      </c>
      <c r="J34" s="8">
        <v>40910</v>
      </c>
      <c r="K34" s="2" t="s">
        <v>175</v>
      </c>
    </row>
    <row r="35" spans="1:11" ht="89.25" x14ac:dyDescent="0.2">
      <c r="A35" s="2">
        <v>26</v>
      </c>
      <c r="B35" s="38" t="s">
        <v>218</v>
      </c>
      <c r="F35" s="2" t="s">
        <v>219</v>
      </c>
      <c r="G35" s="8">
        <v>41619</v>
      </c>
      <c r="H35" s="40" t="s">
        <v>220</v>
      </c>
    </row>
    <row r="36" spans="1:11" ht="51" x14ac:dyDescent="0.2">
      <c r="F36" s="2" t="s">
        <v>219</v>
      </c>
      <c r="G36" s="8">
        <v>41619</v>
      </c>
      <c r="H36" s="2" t="s">
        <v>221</v>
      </c>
      <c r="I36" s="2" t="s">
        <v>222</v>
      </c>
      <c r="J36" s="8">
        <v>41620</v>
      </c>
    </row>
    <row r="37" spans="1:11" ht="25.5" x14ac:dyDescent="0.2">
      <c r="A37">
        <v>27</v>
      </c>
      <c r="B37" s="35" t="s">
        <v>223</v>
      </c>
      <c r="F37" s="2" t="s">
        <v>222</v>
      </c>
      <c r="G37" s="8">
        <v>41626</v>
      </c>
      <c r="H37" s="2" t="s">
        <v>224</v>
      </c>
      <c r="I37" s="2" t="s">
        <v>229</v>
      </c>
      <c r="J37" s="8">
        <v>41626</v>
      </c>
      <c r="K37" s="2" t="s">
        <v>230</v>
      </c>
    </row>
    <row r="38" spans="1:11" ht="51" x14ac:dyDescent="0.2">
      <c r="A38">
        <v>28</v>
      </c>
      <c r="B38" s="39" t="s">
        <v>231</v>
      </c>
      <c r="F38" s="2" t="s">
        <v>229</v>
      </c>
      <c r="G38" s="8">
        <v>41626</v>
      </c>
      <c r="H38" s="2" t="s">
        <v>232</v>
      </c>
      <c r="I38" s="2" t="s">
        <v>222</v>
      </c>
      <c r="J38" s="8">
        <v>41626</v>
      </c>
    </row>
    <row r="39" spans="1:11" ht="38.25" x14ac:dyDescent="0.2">
      <c r="A39">
        <v>29</v>
      </c>
      <c r="B39" s="35" t="s">
        <v>233</v>
      </c>
      <c r="F39" s="2" t="s">
        <v>222</v>
      </c>
      <c r="G39" s="8">
        <v>41627</v>
      </c>
      <c r="H39" s="2" t="s">
        <v>238</v>
      </c>
      <c r="I39" s="2" t="s">
        <v>229</v>
      </c>
      <c r="J39" s="8">
        <v>41642</v>
      </c>
      <c r="K39" s="2" t="s">
        <v>237</v>
      </c>
    </row>
    <row r="40" spans="1:11" ht="25.5" x14ac:dyDescent="0.2">
      <c r="A40">
        <v>30</v>
      </c>
      <c r="B40" s="35" t="s">
        <v>239</v>
      </c>
      <c r="F40" s="2" t="s">
        <v>222</v>
      </c>
      <c r="G40" s="8">
        <v>41647</v>
      </c>
      <c r="H40" s="2" t="s">
        <v>240</v>
      </c>
      <c r="I40" s="2" t="s">
        <v>229</v>
      </c>
      <c r="J40" s="8">
        <v>41647</v>
      </c>
      <c r="K40" s="2" t="s">
        <v>241</v>
      </c>
    </row>
    <row r="41" spans="1:11" ht="38.25" x14ac:dyDescent="0.2">
      <c r="A41">
        <v>31</v>
      </c>
      <c r="B41" s="66" t="s">
        <v>242</v>
      </c>
      <c r="F41" s="2" t="s">
        <v>229</v>
      </c>
      <c r="G41" s="8">
        <v>41648</v>
      </c>
      <c r="H41" s="2" t="s">
        <v>243</v>
      </c>
    </row>
    <row r="42" spans="1:11" s="71" customFormat="1" ht="165.75" x14ac:dyDescent="0.2">
      <c r="A42" s="70" t="s">
        <v>248</v>
      </c>
      <c r="B42" s="72" t="s">
        <v>249</v>
      </c>
      <c r="F42" s="70" t="s">
        <v>250</v>
      </c>
      <c r="G42" s="73">
        <v>42635</v>
      </c>
      <c r="H42" s="74" t="s">
        <v>263</v>
      </c>
      <c r="I42" s="85" t="s">
        <v>265</v>
      </c>
      <c r="J42" s="86">
        <v>42640</v>
      </c>
      <c r="K42" s="84" t="s">
        <v>266</v>
      </c>
    </row>
    <row r="43" spans="1:11" ht="369.75" x14ac:dyDescent="0.2">
      <c r="A43" t="s">
        <v>294</v>
      </c>
      <c r="B43" s="35" t="s">
        <v>295</v>
      </c>
      <c r="F43" s="2" t="s">
        <v>250</v>
      </c>
      <c r="G43" s="168">
        <v>42656</v>
      </c>
      <c r="H43" s="40" t="s">
        <v>296</v>
      </c>
    </row>
    <row r="44" spans="1:11" ht="89.25" x14ac:dyDescent="0.2">
      <c r="A44" t="s">
        <v>304</v>
      </c>
      <c r="B44" s="35" t="s">
        <v>305</v>
      </c>
      <c r="F44" s="2" t="s">
        <v>306</v>
      </c>
      <c r="G44" s="8">
        <v>42661</v>
      </c>
      <c r="H44" s="40" t="s">
        <v>307</v>
      </c>
    </row>
    <row r="45" spans="1:11" ht="25.5" x14ac:dyDescent="0.2">
      <c r="B45" s="35"/>
      <c r="F45" s="2"/>
      <c r="G45" s="8"/>
      <c r="H45" s="2" t="s">
        <v>311</v>
      </c>
    </row>
    <row r="46" spans="1:11" ht="25.5" x14ac:dyDescent="0.2">
      <c r="B46" s="35"/>
      <c r="F46" s="2"/>
      <c r="G46" s="8"/>
      <c r="H46" s="2" t="s">
        <v>312</v>
      </c>
    </row>
    <row r="47" spans="1:11" x14ac:dyDescent="0.2">
      <c r="B47" s="35"/>
      <c r="F47" s="2"/>
      <c r="G47" s="8"/>
      <c r="H47" s="2" t="s">
        <v>313</v>
      </c>
    </row>
    <row r="48" spans="1:11" ht="25.5" x14ac:dyDescent="0.2">
      <c r="B48" s="35"/>
      <c r="F48" s="2"/>
      <c r="G48" s="8"/>
      <c r="H48" s="2" t="s">
        <v>314</v>
      </c>
    </row>
    <row r="49" spans="1:11" ht="51" x14ac:dyDescent="0.2">
      <c r="B49" s="35"/>
      <c r="F49" s="2"/>
      <c r="G49" s="8"/>
      <c r="H49" s="2" t="s">
        <v>315</v>
      </c>
    </row>
    <row r="50" spans="1:11" ht="25.5" x14ac:dyDescent="0.2">
      <c r="B50" s="35"/>
      <c r="F50" s="2"/>
      <c r="G50" s="8"/>
      <c r="H50" s="2" t="s">
        <v>316</v>
      </c>
    </row>
    <row r="51" spans="1:11" ht="216.75" x14ac:dyDescent="0.2">
      <c r="A51" s="29" t="s">
        <v>308</v>
      </c>
      <c r="B51" s="35" t="s">
        <v>309</v>
      </c>
      <c r="F51" s="2" t="s">
        <v>250</v>
      </c>
      <c r="G51" s="8">
        <v>42662</v>
      </c>
      <c r="H51" s="40" t="s">
        <v>310</v>
      </c>
    </row>
    <row r="52" spans="1:11" ht="408" x14ac:dyDescent="0.2">
      <c r="A52" s="29" t="s">
        <v>319</v>
      </c>
      <c r="B52" s="35" t="s">
        <v>320</v>
      </c>
      <c r="F52" s="29" t="s">
        <v>250</v>
      </c>
      <c r="G52" s="8">
        <v>42664</v>
      </c>
      <c r="H52" s="40" t="s">
        <v>322</v>
      </c>
      <c r="I52" t="s">
        <v>265</v>
      </c>
      <c r="J52" s="8">
        <v>42678</v>
      </c>
      <c r="K52" s="181" t="s">
        <v>327</v>
      </c>
    </row>
    <row r="53" spans="1:11" ht="204" x14ac:dyDescent="0.2">
      <c r="A53" t="s">
        <v>323</v>
      </c>
      <c r="B53" s="35" t="s">
        <v>324</v>
      </c>
      <c r="F53" t="s">
        <v>250</v>
      </c>
      <c r="G53" s="8">
        <v>42671</v>
      </c>
      <c r="H53" s="40" t="s">
        <v>328</v>
      </c>
      <c r="K53" s="181" t="s">
        <v>329</v>
      </c>
    </row>
    <row r="54" spans="1:11" ht="38.25" x14ac:dyDescent="0.2">
      <c r="K54" s="39" t="s">
        <v>330</v>
      </c>
    </row>
    <row r="55" spans="1:11" ht="409.5" x14ac:dyDescent="0.2">
      <c r="A55" t="s">
        <v>334</v>
      </c>
      <c r="B55" s="35" t="s">
        <v>335</v>
      </c>
      <c r="F55" s="2" t="s">
        <v>250</v>
      </c>
      <c r="G55" s="8">
        <v>42683</v>
      </c>
      <c r="H55" s="181" t="s">
        <v>340</v>
      </c>
      <c r="I55" t="s">
        <v>352</v>
      </c>
      <c r="J55" s="8">
        <v>42695</v>
      </c>
      <c r="K55" s="39" t="s">
        <v>353</v>
      </c>
    </row>
    <row r="56" spans="1:11" ht="153" x14ac:dyDescent="0.2">
      <c r="A56" t="s">
        <v>343</v>
      </c>
      <c r="B56" s="35" t="s">
        <v>344</v>
      </c>
      <c r="F56" t="s">
        <v>250</v>
      </c>
      <c r="G56" s="8">
        <v>42690</v>
      </c>
      <c r="H56" s="40" t="s">
        <v>347</v>
      </c>
      <c r="I56" t="s">
        <v>352</v>
      </c>
      <c r="J56" s="8">
        <v>42695</v>
      </c>
      <c r="K56" s="39" t="s">
        <v>353</v>
      </c>
    </row>
    <row r="57" spans="1:11" ht="255" x14ac:dyDescent="0.2">
      <c r="A57" t="s">
        <v>348</v>
      </c>
      <c r="B57" s="35" t="s">
        <v>349</v>
      </c>
      <c r="F57" t="s">
        <v>250</v>
      </c>
      <c r="G57" s="8">
        <v>42695</v>
      </c>
      <c r="H57" s="40" t="s">
        <v>354</v>
      </c>
      <c r="I57" t="s">
        <v>352</v>
      </c>
      <c r="J57" s="8">
        <v>42696</v>
      </c>
      <c r="K57" s="39" t="s">
        <v>353</v>
      </c>
    </row>
    <row r="58" spans="1:11" ht="102" x14ac:dyDescent="0.2">
      <c r="A58" s="29" t="s">
        <v>356</v>
      </c>
      <c r="B58" s="35" t="s">
        <v>357</v>
      </c>
      <c r="F58" s="29" t="s">
        <v>250</v>
      </c>
      <c r="G58" s="8">
        <v>42703</v>
      </c>
      <c r="H58" s="40" t="s">
        <v>358</v>
      </c>
    </row>
    <row r="59" spans="1:11" ht="357" x14ac:dyDescent="0.2">
      <c r="A59" s="29" t="s">
        <v>360</v>
      </c>
      <c r="B59" s="35" t="s">
        <v>361</v>
      </c>
      <c r="F59" s="29" t="s">
        <v>250</v>
      </c>
      <c r="G59" s="8">
        <v>42706</v>
      </c>
      <c r="H59" s="40" t="s">
        <v>372</v>
      </c>
    </row>
    <row r="60" spans="1:11" ht="25.5" x14ac:dyDescent="0.2">
      <c r="H60" s="40" t="s">
        <v>364</v>
      </c>
      <c r="I60" t="s">
        <v>352</v>
      </c>
      <c r="J60" s="8">
        <v>42710</v>
      </c>
      <c r="K60" s="39" t="s">
        <v>376</v>
      </c>
    </row>
    <row r="61" spans="1:11" ht="25.5" x14ac:dyDescent="0.2">
      <c r="H61" s="66" t="s">
        <v>365</v>
      </c>
    </row>
    <row r="62" spans="1:11" ht="255" x14ac:dyDescent="0.2">
      <c r="A62" s="29" t="s">
        <v>377</v>
      </c>
      <c r="B62" s="35" t="s">
        <v>378</v>
      </c>
      <c r="F62" s="29" t="s">
        <v>250</v>
      </c>
      <c r="G62" s="8">
        <v>42710</v>
      </c>
      <c r="H62" s="201" t="s">
        <v>382</v>
      </c>
    </row>
    <row r="63" spans="1:11" ht="51" x14ac:dyDescent="0.2">
      <c r="A63" s="29" t="s">
        <v>386</v>
      </c>
      <c r="B63" s="35" t="s">
        <v>387</v>
      </c>
      <c r="F63" s="29" t="s">
        <v>250</v>
      </c>
      <c r="G63" s="8">
        <v>42719</v>
      </c>
      <c r="H63" s="40" t="s">
        <v>388</v>
      </c>
      <c r="I63" s="29" t="s">
        <v>352</v>
      </c>
      <c r="J63" s="8">
        <v>42720</v>
      </c>
      <c r="K63" s="29" t="s">
        <v>389</v>
      </c>
    </row>
    <row r="64" spans="1:11" ht="89.25" x14ac:dyDescent="0.2">
      <c r="A64" s="29" t="s">
        <v>390</v>
      </c>
      <c r="B64" s="35" t="s">
        <v>391</v>
      </c>
      <c r="F64" s="29" t="s">
        <v>306</v>
      </c>
      <c r="G64" s="8">
        <v>42720</v>
      </c>
      <c r="H64" s="181" t="s">
        <v>392</v>
      </c>
    </row>
    <row r="65" spans="1:12" ht="38.25" x14ac:dyDescent="0.2">
      <c r="F65" s="29" t="s">
        <v>306</v>
      </c>
      <c r="G65" s="8">
        <v>42725</v>
      </c>
      <c r="H65" s="181" t="s">
        <v>393</v>
      </c>
      <c r="I65" s="29" t="s">
        <v>250</v>
      </c>
      <c r="J65" s="8">
        <v>42725</v>
      </c>
      <c r="K65" s="29" t="s">
        <v>394</v>
      </c>
    </row>
    <row r="66" spans="1:12" ht="38.25" x14ac:dyDescent="0.2">
      <c r="A66" s="29" t="s">
        <v>395</v>
      </c>
      <c r="B66" s="35" t="s">
        <v>396</v>
      </c>
      <c r="F66" s="29" t="s">
        <v>250</v>
      </c>
      <c r="G66" s="8">
        <v>42738</v>
      </c>
      <c r="H66" s="40" t="s">
        <v>397</v>
      </c>
      <c r="I66" s="29" t="s">
        <v>352</v>
      </c>
      <c r="J66" s="8">
        <v>42740</v>
      </c>
      <c r="K66" s="181" t="s">
        <v>398</v>
      </c>
    </row>
    <row r="67" spans="1:12" ht="178.5" x14ac:dyDescent="0.2">
      <c r="A67" s="29" t="s">
        <v>406</v>
      </c>
      <c r="B67" s="35" t="s">
        <v>407</v>
      </c>
      <c r="F67" s="29" t="s">
        <v>250</v>
      </c>
      <c r="G67" s="8">
        <v>42747</v>
      </c>
      <c r="H67" s="40" t="s">
        <v>410</v>
      </c>
      <c r="I67" s="29" t="s">
        <v>352</v>
      </c>
      <c r="J67" s="8">
        <v>42748</v>
      </c>
      <c r="K67" s="29" t="s">
        <v>411</v>
      </c>
    </row>
    <row r="68" spans="1:12" x14ac:dyDescent="0.2">
      <c r="E68" t="s">
        <v>419</v>
      </c>
      <c r="F68" s="29" t="s">
        <v>352</v>
      </c>
      <c r="G68" s="8">
        <v>42767</v>
      </c>
      <c r="H68" s="181" t="s">
        <v>412</v>
      </c>
      <c r="I68" s="29" t="s">
        <v>415</v>
      </c>
      <c r="J68" s="8">
        <v>42769</v>
      </c>
      <c r="K68" s="29" t="s">
        <v>416</v>
      </c>
    </row>
    <row r="69" spans="1:12" ht="38.25" x14ac:dyDescent="0.2">
      <c r="H69" s="181" t="s">
        <v>413</v>
      </c>
      <c r="K69" s="181" t="s">
        <v>418</v>
      </c>
    </row>
    <row r="70" spans="1:12" ht="25.5" x14ac:dyDescent="0.2">
      <c r="H70" s="181" t="s">
        <v>414</v>
      </c>
      <c r="K70" s="29" t="s">
        <v>417</v>
      </c>
    </row>
    <row r="71" spans="1:12" ht="25.5" x14ac:dyDescent="0.2">
      <c r="A71" t="s">
        <v>419</v>
      </c>
      <c r="F71" t="s">
        <v>352</v>
      </c>
      <c r="G71" s="8">
        <v>42782</v>
      </c>
      <c r="H71" s="181" t="s">
        <v>420</v>
      </c>
      <c r="I71" s="29" t="s">
        <v>250</v>
      </c>
      <c r="J71" s="8">
        <v>42790</v>
      </c>
      <c r="K71" s="29" t="s">
        <v>416</v>
      </c>
    </row>
    <row r="72" spans="1:12" ht="51" x14ac:dyDescent="0.2">
      <c r="A72" t="s">
        <v>419</v>
      </c>
      <c r="F72" t="s">
        <v>352</v>
      </c>
      <c r="G72" s="8">
        <v>42782</v>
      </c>
      <c r="H72" s="181" t="s">
        <v>423</v>
      </c>
      <c r="K72" s="29" t="s">
        <v>430</v>
      </c>
    </row>
    <row r="73" spans="1:12" ht="25.5" x14ac:dyDescent="0.2">
      <c r="A73" t="s">
        <v>419</v>
      </c>
      <c r="F73" t="s">
        <v>352</v>
      </c>
      <c r="G73" s="8">
        <v>42782</v>
      </c>
      <c r="H73" s="181" t="s">
        <v>422</v>
      </c>
      <c r="K73" s="181" t="s">
        <v>429</v>
      </c>
    </row>
    <row r="74" spans="1:12" ht="25.5" x14ac:dyDescent="0.2">
      <c r="A74" t="s">
        <v>419</v>
      </c>
      <c r="F74" t="s">
        <v>352</v>
      </c>
      <c r="G74" s="8">
        <v>42782</v>
      </c>
      <c r="H74" s="181" t="s">
        <v>421</v>
      </c>
      <c r="K74" s="29" t="s">
        <v>416</v>
      </c>
    </row>
    <row r="75" spans="1:12" ht="63.75" x14ac:dyDescent="0.2">
      <c r="A75" s="29" t="s">
        <v>425</v>
      </c>
      <c r="F75" s="29" t="s">
        <v>352</v>
      </c>
      <c r="G75" s="8">
        <v>42790</v>
      </c>
      <c r="H75" s="181" t="s">
        <v>426</v>
      </c>
      <c r="I75" s="29" t="s">
        <v>250</v>
      </c>
      <c r="J75" s="8">
        <v>42790</v>
      </c>
      <c r="K75" s="29" t="s">
        <v>427</v>
      </c>
    </row>
    <row r="76" spans="1:12" ht="76.5" x14ac:dyDescent="0.2">
      <c r="A76" s="29" t="s">
        <v>432</v>
      </c>
      <c r="F76" s="29" t="s">
        <v>250</v>
      </c>
      <c r="G76" s="8">
        <v>42794</v>
      </c>
      <c r="H76" s="181" t="s">
        <v>433</v>
      </c>
    </row>
    <row r="77" spans="1:12" s="222" customFormat="1" ht="76.5" x14ac:dyDescent="0.2">
      <c r="A77" s="221" t="s">
        <v>446</v>
      </c>
      <c r="F77" s="221" t="s">
        <v>250</v>
      </c>
      <c r="G77" s="223">
        <v>42801</v>
      </c>
      <c r="H77" s="224" t="s">
        <v>448</v>
      </c>
      <c r="I77" s="222" t="s">
        <v>449</v>
      </c>
      <c r="J77" s="223">
        <v>42801</v>
      </c>
      <c r="K77" s="222" t="s">
        <v>450</v>
      </c>
    </row>
    <row r="78" spans="1:12" ht="293.25" x14ac:dyDescent="0.2">
      <c r="A78" s="26" t="s">
        <v>494</v>
      </c>
      <c r="F78" s="26" t="s">
        <v>250</v>
      </c>
      <c r="G78" s="8">
        <v>42801</v>
      </c>
      <c r="H78" s="40" t="s">
        <v>471</v>
      </c>
      <c r="I78" t="s">
        <v>306</v>
      </c>
      <c r="J78" s="8">
        <v>42863</v>
      </c>
      <c r="K78" s="239" t="s">
        <v>516</v>
      </c>
    </row>
    <row r="79" spans="1:12" ht="191.25" x14ac:dyDescent="0.2">
      <c r="A79" s="26" t="s">
        <v>248</v>
      </c>
      <c r="F79" s="26" t="s">
        <v>250</v>
      </c>
      <c r="G79" s="8">
        <v>42802</v>
      </c>
      <c r="H79" s="2" t="s">
        <v>495</v>
      </c>
      <c r="I79" t="s">
        <v>306</v>
      </c>
      <c r="J79" s="8">
        <v>42866</v>
      </c>
      <c r="K79" s="239" t="s">
        <v>519</v>
      </c>
      <c r="L79" t="s">
        <v>520</v>
      </c>
    </row>
    <row r="80" spans="1:12" ht="25.5" x14ac:dyDescent="0.2">
      <c r="F80" s="26" t="s">
        <v>306</v>
      </c>
      <c r="G80" s="8">
        <v>42866</v>
      </c>
      <c r="H80" s="39" t="s">
        <v>491</v>
      </c>
      <c r="I80" s="29" t="s">
        <v>250</v>
      </c>
      <c r="J80" s="8">
        <v>42887</v>
      </c>
      <c r="K80" s="26" t="s">
        <v>500</v>
      </c>
    </row>
    <row r="81" spans="1:11" ht="89.25" x14ac:dyDescent="0.2">
      <c r="F81" s="26" t="s">
        <v>306</v>
      </c>
      <c r="G81" s="8">
        <v>42866</v>
      </c>
      <c r="H81" s="181" t="s">
        <v>492</v>
      </c>
      <c r="K81" s="239" t="s">
        <v>515</v>
      </c>
    </row>
    <row r="82" spans="1:11" ht="25.5" x14ac:dyDescent="0.2">
      <c r="H82" s="181" t="s">
        <v>493</v>
      </c>
    </row>
    <row r="83" spans="1:11" ht="114.75" x14ac:dyDescent="0.2">
      <c r="A83" s="29" t="s">
        <v>470</v>
      </c>
      <c r="F83" s="29" t="s">
        <v>250</v>
      </c>
      <c r="G83" s="8">
        <v>42887</v>
      </c>
      <c r="H83" s="40" t="s">
        <v>507</v>
      </c>
      <c r="K83" s="239" t="s">
        <v>521</v>
      </c>
    </row>
    <row r="84" spans="1:11" ht="25.5" x14ac:dyDescent="0.2">
      <c r="H84" s="40" t="s">
        <v>504</v>
      </c>
      <c r="K84" t="s">
        <v>532</v>
      </c>
    </row>
    <row r="85" spans="1:11" ht="25.5" x14ac:dyDescent="0.2">
      <c r="H85" s="40" t="s">
        <v>505</v>
      </c>
      <c r="K85" t="s">
        <v>532</v>
      </c>
    </row>
    <row r="86" spans="1:11" ht="25.5" x14ac:dyDescent="0.2">
      <c r="H86" s="40" t="s">
        <v>506</v>
      </c>
      <c r="K86" s="181" t="s">
        <v>534</v>
      </c>
    </row>
    <row r="87" spans="1:11" ht="38.25" x14ac:dyDescent="0.2">
      <c r="H87" s="40" t="s">
        <v>509</v>
      </c>
      <c r="K87" s="29" t="s">
        <v>532</v>
      </c>
    </row>
    <row r="88" spans="1:11" ht="38.25" x14ac:dyDescent="0.2">
      <c r="H88" s="181" t="s">
        <v>510</v>
      </c>
      <c r="K88" s="29" t="s">
        <v>532</v>
      </c>
    </row>
    <row r="89" spans="1:11" ht="38.25" x14ac:dyDescent="0.2">
      <c r="H89" s="40" t="s">
        <v>511</v>
      </c>
      <c r="K89" s="29" t="s">
        <v>532</v>
      </c>
    </row>
    <row r="90" spans="1:11" ht="63.75" x14ac:dyDescent="0.2">
      <c r="H90" s="40" t="s">
        <v>513</v>
      </c>
      <c r="K90" s="29" t="s">
        <v>532</v>
      </c>
    </row>
    <row r="91" spans="1:11" ht="38.25" x14ac:dyDescent="0.2">
      <c r="H91" s="40" t="s">
        <v>514</v>
      </c>
      <c r="K91" s="29" t="s">
        <v>532</v>
      </c>
    </row>
    <row r="92" spans="1:11" x14ac:dyDescent="0.2">
      <c r="F92" t="s">
        <v>517</v>
      </c>
      <c r="G92" s="8">
        <v>42902</v>
      </c>
      <c r="H92" s="181" t="s">
        <v>518</v>
      </c>
      <c r="K92" s="29" t="s">
        <v>537</v>
      </c>
    </row>
    <row r="93" spans="1:11" ht="51" x14ac:dyDescent="0.2">
      <c r="H93" s="181" t="s">
        <v>533</v>
      </c>
      <c r="K93" s="181" t="s">
        <v>540</v>
      </c>
    </row>
    <row r="94" spans="1:11" ht="89.25" x14ac:dyDescent="0.2">
      <c r="F94" t="s">
        <v>250</v>
      </c>
      <c r="G94" s="8">
        <v>42913</v>
      </c>
      <c r="H94" s="40" t="s">
        <v>538</v>
      </c>
      <c r="I94" t="s">
        <v>517</v>
      </c>
      <c r="J94" t="s">
        <v>539</v>
      </c>
      <c r="K94" s="29" t="s">
        <v>532</v>
      </c>
    </row>
    <row r="95" spans="1:11" x14ac:dyDescent="0.2">
      <c r="F95" t="s">
        <v>542</v>
      </c>
      <c r="G95" s="8">
        <v>42915</v>
      </c>
      <c r="H95" s="181" t="s">
        <v>543</v>
      </c>
    </row>
    <row r="96" spans="1:11" ht="25.5" x14ac:dyDescent="0.2">
      <c r="F96" t="s">
        <v>542</v>
      </c>
      <c r="G96" s="8">
        <v>42919</v>
      </c>
      <c r="H96" s="181" t="s">
        <v>548</v>
      </c>
    </row>
    <row r="97" spans="6:11" ht="38.25" x14ac:dyDescent="0.2">
      <c r="F97" s="83" t="s">
        <v>352</v>
      </c>
      <c r="G97" s="640">
        <v>43026</v>
      </c>
      <c r="H97" s="594" t="s">
        <v>744</v>
      </c>
      <c r="I97" s="29" t="s">
        <v>746</v>
      </c>
      <c r="J97" s="8">
        <v>43026</v>
      </c>
      <c r="K97" s="29" t="s">
        <v>747</v>
      </c>
    </row>
    <row r="98" spans="6:11" ht="25.5" x14ac:dyDescent="0.2">
      <c r="F98" s="83" t="s">
        <v>352</v>
      </c>
      <c r="G98" s="640">
        <v>43026</v>
      </c>
      <c r="H98" s="594" t="s">
        <v>745</v>
      </c>
      <c r="I98" s="29" t="s">
        <v>746</v>
      </c>
      <c r="J98" s="8">
        <v>43026</v>
      </c>
      <c r="K98" s="29" t="s">
        <v>748</v>
      </c>
    </row>
    <row r="100" spans="6:11" x14ac:dyDescent="0.2">
      <c r="F100" s="29" t="s">
        <v>752</v>
      </c>
      <c r="G100" s="8">
        <v>43038</v>
      </c>
      <c r="H100" s="29" t="s">
        <v>753</v>
      </c>
    </row>
    <row r="101" spans="6:11" x14ac:dyDescent="0.2">
      <c r="F101" s="29" t="s">
        <v>771</v>
      </c>
      <c r="G101" s="8">
        <v>43182</v>
      </c>
      <c r="H101" s="29" t="s">
        <v>772</v>
      </c>
    </row>
    <row r="102" spans="6:11" ht="25.5" x14ac:dyDescent="0.2">
      <c r="F102" s="29" t="s">
        <v>517</v>
      </c>
      <c r="G102" s="8">
        <v>43235</v>
      </c>
      <c r="H102" s="181" t="s">
        <v>775</v>
      </c>
      <c r="I102" t="s">
        <v>777</v>
      </c>
      <c r="K102" t="s">
        <v>778</v>
      </c>
    </row>
    <row r="103" spans="6:11" ht="63.75" x14ac:dyDescent="0.2">
      <c r="F103" s="29" t="s">
        <v>771</v>
      </c>
      <c r="G103" s="8">
        <v>43237</v>
      </c>
      <c r="H103" s="181" t="s">
        <v>780</v>
      </c>
      <c r="I103" t="s">
        <v>352</v>
      </c>
      <c r="K103" s="181" t="s">
        <v>782</v>
      </c>
    </row>
    <row r="104" spans="6:11" ht="25.5" x14ac:dyDescent="0.2">
      <c r="F104" s="29" t="s">
        <v>352</v>
      </c>
      <c r="G104" s="8">
        <v>43327</v>
      </c>
      <c r="H104" s="181" t="s">
        <v>783</v>
      </c>
    </row>
    <row r="105" spans="6:11" ht="76.5" x14ac:dyDescent="0.2">
      <c r="F105" s="29" t="s">
        <v>787</v>
      </c>
      <c r="G105" s="8">
        <v>44126</v>
      </c>
      <c r="H105" s="181" t="s">
        <v>789</v>
      </c>
      <c r="I105" s="29" t="s">
        <v>790</v>
      </c>
      <c r="J105" s="8">
        <v>44163</v>
      </c>
      <c r="K105" s="181" t="s">
        <v>791</v>
      </c>
    </row>
  </sheetData>
  <phoneticPr fontId="2" type="noConversion"/>
  <hyperlinks>
    <hyperlink ref="B13" r:id="rId1"/>
    <hyperlink ref="B14" r:id="rId2"/>
    <hyperlink ref="B24" r:id="rId3"/>
    <hyperlink ref="B25" r:id="rId4"/>
    <hyperlink ref="B35" r:id="rId5"/>
    <hyperlink ref="B37" r:id="rId6"/>
    <hyperlink ref="B39" r:id="rId7"/>
    <hyperlink ref="B40" r:id="rId8"/>
    <hyperlink ref="B42" r:id="rId9"/>
    <hyperlink ref="B43" r:id="rId10"/>
    <hyperlink ref="B44" r:id="rId11"/>
    <hyperlink ref="B51" r:id="rId12"/>
    <hyperlink ref="B52" r:id="rId13"/>
    <hyperlink ref="B53" r:id="rId14"/>
    <hyperlink ref="B55" r:id="rId15"/>
    <hyperlink ref="B56" r:id="rId16"/>
    <hyperlink ref="B57" r:id="rId17"/>
    <hyperlink ref="B58" r:id="rId18"/>
    <hyperlink ref="B59" r:id="rId19"/>
    <hyperlink ref="H61" r:id="rId20"/>
    <hyperlink ref="B62" r:id="rId21"/>
    <hyperlink ref="B63" r:id="rId22"/>
    <hyperlink ref="B64" r:id="rId23"/>
    <hyperlink ref="B66" r:id="rId24"/>
    <hyperlink ref="B67" r:id="rId25"/>
  </hyperlinks>
  <pageMargins left="0.74803149606299213" right="0.74803149606299213" top="0.98425196850393704" bottom="0.98425196850393704" header="0.51181102362204722" footer="0.51181102362204722"/>
  <pageSetup paperSize="9" scale="58" fitToWidth="2" orientation="landscape" r:id="rId26"/>
  <headerFooter alignWithMargins="0">
    <oddHeader>&amp;L&amp;Z&amp;F  [&amp;A]</oddHeader>
    <oddFooter>&amp;LPage &amp;P of &amp;N&amp;R&amp;T &amp;D</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2:P204"/>
  <sheetViews>
    <sheetView tabSelected="1" zoomScale="85" zoomScaleNormal="85" workbookViewId="0">
      <selection activeCell="F92" sqref="F92:H93"/>
    </sheetView>
  </sheetViews>
  <sheetFormatPr defaultColWidth="9.140625" defaultRowHeight="12.75" x14ac:dyDescent="0.2"/>
  <cols>
    <col min="1" max="1" width="6.5703125" style="47" customWidth="1"/>
    <col min="2" max="2" width="12.5703125" style="48" customWidth="1"/>
    <col min="3" max="3" width="12.140625" style="47" customWidth="1"/>
    <col min="4" max="4" width="13.42578125" style="47" customWidth="1"/>
    <col min="5" max="5" width="10.140625" style="47" bestFit="1" customWidth="1"/>
    <col min="6" max="6" width="12.85546875" style="47" customWidth="1"/>
    <col min="7" max="7" width="13.140625" style="47" customWidth="1"/>
    <col min="8" max="13" width="15" style="47" customWidth="1"/>
    <col min="14" max="14" width="10.140625" style="47" bestFit="1" customWidth="1"/>
    <col min="15" max="15" width="9.140625" style="47"/>
    <col min="16" max="16" width="10.140625" style="47" bestFit="1" customWidth="1"/>
    <col min="17" max="16384" width="9.140625" style="47"/>
  </cols>
  <sheetData>
    <row r="2" spans="1:15" x14ac:dyDescent="0.2">
      <c r="A2" s="240"/>
      <c r="B2" s="268"/>
      <c r="C2" s="241"/>
      <c r="D2" s="241"/>
      <c r="E2" s="241"/>
      <c r="F2" s="241"/>
      <c r="G2" s="241"/>
      <c r="H2" s="241"/>
      <c r="I2" s="241"/>
      <c r="J2" s="241"/>
      <c r="K2" s="241"/>
      <c r="L2" s="241"/>
      <c r="M2" s="241"/>
      <c r="N2" s="242"/>
      <c r="O2" s="240"/>
    </row>
    <row r="3" spans="1:15" x14ac:dyDescent="0.2">
      <c r="A3" s="240"/>
      <c r="B3" s="269"/>
      <c r="C3" s="200"/>
      <c r="D3" s="200"/>
      <c r="E3" s="200"/>
      <c r="F3" s="200"/>
      <c r="G3" s="200"/>
      <c r="H3" s="200"/>
      <c r="I3" s="200"/>
      <c r="J3" s="200"/>
      <c r="K3" s="200"/>
      <c r="L3" s="200"/>
      <c r="M3" s="200"/>
      <c r="N3" s="243"/>
      <c r="O3" s="240"/>
    </row>
    <row r="4" spans="1:15" x14ac:dyDescent="0.2">
      <c r="A4" s="240"/>
      <c r="B4" s="269"/>
      <c r="C4" s="200"/>
      <c r="D4" s="200"/>
      <c r="E4" s="200"/>
      <c r="F4" s="200"/>
      <c r="G4" s="200"/>
      <c r="H4" s="200"/>
      <c r="I4" s="200"/>
      <c r="J4" s="200"/>
      <c r="K4" s="200"/>
      <c r="L4" s="200"/>
      <c r="M4" s="200"/>
      <c r="N4" s="243"/>
      <c r="O4" s="240"/>
    </row>
    <row r="5" spans="1:15" x14ac:dyDescent="0.2">
      <c r="A5" s="240"/>
      <c r="B5" s="269"/>
      <c r="C5" s="200"/>
      <c r="D5" s="200"/>
      <c r="E5" s="200"/>
      <c r="F5" s="200"/>
      <c r="G5" s="200"/>
      <c r="H5" s="200"/>
      <c r="I5" s="200"/>
      <c r="J5" s="200"/>
      <c r="K5" s="200"/>
      <c r="L5" s="200"/>
      <c r="M5" s="200"/>
      <c r="N5" s="243"/>
      <c r="O5" s="240"/>
    </row>
    <row r="6" spans="1:15" x14ac:dyDescent="0.2">
      <c r="A6" s="240"/>
      <c r="B6" s="269"/>
      <c r="C6" s="200"/>
      <c r="D6" s="200"/>
      <c r="E6" s="200"/>
      <c r="F6" s="200"/>
      <c r="G6" s="200"/>
      <c r="H6" s="200"/>
      <c r="I6" s="200"/>
      <c r="J6" s="200"/>
      <c r="K6" s="200"/>
      <c r="L6" s="200"/>
      <c r="M6" s="200"/>
      <c r="N6" s="243"/>
      <c r="O6" s="240"/>
    </row>
    <row r="7" spans="1:15" x14ac:dyDescent="0.2">
      <c r="A7" s="240"/>
      <c r="B7" s="269"/>
      <c r="C7" s="200"/>
      <c r="D7" s="200"/>
      <c r="E7" s="200"/>
      <c r="F7" s="200"/>
      <c r="G7" s="200"/>
      <c r="H7" s="200"/>
      <c r="I7" s="200"/>
      <c r="J7" s="200"/>
      <c r="K7" s="200"/>
      <c r="L7" s="200"/>
      <c r="M7" s="200"/>
      <c r="N7" s="243"/>
      <c r="O7" s="240"/>
    </row>
    <row r="8" spans="1:15" x14ac:dyDescent="0.2">
      <c r="A8" s="240"/>
      <c r="B8" s="269"/>
      <c r="C8" s="200"/>
      <c r="D8" s="200"/>
      <c r="E8" s="200"/>
      <c r="F8" s="200"/>
      <c r="G8" s="200"/>
      <c r="H8" s="200"/>
      <c r="I8" s="200"/>
      <c r="J8" s="200"/>
      <c r="K8" s="200"/>
      <c r="L8" s="200"/>
      <c r="M8" s="200"/>
      <c r="N8" s="243"/>
      <c r="O8" s="240"/>
    </row>
    <row r="9" spans="1:15" x14ac:dyDescent="0.2">
      <c r="A9" s="240"/>
      <c r="B9" s="269"/>
      <c r="C9" s="200"/>
      <c r="D9" s="200"/>
      <c r="E9" s="200"/>
      <c r="F9" s="200"/>
      <c r="G9" s="200"/>
      <c r="H9" s="200"/>
      <c r="I9" s="200"/>
      <c r="J9" s="200"/>
      <c r="K9" s="200"/>
      <c r="L9" s="200"/>
      <c r="M9" s="200"/>
      <c r="N9" s="243"/>
      <c r="O9" s="240"/>
    </row>
    <row r="10" spans="1:15" x14ac:dyDescent="0.2">
      <c r="A10" s="240"/>
      <c r="B10" s="269"/>
      <c r="C10" s="200"/>
      <c r="D10" s="200"/>
      <c r="E10" s="200"/>
      <c r="F10" s="200"/>
      <c r="G10" s="200"/>
      <c r="H10" s="200"/>
      <c r="I10" s="200"/>
      <c r="J10" s="200"/>
      <c r="K10" s="200"/>
      <c r="L10" s="200"/>
      <c r="M10" s="200"/>
      <c r="N10" s="243"/>
      <c r="O10" s="240"/>
    </row>
    <row r="11" spans="1:15" x14ac:dyDescent="0.2">
      <c r="A11" s="240"/>
      <c r="B11" s="269"/>
      <c r="C11" s="200"/>
      <c r="D11" s="200"/>
      <c r="E11" s="200"/>
      <c r="F11" s="200"/>
      <c r="G11" s="200"/>
      <c r="H11" s="200"/>
      <c r="I11" s="200"/>
      <c r="J11" s="200"/>
      <c r="K11" s="200"/>
      <c r="L11" s="200"/>
      <c r="M11" s="200"/>
      <c r="N11" s="243"/>
      <c r="O11" s="240"/>
    </row>
    <row r="12" spans="1:15" x14ac:dyDescent="0.2">
      <c r="A12" s="240"/>
      <c r="B12" s="269"/>
      <c r="C12" s="200"/>
      <c r="D12" s="200"/>
      <c r="E12" s="200"/>
      <c r="F12" s="200"/>
      <c r="G12" s="200"/>
      <c r="H12" s="200"/>
      <c r="I12" s="200"/>
      <c r="J12" s="200"/>
      <c r="K12" s="200"/>
      <c r="L12" s="200"/>
      <c r="M12" s="200"/>
      <c r="N12" s="243"/>
      <c r="O12" s="240"/>
    </row>
    <row r="13" spans="1:15" ht="12" customHeight="1" x14ac:dyDescent="0.2">
      <c r="A13" s="240"/>
      <c r="B13" s="269"/>
      <c r="C13" s="200"/>
      <c r="D13" s="200"/>
      <c r="E13" s="200"/>
      <c r="F13" s="200"/>
      <c r="G13" s="200"/>
      <c r="H13" s="200"/>
      <c r="I13" s="200"/>
      <c r="J13" s="200"/>
      <c r="K13" s="200"/>
      <c r="L13" s="200"/>
      <c r="M13" s="200"/>
      <c r="N13" s="243"/>
      <c r="O13" s="240"/>
    </row>
    <row r="14" spans="1:15" ht="1.5" customHeight="1" x14ac:dyDescent="0.2">
      <c r="A14" s="240"/>
      <c r="B14" s="269"/>
      <c r="C14" s="200"/>
      <c r="D14" s="200"/>
      <c r="E14" s="200"/>
      <c r="F14" s="200"/>
      <c r="G14" s="200"/>
      <c r="H14" s="200"/>
      <c r="I14" s="200"/>
      <c r="J14" s="200"/>
      <c r="K14" s="200"/>
      <c r="L14" s="200"/>
      <c r="M14" s="200"/>
      <c r="N14" s="243"/>
      <c r="O14" s="240"/>
    </row>
    <row r="15" spans="1:15" ht="27" customHeight="1" x14ac:dyDescent="0.35">
      <c r="A15" s="240"/>
      <c r="B15" s="712" t="s">
        <v>653</v>
      </c>
      <c r="C15" s="713"/>
      <c r="D15" s="713"/>
      <c r="E15" s="713"/>
      <c r="F15" s="713"/>
      <c r="G15" s="713"/>
      <c r="H15" s="713"/>
      <c r="I15" s="713"/>
      <c r="J15" s="713"/>
      <c r="K15" s="713"/>
      <c r="L15" s="713"/>
      <c r="M15" s="713"/>
      <c r="N15" s="244"/>
      <c r="O15" s="240"/>
    </row>
    <row r="16" spans="1:15" ht="20.25" customHeight="1" x14ac:dyDescent="0.3">
      <c r="A16" s="240"/>
      <c r="B16" s="714" t="s">
        <v>168</v>
      </c>
      <c r="C16" s="715"/>
      <c r="D16" s="715"/>
      <c r="E16" s="715"/>
      <c r="F16" s="715"/>
      <c r="G16" s="715"/>
      <c r="H16" s="715"/>
      <c r="I16" s="715"/>
      <c r="J16" s="715"/>
      <c r="K16" s="715"/>
      <c r="L16" s="715"/>
      <c r="M16" s="715"/>
      <c r="N16" s="244"/>
      <c r="O16" s="240"/>
    </row>
    <row r="17" spans="1:15" ht="15.75" customHeight="1" x14ac:dyDescent="0.2">
      <c r="A17" s="240"/>
      <c r="B17" s="690" t="s">
        <v>355</v>
      </c>
      <c r="C17" s="691"/>
      <c r="D17" s="691"/>
      <c r="E17" s="691"/>
      <c r="F17" s="691"/>
      <c r="G17" s="691"/>
      <c r="H17" s="691"/>
      <c r="I17" s="691"/>
      <c r="J17" s="691"/>
      <c r="K17" s="691"/>
      <c r="L17" s="691"/>
      <c r="M17" s="691"/>
      <c r="N17" s="244"/>
      <c r="O17" s="240"/>
    </row>
    <row r="18" spans="1:15" ht="15" customHeight="1" x14ac:dyDescent="0.2">
      <c r="A18" s="240"/>
      <c r="B18" s="690" t="s">
        <v>756</v>
      </c>
      <c r="C18" s="691"/>
      <c r="D18" s="691"/>
      <c r="E18" s="691"/>
      <c r="F18" s="691"/>
      <c r="G18" s="691"/>
      <c r="H18" s="691"/>
      <c r="I18" s="691"/>
      <c r="J18" s="691"/>
      <c r="K18" s="691"/>
      <c r="L18" s="691"/>
      <c r="M18" s="691"/>
      <c r="N18" s="244"/>
      <c r="O18" s="240"/>
    </row>
    <row r="19" spans="1:15" ht="19.5" customHeight="1" x14ac:dyDescent="0.2">
      <c r="A19" s="240"/>
      <c r="B19" s="690" t="s">
        <v>755</v>
      </c>
      <c r="C19" s="691"/>
      <c r="D19" s="691"/>
      <c r="E19" s="691"/>
      <c r="F19" s="691"/>
      <c r="G19" s="691"/>
      <c r="H19" s="691"/>
      <c r="I19" s="691"/>
      <c r="J19" s="691"/>
      <c r="K19" s="691"/>
      <c r="L19" s="691"/>
      <c r="M19" s="691"/>
      <c r="N19" s="244"/>
      <c r="O19" s="240"/>
    </row>
    <row r="20" spans="1:15" s="688" customFormat="1" ht="32.25" customHeight="1" x14ac:dyDescent="0.2">
      <c r="A20" s="687"/>
      <c r="B20" s="693" t="s">
        <v>341</v>
      </c>
      <c r="C20" s="694"/>
      <c r="D20" s="694"/>
      <c r="E20" s="694"/>
      <c r="F20" s="694"/>
      <c r="G20" s="694"/>
      <c r="H20" s="694"/>
      <c r="I20" s="695"/>
      <c r="J20" s="695"/>
      <c r="K20" s="695"/>
      <c r="L20" s="695"/>
      <c r="M20" s="695"/>
      <c r="N20" s="689"/>
      <c r="O20" s="687"/>
    </row>
    <row r="21" spans="1:15" s="688" customFormat="1" ht="100.5" customHeight="1" x14ac:dyDescent="0.2">
      <c r="A21" s="685"/>
      <c r="B21" s="693" t="s">
        <v>794</v>
      </c>
      <c r="C21" s="694"/>
      <c r="D21" s="694"/>
      <c r="E21" s="694"/>
      <c r="F21" s="694"/>
      <c r="G21" s="694"/>
      <c r="H21" s="694"/>
      <c r="I21" s="695"/>
      <c r="J21" s="695"/>
      <c r="K21" s="695"/>
      <c r="L21" s="695"/>
      <c r="M21" s="695"/>
      <c r="N21" s="686"/>
      <c r="O21" s="687"/>
    </row>
    <row r="22" spans="1:15" ht="23.25" x14ac:dyDescent="0.35">
      <c r="A22" s="245"/>
      <c r="B22" s="331" t="s">
        <v>184</v>
      </c>
      <c r="C22" s="332"/>
      <c r="D22" s="333"/>
      <c r="E22" s="333"/>
      <c r="F22" s="333"/>
      <c r="G22" s="333"/>
      <c r="H22" s="333"/>
      <c r="I22" s="329"/>
      <c r="J22" s="329"/>
      <c r="K22" s="329"/>
      <c r="L22" s="329"/>
      <c r="M22" s="329"/>
      <c r="N22" s="330"/>
    </row>
    <row r="23" spans="1:15" x14ac:dyDescent="0.2">
      <c r="A23" s="240"/>
      <c r="B23" s="334" t="s">
        <v>181</v>
      </c>
      <c r="C23" s="328"/>
      <c r="D23" s="328"/>
      <c r="E23" s="328"/>
      <c r="F23" s="328"/>
      <c r="G23" s="328"/>
      <c r="H23" s="328"/>
      <c r="I23" s="267"/>
      <c r="J23" s="267"/>
      <c r="K23" s="267"/>
      <c r="L23" s="267"/>
      <c r="M23" s="267"/>
      <c r="N23" s="244"/>
    </row>
    <row r="24" spans="1:15" x14ac:dyDescent="0.2">
      <c r="A24" s="240"/>
      <c r="B24" s="334"/>
      <c r="C24" s="328"/>
      <c r="D24" s="328"/>
      <c r="E24" s="328"/>
      <c r="F24" s="328"/>
      <c r="G24" s="328"/>
      <c r="H24" s="328"/>
      <c r="I24" s="267"/>
      <c r="J24" s="267"/>
      <c r="K24" s="267"/>
      <c r="L24" s="267"/>
      <c r="M24" s="267"/>
      <c r="N24" s="244"/>
    </row>
    <row r="25" spans="1:15" ht="15" x14ac:dyDescent="0.25">
      <c r="A25" s="240"/>
      <c r="B25" s="335" t="s">
        <v>182</v>
      </c>
      <c r="C25" s="336"/>
      <c r="D25" s="336"/>
      <c r="E25" s="336"/>
      <c r="F25" s="336"/>
      <c r="G25" s="336"/>
      <c r="H25" s="267"/>
      <c r="I25" s="363"/>
      <c r="J25" s="266"/>
      <c r="K25" s="337"/>
      <c r="L25" s="267"/>
      <c r="M25" s="267"/>
      <c r="N25" s="244"/>
    </row>
    <row r="26" spans="1:15" ht="15" x14ac:dyDescent="0.25">
      <c r="A26" s="240"/>
      <c r="B26" s="335"/>
      <c r="C26" s="336"/>
      <c r="D26" s="336"/>
      <c r="E26" s="336"/>
      <c r="F26" s="336"/>
      <c r="G26" s="336"/>
      <c r="H26" s="267"/>
      <c r="I26" s="266"/>
      <c r="J26" s="266"/>
      <c r="K26" s="267"/>
      <c r="L26" s="267"/>
      <c r="M26" s="267"/>
      <c r="N26" s="244"/>
    </row>
    <row r="27" spans="1:15" ht="20.25" customHeight="1" x14ac:dyDescent="0.25">
      <c r="A27" s="240"/>
      <c r="B27" s="335" t="s">
        <v>431</v>
      </c>
      <c r="C27" s="336"/>
      <c r="D27" s="336"/>
      <c r="E27" s="336"/>
      <c r="F27" s="336"/>
      <c r="G27" s="336"/>
      <c r="H27" s="267"/>
      <c r="I27" s="696"/>
      <c r="J27" s="696"/>
      <c r="K27" s="267"/>
      <c r="L27" s="267"/>
      <c r="M27" s="267"/>
      <c r="N27" s="244"/>
    </row>
    <row r="28" spans="1:15" ht="15" x14ac:dyDescent="0.25">
      <c r="A28" s="240"/>
      <c r="B28" s="335"/>
      <c r="C28" s="336"/>
      <c r="D28" s="336"/>
      <c r="E28" s="336"/>
      <c r="F28" s="336"/>
      <c r="G28" s="336"/>
      <c r="H28" s="267"/>
      <c r="I28" s="306"/>
      <c r="J28" s="266"/>
      <c r="K28" s="267"/>
      <c r="L28" s="267"/>
      <c r="M28" s="267"/>
      <c r="N28" s="244"/>
    </row>
    <row r="29" spans="1:15" ht="15" x14ac:dyDescent="0.25">
      <c r="A29" s="240"/>
      <c r="B29" s="335" t="s">
        <v>428</v>
      </c>
      <c r="C29" s="336"/>
      <c r="D29" s="336"/>
      <c r="E29" s="336"/>
      <c r="F29" s="336"/>
      <c r="G29" s="336"/>
      <c r="H29" s="267"/>
      <c r="I29" s="363"/>
      <c r="J29" s="266"/>
      <c r="K29" s="247" t="s">
        <v>176</v>
      </c>
      <c r="L29" s="267"/>
      <c r="M29" s="267"/>
      <c r="N29" s="244"/>
    </row>
    <row r="30" spans="1:15" ht="15" x14ac:dyDescent="0.25">
      <c r="A30" s="240"/>
      <c r="B30" s="335"/>
      <c r="C30" s="336"/>
      <c r="D30" s="336"/>
      <c r="E30" s="336"/>
      <c r="F30" s="336"/>
      <c r="G30" s="336"/>
      <c r="H30" s="267"/>
      <c r="I30" s="266"/>
      <c r="J30" s="266"/>
      <c r="K30" s="267"/>
      <c r="L30" s="267"/>
      <c r="M30" s="267"/>
      <c r="N30" s="244"/>
    </row>
    <row r="31" spans="1:15" ht="15" x14ac:dyDescent="0.25">
      <c r="A31" s="240"/>
      <c r="B31" s="335" t="str">
        <f>IF(DJS&gt;=NewSchDate,"4. The scheme you entered upon joining","4. The scheme you were in prior to 1 April 2015 (Choose from the list in the box)")</f>
        <v>4. The scheme you were in prior to 1 April 2015 (Choose from the list in the box)</v>
      </c>
      <c r="C31" s="336"/>
      <c r="D31" s="336"/>
      <c r="E31" s="336"/>
      <c r="F31" s="336"/>
      <c r="G31" s="336"/>
      <c r="H31" s="267"/>
      <c r="I31" s="262"/>
      <c r="J31" s="266"/>
      <c r="K31" s="247" t="s">
        <v>176</v>
      </c>
      <c r="L31" s="267"/>
      <c r="M31" s="267"/>
      <c r="N31" s="244"/>
    </row>
    <row r="32" spans="1:15" ht="15" x14ac:dyDescent="0.25">
      <c r="A32" s="240"/>
      <c r="B32" s="335"/>
      <c r="C32" s="336"/>
      <c r="D32" s="336"/>
      <c r="E32" s="336"/>
      <c r="F32" s="336"/>
      <c r="G32" s="336"/>
      <c r="H32" s="267"/>
      <c r="I32"/>
      <c r="J32" s="266"/>
      <c r="K32" s="346"/>
      <c r="L32" s="267"/>
      <c r="M32" s="267"/>
      <c r="N32" s="244"/>
    </row>
    <row r="33" spans="1:14" ht="15" x14ac:dyDescent="0.25">
      <c r="A33" s="240"/>
      <c r="B33" s="335" t="s">
        <v>643</v>
      </c>
      <c r="C33" s="336"/>
      <c r="D33" s="336"/>
      <c r="E33" s="336"/>
      <c r="F33" s="336"/>
      <c r="G33" s="336"/>
      <c r="H33" s="267"/>
      <c r="I33" s="498"/>
      <c r="J33" s="266"/>
      <c r="K33" s="346"/>
      <c r="L33" s="267"/>
      <c r="M33" s="267"/>
      <c r="N33" s="244"/>
    </row>
    <row r="34" spans="1:14" ht="15" x14ac:dyDescent="0.25">
      <c r="A34" s="240"/>
      <c r="B34" s="335"/>
      <c r="C34" s="336"/>
      <c r="D34" s="336"/>
      <c r="E34" s="336"/>
      <c r="F34" s="336"/>
      <c r="G34" s="336"/>
      <c r="H34" s="267"/>
      <c r="I34" s="266"/>
      <c r="J34" s="266"/>
      <c r="K34" s="267"/>
      <c r="L34" s="267"/>
      <c r="M34" s="267"/>
      <c r="N34" s="244"/>
    </row>
    <row r="35" spans="1:14" ht="15" x14ac:dyDescent="0.25">
      <c r="A35" s="240"/>
      <c r="B35" s="335" t="s">
        <v>738</v>
      </c>
      <c r="C35" s="336"/>
      <c r="D35" s="336"/>
      <c r="E35" s="336"/>
      <c r="F35" s="336"/>
      <c r="G35" s="336"/>
      <c r="H35" s="267"/>
      <c r="I35" s="263"/>
      <c r="J35" s="266" t="s">
        <v>66</v>
      </c>
      <c r="K35" s="247" t="s">
        <v>176</v>
      </c>
      <c r="L35" s="267"/>
      <c r="M35" s="326"/>
      <c r="N35" s="244"/>
    </row>
    <row r="36" spans="1:14" ht="15" x14ac:dyDescent="0.25">
      <c r="A36" s="240"/>
      <c r="B36" s="335"/>
      <c r="C36" s="336"/>
      <c r="D36" s="336"/>
      <c r="E36" s="336"/>
      <c r="F36" s="336"/>
      <c r="G36" s="336"/>
      <c r="H36" s="267"/>
      <c r="I36" s="263"/>
      <c r="J36" s="266" t="s">
        <v>69</v>
      </c>
      <c r="K36" s="266"/>
      <c r="L36" s="267"/>
      <c r="M36" s="267"/>
      <c r="N36" s="244"/>
    </row>
    <row r="37" spans="1:14" ht="15" x14ac:dyDescent="0.25">
      <c r="A37" s="240"/>
      <c r="B37" s="335"/>
      <c r="C37" s="336"/>
      <c r="D37" s="336"/>
      <c r="E37" s="336"/>
      <c r="F37" s="336"/>
      <c r="G37" s="336"/>
      <c r="H37" s="267"/>
      <c r="I37" s="266"/>
      <c r="J37" s="266"/>
      <c r="K37" s="267"/>
      <c r="L37" s="267"/>
      <c r="M37" s="267"/>
      <c r="N37" s="244"/>
    </row>
    <row r="38" spans="1:14" ht="15" x14ac:dyDescent="0.25">
      <c r="A38" s="240"/>
      <c r="B38" s="335" t="s">
        <v>644</v>
      </c>
      <c r="C38" s="336"/>
      <c r="D38" s="326"/>
      <c r="E38" s="336"/>
      <c r="F38" s="336"/>
      <c r="G38" s="336"/>
      <c r="H38" s="267"/>
      <c r="I38" s="264"/>
      <c r="J38" s="266"/>
      <c r="K38" s="267"/>
      <c r="L38" s="267"/>
      <c r="M38" s="267"/>
      <c r="N38" s="244"/>
    </row>
    <row r="39" spans="1:14" ht="15" x14ac:dyDescent="0.25">
      <c r="A39" s="240"/>
      <c r="B39" s="335"/>
      <c r="C39" s="336"/>
      <c r="D39" s="336"/>
      <c r="E39" s="336"/>
      <c r="F39" s="336"/>
      <c r="G39" s="338"/>
      <c r="H39" s="312"/>
      <c r="I39" s="317"/>
      <c r="J39" s="317"/>
      <c r="K39" s="312"/>
      <c r="L39" s="312"/>
      <c r="M39" s="312"/>
      <c r="N39" s="244"/>
    </row>
    <row r="40" spans="1:14" ht="15" x14ac:dyDescent="0.25">
      <c r="A40" s="240"/>
      <c r="B40" s="335" t="s">
        <v>739</v>
      </c>
      <c r="C40" s="336"/>
      <c r="D40" s="336"/>
      <c r="E40" s="336"/>
      <c r="F40" s="336"/>
      <c r="G40" s="338"/>
      <c r="H40" s="312"/>
      <c r="I40" s="317"/>
      <c r="J40" s="317"/>
      <c r="K40" s="312"/>
      <c r="L40" s="312"/>
      <c r="M40" s="312"/>
      <c r="N40" s="244"/>
    </row>
    <row r="41" spans="1:14" ht="15" x14ac:dyDescent="0.25">
      <c r="A41" s="240"/>
      <c r="B41" s="335" t="s">
        <v>779</v>
      </c>
      <c r="C41" s="336"/>
      <c r="D41" s="336"/>
      <c r="E41" s="336"/>
      <c r="F41" s="336"/>
      <c r="G41" s="338" t="str">
        <f>IF(Parameters!B129,"Yes - input below","No - it will be approximated in the projection calculations")</f>
        <v>No - it will be approximated in the projection calculations</v>
      </c>
      <c r="H41" s="312"/>
      <c r="I41" s="307"/>
      <c r="J41" s="339"/>
      <c r="K41" s="312"/>
      <c r="L41" s="312"/>
      <c r="M41" s="579"/>
      <c r="N41" s="244"/>
    </row>
    <row r="42" spans="1:14" ht="15" x14ac:dyDescent="0.25">
      <c r="A42" s="240"/>
      <c r="B42" s="335" t="s">
        <v>737</v>
      </c>
      <c r="C42" s="336"/>
      <c r="D42" s="336"/>
      <c r="E42" s="336"/>
      <c r="F42" s="336"/>
      <c r="G42" s="338"/>
      <c r="H42" s="312"/>
      <c r="I42" s="340"/>
      <c r="J42" s="340"/>
      <c r="K42" s="341"/>
      <c r="L42" s="341"/>
      <c r="M42" s="312"/>
      <c r="N42" s="244"/>
    </row>
    <row r="43" spans="1:14" ht="15" x14ac:dyDescent="0.25">
      <c r="A43" s="240"/>
      <c r="B43" s="335"/>
      <c r="C43" s="336"/>
      <c r="D43" s="336"/>
      <c r="E43" s="336"/>
      <c r="F43" s="336"/>
      <c r="G43" s="338"/>
      <c r="H43" s="312"/>
      <c r="I43" s="340"/>
      <c r="J43" s="340"/>
      <c r="K43" s="341"/>
      <c r="L43" s="341"/>
      <c r="M43" s="312"/>
      <c r="N43" s="244"/>
    </row>
    <row r="44" spans="1:14" ht="15" x14ac:dyDescent="0.25">
      <c r="A44" s="240"/>
      <c r="B44" s="335"/>
      <c r="C44" s="336"/>
      <c r="D44" s="336"/>
      <c r="E44" s="336"/>
      <c r="F44" s="336"/>
      <c r="G44" s="342" t="s">
        <v>688</v>
      </c>
      <c r="H44" s="540" t="s">
        <v>689</v>
      </c>
      <c r="I44" s="541"/>
      <c r="J44" s="531"/>
      <c r="K44" s="542" t="s">
        <v>246</v>
      </c>
      <c r="L44" s="543"/>
      <c r="M44" s="544" t="s">
        <v>176</v>
      </c>
      <c r="N44" s="343"/>
    </row>
    <row r="45" spans="1:14" ht="15" x14ac:dyDescent="0.25">
      <c r="A45" s="240"/>
      <c r="B45" s="335"/>
      <c r="C45" s="336"/>
      <c r="D45" s="336"/>
      <c r="E45" s="336"/>
      <c r="F45" s="336"/>
      <c r="G45" s="336"/>
      <c r="H45" s="364"/>
      <c r="I45" s="340"/>
      <c r="J45" s="266"/>
      <c r="K45" s="344"/>
      <c r="L45" s="267"/>
      <c r="M45" s="267"/>
      <c r="N45" s="244"/>
    </row>
    <row r="46" spans="1:14" ht="15" x14ac:dyDescent="0.25">
      <c r="A46" s="240"/>
      <c r="B46" s="335" t="s">
        <v>645</v>
      </c>
      <c r="C46" s="336"/>
      <c r="D46" s="336"/>
      <c r="E46" s="336"/>
      <c r="F46" s="336"/>
      <c r="G46" s="338"/>
      <c r="H46" s="312"/>
      <c r="I46" s="365"/>
      <c r="J46" s="317"/>
      <c r="K46" s="247" t="s">
        <v>176</v>
      </c>
      <c r="L46" s="267"/>
      <c r="M46" s="267"/>
      <c r="N46" s="244"/>
    </row>
    <row r="47" spans="1:14" ht="15" x14ac:dyDescent="0.25">
      <c r="A47" s="240"/>
      <c r="B47" s="335"/>
      <c r="C47" s="336"/>
      <c r="D47" s="336"/>
      <c r="E47" s="336"/>
      <c r="F47" s="336"/>
      <c r="G47" s="336"/>
      <c r="H47" s="364"/>
      <c r="I47" s="340"/>
      <c r="J47" s="266"/>
      <c r="K47" s="344"/>
      <c r="L47" s="267"/>
      <c r="M47" s="267"/>
      <c r="N47" s="244"/>
    </row>
    <row r="48" spans="1:14" ht="15" x14ac:dyDescent="0.25">
      <c r="A48" s="240"/>
      <c r="B48" s="335" t="s">
        <v>742</v>
      </c>
      <c r="C48" s="336"/>
      <c r="D48" s="336"/>
      <c r="E48" s="336"/>
      <c r="F48" s="336"/>
      <c r="G48" s="336"/>
      <c r="H48" s="267"/>
      <c r="I48" s="263"/>
      <c r="J48" s="266"/>
      <c r="K48" s="247" t="s">
        <v>176</v>
      </c>
      <c r="L48" s="267"/>
      <c r="M48" s="267"/>
      <c r="N48" s="244"/>
    </row>
    <row r="49" spans="1:14" ht="15" x14ac:dyDescent="0.25">
      <c r="A49" s="240"/>
      <c r="B49" s="335"/>
      <c r="C49" s="336"/>
      <c r="D49" s="336"/>
      <c r="E49" s="336"/>
      <c r="F49" s="336"/>
      <c r="G49" s="336"/>
      <c r="H49" s="267"/>
      <c r="I49" s="340"/>
      <c r="J49" s="266"/>
      <c r="K49" s="344"/>
      <c r="L49" s="267"/>
      <c r="M49" s="267"/>
      <c r="N49" s="244"/>
    </row>
    <row r="50" spans="1:14" ht="15" x14ac:dyDescent="0.25">
      <c r="A50" s="240"/>
      <c r="B50" s="335" t="s">
        <v>646</v>
      </c>
      <c r="C50" s="336"/>
      <c r="D50" s="336"/>
      <c r="E50" s="336"/>
      <c r="F50" s="336"/>
      <c r="G50" s="336"/>
      <c r="H50" s="267"/>
      <c r="I50" s="265"/>
      <c r="J50" s="266"/>
      <c r="K50" s="247" t="s">
        <v>176</v>
      </c>
      <c r="L50" s="267"/>
      <c r="M50" s="267"/>
      <c r="N50" s="244"/>
    </row>
    <row r="51" spans="1:14" ht="15" x14ac:dyDescent="0.25">
      <c r="A51" s="240"/>
      <c r="B51" s="335"/>
      <c r="C51" s="336"/>
      <c r="D51" s="336"/>
      <c r="E51" s="336"/>
      <c r="F51" s="336"/>
      <c r="G51" s="336"/>
      <c r="H51" s="267"/>
      <c r="I51" s="345"/>
      <c r="J51" s="266"/>
      <c r="K51" s="346"/>
      <c r="L51" s="267"/>
      <c r="M51" s="267"/>
      <c r="N51" s="244"/>
    </row>
    <row r="52" spans="1:14" ht="15" x14ac:dyDescent="0.25">
      <c r="A52" s="240"/>
      <c r="B52" s="335" t="s">
        <v>743</v>
      </c>
      <c r="C52" s="336"/>
      <c r="D52" s="336"/>
      <c r="E52" s="336"/>
      <c r="F52" s="336"/>
      <c r="G52" s="336"/>
      <c r="H52" s="267"/>
      <c r="I52" s="340"/>
      <c r="J52" s="266"/>
      <c r="K52" s="344"/>
      <c r="L52" s="267"/>
      <c r="M52" s="267"/>
      <c r="N52" s="244"/>
    </row>
    <row r="53" spans="1:14" ht="15" x14ac:dyDescent="0.25">
      <c r="A53" s="240"/>
      <c r="B53" s="335"/>
      <c r="C53" s="336"/>
      <c r="D53" s="336"/>
      <c r="E53" s="336"/>
      <c r="F53" s="336"/>
      <c r="G53" s="336"/>
      <c r="H53" s="267"/>
      <c r="I53" s="340"/>
      <c r="J53" s="266"/>
      <c r="K53" s="344"/>
      <c r="L53" s="267"/>
      <c r="M53" s="267"/>
      <c r="N53" s="244"/>
    </row>
    <row r="54" spans="1:14" ht="15" x14ac:dyDescent="0.25">
      <c r="A54" s="240"/>
      <c r="B54" s="308" t="s">
        <v>647</v>
      </c>
      <c r="C54" s="336"/>
      <c r="D54" s="336"/>
      <c r="E54" s="336"/>
      <c r="F54" s="336"/>
      <c r="G54" s="336"/>
      <c r="H54" s="540" t="s">
        <v>689</v>
      </c>
      <c r="I54" s="541">
        <v>2020</v>
      </c>
      <c r="J54" s="266"/>
      <c r="K54" s="344"/>
      <c r="L54" s="267"/>
      <c r="M54" s="267"/>
      <c r="N54" s="244"/>
    </row>
    <row r="55" spans="1:14" ht="15" x14ac:dyDescent="0.25">
      <c r="A55" s="240"/>
      <c r="B55" s="335"/>
      <c r="C55" s="336"/>
      <c r="D55" s="336"/>
      <c r="E55" s="336"/>
      <c r="F55" s="336"/>
      <c r="G55" s="336"/>
      <c r="H55" s="267"/>
      <c r="I55" s="340"/>
      <c r="J55" s="266"/>
      <c r="K55" s="344"/>
      <c r="L55" s="267"/>
      <c r="M55" s="267"/>
      <c r="N55" s="244"/>
    </row>
    <row r="56" spans="1:14" ht="15" x14ac:dyDescent="0.25">
      <c r="A56" s="240"/>
      <c r="B56" s="335" t="s">
        <v>648</v>
      </c>
      <c r="C56" s="336"/>
      <c r="D56" s="336"/>
      <c r="E56" s="336"/>
      <c r="F56" s="336"/>
      <c r="G56" s="336"/>
      <c r="H56" s="266"/>
      <c r="I56" s="263"/>
      <c r="J56" s="266" t="s">
        <v>66</v>
      </c>
      <c r="K56" s="247" t="s">
        <v>176</v>
      </c>
      <c r="L56" s="267"/>
      <c r="M56" s="267"/>
      <c r="N56" s="244"/>
    </row>
    <row r="57" spans="1:14" ht="15" x14ac:dyDescent="0.25">
      <c r="A57" s="240"/>
      <c r="B57" s="335"/>
      <c r="C57" s="336"/>
      <c r="D57" s="336"/>
      <c r="E57" s="336"/>
      <c r="F57" s="336"/>
      <c r="G57" s="336"/>
      <c r="H57" s="266"/>
      <c r="I57" s="263"/>
      <c r="J57" s="266" t="s">
        <v>69</v>
      </c>
      <c r="K57" s="344"/>
      <c r="L57" s="267"/>
      <c r="M57" s="267"/>
      <c r="N57" s="244"/>
    </row>
    <row r="58" spans="1:14" ht="15" x14ac:dyDescent="0.25">
      <c r="A58" s="240"/>
      <c r="B58" s="347"/>
      <c r="C58" s="348"/>
      <c r="D58" s="348"/>
      <c r="E58" s="348"/>
      <c r="F58" s="348"/>
      <c r="G58" s="348"/>
      <c r="H58" s="315"/>
      <c r="I58" s="349"/>
      <c r="J58" s="315"/>
      <c r="K58" s="350"/>
      <c r="L58" s="315"/>
      <c r="M58" s="315"/>
      <c r="N58" s="246"/>
    </row>
    <row r="59" spans="1:14" ht="23.25" x14ac:dyDescent="0.35">
      <c r="A59" s="245"/>
      <c r="B59" s="351" t="s">
        <v>177</v>
      </c>
      <c r="C59" s="333"/>
      <c r="D59" s="333"/>
      <c r="E59" s="333"/>
      <c r="F59" s="333"/>
      <c r="G59" s="333"/>
      <c r="H59" s="333"/>
      <c r="I59" s="329"/>
      <c r="J59" s="329"/>
      <c r="K59" s="329"/>
      <c r="L59" s="329"/>
      <c r="M59" s="329"/>
      <c r="N59" s="330"/>
    </row>
    <row r="60" spans="1:14" ht="23.25" x14ac:dyDescent="0.35">
      <c r="A60" s="245"/>
      <c r="B60" s="352"/>
      <c r="C60" s="328"/>
      <c r="D60" s="328"/>
      <c r="E60" s="328"/>
      <c r="F60" s="328"/>
      <c r="G60" s="328"/>
      <c r="H60" s="328"/>
      <c r="I60" s="267"/>
      <c r="J60" s="267"/>
      <c r="K60" s="267"/>
      <c r="L60" s="267"/>
      <c r="M60" s="267"/>
      <c r="N60" s="244"/>
    </row>
    <row r="61" spans="1:14" ht="18.75" customHeight="1" x14ac:dyDescent="0.25">
      <c r="A61" s="245"/>
      <c r="B61" s="362" t="str">
        <f>IF(Form_Check=TRUE,IF('1995 &amp; 2008 calcs'!F31="Tapered","Date of entering the 2015 scheme: ","")&amp;IF('1995 &amp; 2008 calcs'!F31="Tapered",IF(DJS&gt;=NewSchDate,TEXT(DJS,"d mmmm yyyy"),VLOOKUP('1995 &amp; 2008 calcs'!F31,$B$177:$D$179,3,FALSE)),""),"Insufficient data supplied, please fill in rest of form")</f>
        <v>Insufficient data supplied, please fill in rest of form</v>
      </c>
      <c r="C61" s="328"/>
      <c r="D61" s="328"/>
      <c r="E61" s="328"/>
      <c r="F61" s="328"/>
      <c r="G61" s="328"/>
      <c r="H61" s="328"/>
      <c r="I61" s="266"/>
      <c r="J61" s="266"/>
      <c r="K61" s="266"/>
      <c r="L61" s="266"/>
      <c r="M61" s="266"/>
      <c r="N61" s="343"/>
    </row>
    <row r="62" spans="1:14" ht="8.25" customHeight="1" x14ac:dyDescent="0.35">
      <c r="A62" s="245"/>
      <c r="B62" s="352"/>
      <c r="C62" s="328"/>
      <c r="D62" s="328"/>
      <c r="E62" s="328"/>
      <c r="F62" s="328"/>
      <c r="G62" s="328"/>
      <c r="H62" s="328"/>
      <c r="I62" s="266"/>
      <c r="J62" s="266"/>
      <c r="K62" s="266"/>
      <c r="L62" s="266"/>
      <c r="M62" s="266"/>
      <c r="N62" s="353"/>
    </row>
    <row r="63" spans="1:14" ht="18" x14ac:dyDescent="0.25">
      <c r="A63" s="240"/>
      <c r="B63" s="354" t="s">
        <v>155</v>
      </c>
      <c r="C63" s="310"/>
      <c r="D63" s="310"/>
      <c r="E63" s="310"/>
      <c r="F63" s="310"/>
      <c r="G63" s="310"/>
      <c r="H63" s="317"/>
      <c r="I63" s="317"/>
      <c r="J63" s="317"/>
      <c r="K63" s="317"/>
      <c r="L63" s="317"/>
      <c r="M63" s="266"/>
      <c r="N63" s="353"/>
    </row>
    <row r="64" spans="1:14" ht="14.25" x14ac:dyDescent="0.2">
      <c r="A64" s="240"/>
      <c r="B64" s="313"/>
      <c r="C64" s="317"/>
      <c r="D64" s="317"/>
      <c r="E64" s="317"/>
      <c r="F64" s="317"/>
      <c r="G64" s="317"/>
      <c r="H64" s="317"/>
      <c r="I64" s="317"/>
      <c r="J64" s="317"/>
      <c r="K64" s="317"/>
      <c r="L64" s="317"/>
      <c r="M64" s="266"/>
      <c r="N64" s="353"/>
    </row>
    <row r="65" spans="1:14" ht="15" x14ac:dyDescent="0.25">
      <c r="A65" s="240"/>
      <c r="B65" s="313" t="s">
        <v>283</v>
      </c>
      <c r="C65" s="317"/>
      <c r="D65" s="317"/>
      <c r="E65" s="317"/>
      <c r="F65" s="317"/>
      <c r="G65" s="317"/>
      <c r="H65" s="318">
        <f>Summary!D33</f>
        <v>0</v>
      </c>
      <c r="I65" s="317"/>
      <c r="J65" s="317"/>
      <c r="K65" s="317"/>
      <c r="L65" s="317"/>
      <c r="M65" s="266"/>
      <c r="N65" s="353"/>
    </row>
    <row r="66" spans="1:14" ht="14.25" x14ac:dyDescent="0.2">
      <c r="A66" s="240"/>
      <c r="B66" s="313" t="s">
        <v>499</v>
      </c>
      <c r="C66" s="317"/>
      <c r="D66" s="317"/>
      <c r="E66" s="317"/>
      <c r="F66" s="317"/>
      <c r="G66" s="317"/>
      <c r="H66" s="651" t="e">
        <f>'1995 &amp; 2008 calcs'!G70&amp;" years and "&amp;'1995 &amp; 2008 calcs'!H70&amp;" days"</f>
        <v>#N/A</v>
      </c>
      <c r="I66" s="317"/>
      <c r="J66" s="317"/>
      <c r="K66" s="317"/>
      <c r="L66" s="317"/>
      <c r="M66" s="266"/>
      <c r="N66" s="353"/>
    </row>
    <row r="67" spans="1:14" ht="14.25" x14ac:dyDescent="0.2">
      <c r="A67" s="240"/>
      <c r="B67" s="313"/>
      <c r="C67" s="317"/>
      <c r="D67" s="317"/>
      <c r="E67" s="317"/>
      <c r="F67" s="317"/>
      <c r="G67" s="317"/>
      <c r="H67" s="317"/>
      <c r="I67" s="317"/>
      <c r="J67" s="317"/>
      <c r="K67" s="317"/>
      <c r="L67" s="317"/>
      <c r="M67" s="266"/>
      <c r="N67" s="353"/>
    </row>
    <row r="68" spans="1:14" ht="15" x14ac:dyDescent="0.25">
      <c r="A68" s="240"/>
      <c r="B68" s="313"/>
      <c r="C68" s="317"/>
      <c r="D68" s="317"/>
      <c r="E68" s="317"/>
      <c r="F68" s="317"/>
      <c r="G68" s="317"/>
      <c r="H68" s="707" t="s">
        <v>359</v>
      </c>
      <c r="I68" s="707"/>
      <c r="J68" s="707"/>
      <c r="K68" s="707"/>
      <c r="L68" s="707"/>
      <c r="M68" s="266"/>
      <c r="N68" s="353"/>
    </row>
    <row r="69" spans="1:14" ht="14.25" x14ac:dyDescent="0.2">
      <c r="A69" s="240"/>
      <c r="B69" s="313"/>
      <c r="C69" s="317"/>
      <c r="D69" s="317"/>
      <c r="E69" s="317"/>
      <c r="F69" s="317"/>
      <c r="G69" s="317"/>
      <c r="H69" s="319" t="s">
        <v>757</v>
      </c>
      <c r="I69" s="320"/>
      <c r="J69" s="319" t="s">
        <v>758</v>
      </c>
      <c r="K69" s="320"/>
      <c r="L69" s="319" t="s">
        <v>759</v>
      </c>
      <c r="M69" s="266"/>
      <c r="N69" s="353"/>
    </row>
    <row r="70" spans="1:14" ht="33" customHeight="1" x14ac:dyDescent="0.2">
      <c r="A70" s="240"/>
      <c r="B70" s="316" t="s">
        <v>375</v>
      </c>
      <c r="C70" s="317"/>
      <c r="D70" s="317"/>
      <c r="E70" s="317"/>
      <c r="F70" s="317"/>
      <c r="G70" s="317"/>
      <c r="H70" s="321"/>
      <c r="I70" s="322"/>
      <c r="J70" s="321"/>
      <c r="K70" s="322"/>
      <c r="L70" s="321"/>
      <c r="M70" s="266"/>
      <c r="N70" s="353"/>
    </row>
    <row r="71" spans="1:14" ht="16.5" x14ac:dyDescent="0.25">
      <c r="A71" s="267"/>
      <c r="B71" s="680" t="s">
        <v>368</v>
      </c>
      <c r="C71" s="317"/>
      <c r="D71" s="317"/>
      <c r="E71" s="317"/>
      <c r="F71" s="317"/>
      <c r="G71" s="317"/>
      <c r="H71" s="317"/>
      <c r="I71" s="317"/>
      <c r="J71" s="317"/>
      <c r="K71" s="317"/>
      <c r="L71" s="317"/>
      <c r="M71" s="266"/>
      <c r="N71" s="353"/>
    </row>
    <row r="72" spans="1:14" ht="15" x14ac:dyDescent="0.25">
      <c r="A72" s="267"/>
      <c r="B72" s="313" t="str">
        <f>Scheme_Full&amp;" pension"</f>
        <v xml:space="preserve"> pension</v>
      </c>
      <c r="C72" s="317"/>
      <c r="D72" s="317"/>
      <c r="E72" s="317"/>
      <c r="F72" s="317"/>
      <c r="G72" s="317"/>
      <c r="H72" s="318" t="e">
        <f>IF(Summary!D35="input error",Summary!D35,TEXT(Summary!D35,"£#,##0")&amp;" pa")</f>
        <v>#N/A</v>
      </c>
      <c r="I72" s="317"/>
      <c r="J72" s="318" t="e">
        <f>IF(Summary!E35="input error",Summary!E35,TEXT(Summary!E35,"£#,##0")&amp;" pa")</f>
        <v>#N/A</v>
      </c>
      <c r="K72" s="317"/>
      <c r="L72" s="318" t="e">
        <f>IF(Summary!F35="input error",Summary!F35,TEXT(Summary!F35,"£#,##0")&amp;" pa")</f>
        <v>#N/A</v>
      </c>
      <c r="M72" s="266"/>
      <c r="N72" s="353"/>
    </row>
    <row r="73" spans="1:14" ht="15" x14ac:dyDescent="0.25">
      <c r="A73" s="267"/>
      <c r="B73" s="313" t="str">
        <f>Scheme_Full&amp;" lump sum"</f>
        <v xml:space="preserve"> lump sum</v>
      </c>
      <c r="C73" s="317"/>
      <c r="D73" s="317"/>
      <c r="E73" s="317"/>
      <c r="F73" s="317"/>
      <c r="G73" s="317"/>
      <c r="H73" s="318" t="e">
        <f>Summary!D36</f>
        <v>#N/A</v>
      </c>
      <c r="I73" s="317"/>
      <c r="J73" s="318" t="e">
        <f>Summary!E36</f>
        <v>#N/A</v>
      </c>
      <c r="K73" s="317"/>
      <c r="L73" s="318" t="e">
        <f>Summary!F36</f>
        <v>#N/A</v>
      </c>
      <c r="M73" s="266"/>
      <c r="N73" s="353"/>
    </row>
    <row r="74" spans="1:14" ht="15" x14ac:dyDescent="0.25">
      <c r="A74" s="267"/>
      <c r="B74" s="313"/>
      <c r="C74" s="317"/>
      <c r="D74" s="317"/>
      <c r="E74" s="317"/>
      <c r="F74" s="317"/>
      <c r="G74" s="317"/>
      <c r="H74" s="318" t="s">
        <v>760</v>
      </c>
      <c r="I74" s="317"/>
      <c r="J74" s="318" t="s">
        <v>760</v>
      </c>
      <c r="K74" s="317"/>
      <c r="L74" s="318" t="s">
        <v>760</v>
      </c>
      <c r="M74" s="266"/>
      <c r="N74" s="353"/>
    </row>
    <row r="75" spans="1:14" ht="15" x14ac:dyDescent="0.25">
      <c r="A75" s="267"/>
      <c r="B75" s="313" t="str">
        <f>"2015 Scheme pension" &amp; IF(ChosenRA&gt;=55,""," deferred until SPA")</f>
        <v>2015 Scheme pension deferred until SPA</v>
      </c>
      <c r="C75" s="317"/>
      <c r="D75" s="317"/>
      <c r="E75" s="317"/>
      <c r="F75" s="317"/>
      <c r="G75" s="317"/>
      <c r="H75" s="318" t="e">
        <f ca="1">IF(Summary!D37="Input Error",Summary!D37,TEXT(Summary!D37,"£#,##0")&amp;" pa")</f>
        <v>#N/A</v>
      </c>
      <c r="I75" s="317"/>
      <c r="J75" s="318" t="e">
        <f ca="1">IF(Summary!E37="Input Error",Summary!E37,TEXT(Summary!E37,"£#,##0")&amp;" pa")</f>
        <v>#N/A</v>
      </c>
      <c r="K75" s="317"/>
      <c r="L75" s="318" t="e">
        <f ca="1">IF(Summary!F37="Input Error",Summary!F37,TEXT(Summary!F37,"£#,##0")&amp;" pa")</f>
        <v>#N/A</v>
      </c>
      <c r="M75" s="266"/>
      <c r="N75" s="353"/>
    </row>
    <row r="76" spans="1:14" ht="15" x14ac:dyDescent="0.25">
      <c r="A76" s="267"/>
      <c r="B76" s="313" t="str">
        <f>"2015 Scheme lump sum" &amp; IF(ChosenRA&gt;=55,""," deferred until SPA")</f>
        <v>2015 Scheme lump sum deferred until SPA</v>
      </c>
      <c r="C76" s="317"/>
      <c r="D76" s="317"/>
      <c r="E76" s="317"/>
      <c r="F76" s="317"/>
      <c r="G76" s="317"/>
      <c r="H76" s="318" t="e">
        <f ca="1">Summary!D38</f>
        <v>#N/A</v>
      </c>
      <c r="I76" s="317"/>
      <c r="J76" s="318" t="e">
        <f ca="1">Summary!E38</f>
        <v>#N/A</v>
      </c>
      <c r="K76" s="317"/>
      <c r="L76" s="318" t="e">
        <f ca="1">Summary!F38</f>
        <v>#N/A</v>
      </c>
      <c r="M76" s="266"/>
      <c r="N76" s="353"/>
    </row>
    <row r="77" spans="1:14" ht="14.25" x14ac:dyDescent="0.2">
      <c r="A77" s="267"/>
      <c r="B77" s="313"/>
      <c r="C77" s="317"/>
      <c r="D77" s="317"/>
      <c r="E77" s="317"/>
      <c r="F77" s="317"/>
      <c r="G77" s="317"/>
      <c r="H77" s="317"/>
      <c r="I77" s="317"/>
      <c r="J77" s="317"/>
      <c r="K77" s="317"/>
      <c r="L77" s="317"/>
      <c r="M77" s="266"/>
      <c r="N77" s="353"/>
    </row>
    <row r="78" spans="1:14" ht="15" x14ac:dyDescent="0.25">
      <c r="A78" s="267"/>
      <c r="B78" s="681" t="str">
        <f>IF(ChosenRA&gt;=55,"Total pension","")</f>
        <v/>
      </c>
      <c r="C78" s="317"/>
      <c r="D78" s="317"/>
      <c r="E78" s="317"/>
      <c r="F78" s="317"/>
      <c r="G78" s="317"/>
      <c r="H78" s="318" t="str">
        <f>IF(ChosenRA&lt;55,"",IF(OR(Summary!D20&lt;0,Summary!D29&lt;0),"input error",TEXT(Summary!D39,"£#,##0")&amp;" pa"))</f>
        <v/>
      </c>
      <c r="I78" s="317"/>
      <c r="J78" s="318" t="str">
        <f>IF(ChosenRA&lt;55,"",IF(OR(Summary!E20&lt;0,Summary!E29&lt;0),"input error",TEXT(Summary!E39,"£#,##0")&amp;" pa"))</f>
        <v/>
      </c>
      <c r="K78" s="317"/>
      <c r="L78" s="318" t="str">
        <f>IF(ChosenRA&lt;55,"",IF(OR(Summary!F20&lt;0,Summary!F29&lt;0),"input error",TEXT(Summary!F39,"£#,##0")&amp;" pa"))</f>
        <v/>
      </c>
      <c r="M78" s="266"/>
      <c r="N78" s="353"/>
    </row>
    <row r="79" spans="1:14" ht="15" x14ac:dyDescent="0.25">
      <c r="A79" s="267"/>
      <c r="B79" s="681" t="str">
        <f>IF(ChosenRA&gt;=55,"Total lump sum","")</f>
        <v/>
      </c>
      <c r="C79" s="317"/>
      <c r="D79" s="317"/>
      <c r="E79" s="317"/>
      <c r="F79" s="317"/>
      <c r="G79" s="317"/>
      <c r="H79" s="318" t="str">
        <f>IF(ChosenRA&lt;55,"",Summary!D40)</f>
        <v/>
      </c>
      <c r="I79" s="317"/>
      <c r="J79" s="318" t="str">
        <f>IF(ChosenRA&lt;55,"",Summary!E40)</f>
        <v/>
      </c>
      <c r="K79" s="317"/>
      <c r="L79" s="318" t="str">
        <f>IF(ChosenRA&lt;55,"",Summary!F40)</f>
        <v/>
      </c>
      <c r="M79" s="266"/>
      <c r="N79" s="353"/>
    </row>
    <row r="80" spans="1:14" ht="15" x14ac:dyDescent="0.25">
      <c r="A80" s="267"/>
      <c r="B80" s="313"/>
      <c r="C80" s="317"/>
      <c r="D80" s="317"/>
      <c r="E80" s="317"/>
      <c r="F80" s="317"/>
      <c r="G80" s="317"/>
      <c r="H80" s="318"/>
      <c r="I80" s="317"/>
      <c r="J80" s="318"/>
      <c r="K80" s="317"/>
      <c r="L80" s="318"/>
      <c r="M80" s="266"/>
      <c r="N80" s="353"/>
    </row>
    <row r="81" spans="1:14" ht="29.25" customHeight="1" x14ac:dyDescent="0.2">
      <c r="A81" s="240"/>
      <c r="B81" s="316" t="s">
        <v>375</v>
      </c>
      <c r="C81" s="317"/>
      <c r="D81" s="317"/>
      <c r="E81" s="317"/>
      <c r="F81" s="317"/>
      <c r="G81" s="317"/>
      <c r="H81" s="317"/>
      <c r="I81" s="317"/>
      <c r="J81" s="317"/>
      <c r="K81" s="317"/>
      <c r="L81" s="317"/>
      <c r="M81" s="266"/>
      <c r="N81" s="353"/>
    </row>
    <row r="82" spans="1:14" ht="16.5" x14ac:dyDescent="0.25">
      <c r="A82" s="240"/>
      <c r="B82" s="680" t="s">
        <v>369</v>
      </c>
      <c r="C82" s="317"/>
      <c r="D82" s="317"/>
      <c r="E82" s="317"/>
      <c r="F82" s="317"/>
      <c r="G82" s="317"/>
      <c r="H82" s="317"/>
      <c r="I82" s="317"/>
      <c r="J82" s="317"/>
      <c r="K82" s="317"/>
      <c r="L82" s="317"/>
      <c r="M82" s="266"/>
      <c r="N82" s="353"/>
    </row>
    <row r="83" spans="1:14" ht="15" x14ac:dyDescent="0.25">
      <c r="A83" s="240"/>
      <c r="B83" s="313" t="str">
        <f>Scheme_Full&amp;" pension"</f>
        <v xml:space="preserve"> pension</v>
      </c>
      <c r="C83" s="317"/>
      <c r="D83" s="317"/>
      <c r="E83" s="317"/>
      <c r="F83" s="317"/>
      <c r="G83" s="317"/>
      <c r="H83" s="318" t="e">
        <f>IF(Summary!D41="input error",Summary!D41,TEXT(Summary!D41,"£#,##0")&amp;" pa")</f>
        <v>#N/A</v>
      </c>
      <c r="I83" s="317"/>
      <c r="J83" s="318" t="e">
        <f>IF(Summary!E41="input error",Summary!E41,TEXT(Summary!E41,"£#,##0")&amp;" pa")</f>
        <v>#N/A</v>
      </c>
      <c r="K83" s="317"/>
      <c r="L83" s="318" t="e">
        <f>IF(Summary!F41="input error",Summary!F41,TEXT(Summary!F41,"£#,##0")&amp;" pa")</f>
        <v>#N/A</v>
      </c>
      <c r="M83" s="266"/>
      <c r="N83" s="353"/>
    </row>
    <row r="84" spans="1:14" ht="15" x14ac:dyDescent="0.25">
      <c r="A84" s="240"/>
      <c r="B84" s="313" t="str">
        <f>Scheme_Full&amp;" lump sum"</f>
        <v xml:space="preserve"> lump sum</v>
      </c>
      <c r="C84" s="317"/>
      <c r="D84" s="317"/>
      <c r="E84" s="317"/>
      <c r="F84" s="317"/>
      <c r="G84" s="317"/>
      <c r="H84" s="318" t="e">
        <f>Summary!D42</f>
        <v>#N/A</v>
      </c>
      <c r="I84" s="317"/>
      <c r="J84" s="318" t="e">
        <f>Summary!E42</f>
        <v>#N/A</v>
      </c>
      <c r="K84" s="317"/>
      <c r="L84" s="318" t="e">
        <f>Summary!F42</f>
        <v>#N/A</v>
      </c>
      <c r="M84" s="266"/>
      <c r="N84" s="353"/>
    </row>
    <row r="85" spans="1:14" ht="15" x14ac:dyDescent="0.25">
      <c r="A85" s="240"/>
      <c r="B85" s="313"/>
      <c r="C85" s="317"/>
      <c r="D85" s="317"/>
      <c r="E85" s="317"/>
      <c r="F85" s="317"/>
      <c r="G85" s="317"/>
      <c r="H85" s="318" t="s">
        <v>209</v>
      </c>
      <c r="I85" s="317"/>
      <c r="J85" s="318" t="s">
        <v>209</v>
      </c>
      <c r="K85" s="317"/>
      <c r="L85" s="318" t="s">
        <v>209</v>
      </c>
      <c r="M85" s="266"/>
      <c r="N85" s="353"/>
    </row>
    <row r="86" spans="1:14" ht="15" x14ac:dyDescent="0.25">
      <c r="A86" s="240"/>
      <c r="B86" s="313" t="str">
        <f>"2015 Scheme pension" &amp; IF(ChosenRA&gt;=55,""," deferred until SPA")</f>
        <v>2015 Scheme pension deferred until SPA</v>
      </c>
      <c r="C86" s="317"/>
      <c r="D86" s="317"/>
      <c r="E86" s="317"/>
      <c r="F86" s="317"/>
      <c r="G86" s="317"/>
      <c r="H86" s="318" t="e">
        <f ca="1">IF(Summary!D43="input error",Summary!D43,TEXT(Summary!D43,"£#,##0")&amp;" pa")</f>
        <v>#N/A</v>
      </c>
      <c r="I86" s="317"/>
      <c r="J86" s="318" t="e">
        <f ca="1">IF(Summary!E43="input error",Summary!E43,TEXT(Summary!E43,"£#,##0")&amp;" pa")</f>
        <v>#N/A</v>
      </c>
      <c r="K86" s="317"/>
      <c r="L86" s="318" t="e">
        <f ca="1">IF(Summary!F43="input error",Summary!F43,TEXT(Summary!F43,"£#,##0")&amp;" pa")</f>
        <v>#N/A</v>
      </c>
      <c r="M86" s="266"/>
      <c r="N86" s="353"/>
    </row>
    <row r="87" spans="1:14" ht="15" x14ac:dyDescent="0.25">
      <c r="A87" s="240"/>
      <c r="B87" s="313"/>
      <c r="C87" s="317"/>
      <c r="D87" s="317"/>
      <c r="E87" s="317"/>
      <c r="F87" s="317"/>
      <c r="G87" s="317"/>
      <c r="H87" s="318"/>
      <c r="I87" s="317"/>
      <c r="J87" s="318"/>
      <c r="K87" s="317"/>
      <c r="L87" s="318"/>
      <c r="M87" s="266"/>
      <c r="N87" s="353"/>
    </row>
    <row r="88" spans="1:14" ht="15" x14ac:dyDescent="0.25">
      <c r="A88" s="240"/>
      <c r="B88" s="681" t="str">
        <f>IF(ChosenRA&gt;=55,"Total pension","")</f>
        <v/>
      </c>
      <c r="C88" s="317"/>
      <c r="D88" s="317"/>
      <c r="E88" s="317"/>
      <c r="F88" s="317"/>
      <c r="G88" s="317"/>
      <c r="H88" s="318" t="str">
        <f>IF(ChosenRA&lt;55,"",IF(Summary!D44="input error",Summary!D44,TEXT(Summary!D44,"£#,##0")&amp;" pa"))</f>
        <v/>
      </c>
      <c r="I88" s="317"/>
      <c r="J88" s="318" t="str">
        <f>IF(ChosenRA&lt;55,"",IF(Summary!E44="input error",Summary!E44,TEXT(Summary!E44,"£#,##0")&amp;" pa"))</f>
        <v/>
      </c>
      <c r="K88" s="317"/>
      <c r="L88" s="318" t="str">
        <f>IF(ChosenRA&lt;55,"",IF(Summary!F44="input error",Summary!F44,TEXT(Summary!F44,"£#,##0")&amp;" pa"))</f>
        <v/>
      </c>
      <c r="M88" s="266"/>
      <c r="N88" s="353"/>
    </row>
    <row r="89" spans="1:14" ht="15" x14ac:dyDescent="0.25">
      <c r="A89" s="240"/>
      <c r="B89" s="681" t="str">
        <f>IF(ChosenRA&gt;=55,"Total lump sum","")</f>
        <v/>
      </c>
      <c r="C89" s="317"/>
      <c r="D89" s="317"/>
      <c r="E89" s="317"/>
      <c r="F89" s="317"/>
      <c r="G89" s="317"/>
      <c r="H89" s="318" t="str">
        <f>IF(ChosenRA&gt;=55,H84,"")</f>
        <v/>
      </c>
      <c r="I89" s="317"/>
      <c r="J89" s="318" t="str">
        <f>IF(ChosenRA&gt;=55,J84,"")</f>
        <v/>
      </c>
      <c r="K89" s="317"/>
      <c r="L89" s="318" t="str">
        <f>IF(ChosenRA&gt;=55,L84,"")</f>
        <v/>
      </c>
      <c r="M89" s="266"/>
      <c r="N89" s="353"/>
    </row>
    <row r="90" spans="1:14" ht="15" x14ac:dyDescent="0.25">
      <c r="A90" s="240"/>
      <c r="B90" s="314"/>
      <c r="C90" s="323"/>
      <c r="D90" s="323"/>
      <c r="E90" s="323"/>
      <c r="F90" s="323"/>
      <c r="G90" s="323"/>
      <c r="H90" s="324"/>
      <c r="I90" s="324"/>
      <c r="J90" s="324"/>
      <c r="K90" s="324"/>
      <c r="L90" s="324"/>
      <c r="M90" s="325"/>
      <c r="N90" s="355"/>
    </row>
    <row r="91" spans="1:14" ht="15.75" thickBot="1" x14ac:dyDescent="0.3">
      <c r="A91" s="240"/>
      <c r="B91" s="310"/>
      <c r="C91" s="317"/>
      <c r="D91" s="317"/>
      <c r="E91" s="317"/>
      <c r="F91" s="317"/>
      <c r="G91" s="317"/>
      <c r="H91" s="310"/>
      <c r="I91" s="310"/>
      <c r="J91" s="310"/>
      <c r="K91" s="310"/>
      <c r="L91" s="310"/>
      <c r="M91" s="266"/>
      <c r="N91" s="266"/>
    </row>
    <row r="92" spans="1:14" ht="21.75" customHeight="1" x14ac:dyDescent="0.25">
      <c r="A92" s="240"/>
      <c r="B92" s="697" t="s">
        <v>496</v>
      </c>
      <c r="C92" s="698"/>
      <c r="D92" s="699"/>
      <c r="E92" s="240"/>
      <c r="F92" s="697" t="s">
        <v>497</v>
      </c>
      <c r="G92" s="698"/>
      <c r="H92" s="699"/>
      <c r="I92" s="240"/>
      <c r="J92" s="697" t="s">
        <v>498</v>
      </c>
      <c r="K92" s="698"/>
      <c r="L92" s="699"/>
      <c r="M92" s="327"/>
      <c r="N92" s="266"/>
    </row>
    <row r="93" spans="1:14" ht="21.75" customHeight="1" thickBot="1" x14ac:dyDescent="0.3">
      <c r="A93" s="240"/>
      <c r="B93" s="700"/>
      <c r="C93" s="701"/>
      <c r="D93" s="702"/>
      <c r="E93" s="240"/>
      <c r="F93" s="700"/>
      <c r="G93" s="701"/>
      <c r="H93" s="702"/>
      <c r="I93" s="240"/>
      <c r="J93" s="700"/>
      <c r="K93" s="701"/>
      <c r="L93" s="702"/>
      <c r="M93" s="327"/>
      <c r="N93" s="266"/>
    </row>
    <row r="94" spans="1:14" ht="13.5" customHeight="1" x14ac:dyDescent="0.25">
      <c r="A94" s="240"/>
      <c r="B94" s="310"/>
      <c r="C94" s="309"/>
      <c r="D94" s="309"/>
      <c r="E94" s="309"/>
      <c r="F94" s="309"/>
      <c r="G94" s="309"/>
      <c r="H94" s="311"/>
      <c r="I94" s="311"/>
      <c r="J94" s="311"/>
      <c r="K94" s="311"/>
      <c r="L94" s="311"/>
      <c r="M94" s="240"/>
      <c r="N94" s="240"/>
    </row>
    <row r="95" spans="1:14" ht="15.75" x14ac:dyDescent="0.25">
      <c r="A95" s="240"/>
      <c r="B95" s="270"/>
      <c r="C95" s="193"/>
      <c r="D95" s="193"/>
      <c r="E95" s="193"/>
      <c r="F95" s="193"/>
      <c r="G95" s="193"/>
      <c r="H95" s="193"/>
      <c r="I95" s="193"/>
      <c r="J95" s="193"/>
      <c r="K95" s="193"/>
      <c r="L95" s="193"/>
      <c r="M95" s="193"/>
    </row>
    <row r="96" spans="1:14" ht="27" customHeight="1" x14ac:dyDescent="0.2">
      <c r="A96" s="240"/>
      <c r="B96" s="692"/>
      <c r="C96" s="692"/>
      <c r="D96" s="692"/>
      <c r="E96" s="692"/>
      <c r="F96" s="692"/>
      <c r="G96" s="692"/>
      <c r="H96" s="692"/>
      <c r="I96" s="692"/>
      <c r="J96" s="692"/>
      <c r="K96" s="692"/>
      <c r="L96" s="692"/>
      <c r="M96" s="692"/>
    </row>
    <row r="97" spans="1:14" x14ac:dyDescent="0.2">
      <c r="A97" s="240"/>
      <c r="B97" s="692"/>
      <c r="C97" s="692"/>
      <c r="D97" s="692"/>
      <c r="E97" s="692"/>
      <c r="F97" s="692"/>
      <c r="G97" s="692"/>
      <c r="H97" s="692"/>
      <c r="I97" s="692"/>
      <c r="J97" s="692"/>
      <c r="K97" s="692"/>
      <c r="L97" s="692"/>
      <c r="M97" s="692"/>
    </row>
    <row r="98" spans="1:14" ht="30.75" customHeight="1" x14ac:dyDescent="0.2">
      <c r="A98" s="240"/>
      <c r="B98" s="692"/>
      <c r="C98" s="710"/>
      <c r="D98" s="710"/>
      <c r="E98" s="710"/>
      <c r="F98" s="710"/>
      <c r="G98" s="710"/>
      <c r="H98" s="710"/>
      <c r="I98" s="710"/>
      <c r="J98" s="710"/>
      <c r="K98" s="710"/>
      <c r="L98" s="710"/>
      <c r="M98" s="710"/>
    </row>
    <row r="99" spans="1:14" x14ac:dyDescent="0.2">
      <c r="A99" s="240"/>
      <c r="B99" s="708"/>
      <c r="C99" s="708"/>
      <c r="D99" s="708"/>
      <c r="E99" s="708"/>
      <c r="F99" s="708"/>
      <c r="G99" s="708"/>
      <c r="H99" s="708"/>
      <c r="I99" s="708"/>
      <c r="J99" s="708"/>
      <c r="K99" s="708"/>
      <c r="L99" s="708"/>
      <c r="M99" s="708"/>
    </row>
    <row r="100" spans="1:14" x14ac:dyDescent="0.2">
      <c r="A100" s="240"/>
      <c r="B100" s="708"/>
      <c r="C100" s="708"/>
      <c r="D100" s="708"/>
      <c r="E100" s="708"/>
      <c r="F100" s="708"/>
      <c r="G100" s="708"/>
      <c r="H100" s="708"/>
      <c r="I100" s="708"/>
      <c r="J100" s="708"/>
      <c r="K100" s="708"/>
      <c r="L100" s="708"/>
      <c r="M100" s="708"/>
    </row>
    <row r="101" spans="1:14" ht="43.5" customHeight="1" x14ac:dyDescent="0.2">
      <c r="A101" s="240"/>
      <c r="B101" s="692"/>
      <c r="C101" s="710"/>
      <c r="D101" s="710"/>
      <c r="E101" s="710"/>
      <c r="F101" s="710"/>
      <c r="G101" s="710"/>
      <c r="H101" s="710"/>
      <c r="I101" s="710"/>
      <c r="J101" s="710"/>
      <c r="K101" s="710"/>
      <c r="L101" s="710"/>
      <c r="M101" s="710"/>
    </row>
    <row r="102" spans="1:14" ht="42.75" customHeight="1" x14ac:dyDescent="0.2">
      <c r="A102" s="240"/>
      <c r="B102" s="692"/>
      <c r="C102" s="710"/>
      <c r="D102" s="710"/>
      <c r="E102" s="710"/>
      <c r="F102" s="710"/>
      <c r="G102" s="710"/>
      <c r="H102" s="710"/>
      <c r="I102" s="710"/>
      <c r="J102" s="710"/>
      <c r="K102" s="710"/>
      <c r="L102" s="710"/>
      <c r="M102" s="710"/>
    </row>
    <row r="103" spans="1:14" x14ac:dyDescent="0.2">
      <c r="A103" s="240"/>
      <c r="B103" s="711"/>
      <c r="C103" s="711"/>
      <c r="D103" s="711"/>
      <c r="E103" s="711"/>
      <c r="F103" s="711"/>
      <c r="G103" s="711"/>
      <c r="H103" s="711"/>
      <c r="I103" s="711"/>
      <c r="J103" s="711"/>
      <c r="K103" s="711"/>
      <c r="L103" s="711"/>
      <c r="M103" s="711"/>
    </row>
    <row r="104" spans="1:14" ht="54" customHeight="1" x14ac:dyDescent="0.2">
      <c r="A104" s="356"/>
      <c r="B104" s="692"/>
      <c r="C104" s="710"/>
      <c r="D104" s="710"/>
      <c r="E104" s="710"/>
      <c r="F104" s="710"/>
      <c r="G104" s="710"/>
      <c r="H104" s="710"/>
      <c r="I104" s="710"/>
      <c r="J104" s="710"/>
      <c r="K104" s="710"/>
      <c r="L104" s="710"/>
      <c r="M104" s="710"/>
    </row>
    <row r="105" spans="1:14" ht="36" customHeight="1" x14ac:dyDescent="0.2">
      <c r="A105" s="356"/>
      <c r="B105" s="692"/>
      <c r="C105" s="692"/>
      <c r="D105" s="692"/>
      <c r="E105" s="692"/>
      <c r="F105" s="692"/>
      <c r="G105" s="692"/>
      <c r="H105" s="692"/>
      <c r="I105" s="692"/>
      <c r="J105" s="692"/>
      <c r="K105" s="692"/>
      <c r="L105" s="692"/>
      <c r="M105" s="692"/>
    </row>
    <row r="106" spans="1:14" ht="42.75" customHeight="1" x14ac:dyDescent="0.2">
      <c r="A106" s="356"/>
      <c r="B106" s="692"/>
      <c r="C106" s="710"/>
      <c r="D106" s="710"/>
      <c r="E106" s="710"/>
      <c r="F106" s="710"/>
      <c r="G106" s="710"/>
      <c r="H106" s="710"/>
      <c r="I106" s="710"/>
      <c r="J106" s="710"/>
      <c r="K106" s="710"/>
      <c r="L106" s="710"/>
      <c r="M106" s="710"/>
    </row>
    <row r="107" spans="1:14" ht="15.75" customHeight="1" x14ac:dyDescent="0.2">
      <c r="A107" s="356"/>
      <c r="B107" s="692"/>
      <c r="C107" s="710"/>
      <c r="D107" s="710"/>
      <c r="E107" s="710"/>
      <c r="F107" s="710"/>
      <c r="G107" s="710"/>
      <c r="H107" s="710"/>
      <c r="I107" s="710"/>
      <c r="J107" s="710"/>
      <c r="K107" s="710"/>
      <c r="L107" s="710"/>
      <c r="M107" s="710"/>
    </row>
    <row r="108" spans="1:14" ht="42" customHeight="1" x14ac:dyDescent="0.2">
      <c r="A108" s="356"/>
      <c r="B108" s="692"/>
      <c r="C108" s="710"/>
      <c r="D108" s="710"/>
      <c r="E108" s="710"/>
      <c r="F108" s="710"/>
      <c r="G108" s="710"/>
      <c r="H108" s="710"/>
      <c r="I108" s="710"/>
      <c r="J108" s="710"/>
      <c r="K108" s="710"/>
      <c r="L108" s="710"/>
      <c r="M108" s="710"/>
    </row>
    <row r="109" spans="1:14" ht="18.75" customHeight="1" x14ac:dyDescent="0.2">
      <c r="A109" s="240"/>
      <c r="B109" s="718"/>
      <c r="C109" s="718"/>
      <c r="D109" s="718"/>
      <c r="E109" s="718"/>
      <c r="F109" s="718"/>
      <c r="G109" s="718"/>
      <c r="H109" s="718"/>
      <c r="I109" s="718"/>
      <c r="J109" s="718"/>
      <c r="K109" s="718"/>
      <c r="L109" s="718"/>
      <c r="M109" s="718"/>
    </row>
    <row r="110" spans="1:14" ht="30.75" customHeight="1" x14ac:dyDescent="0.2">
      <c r="A110" s="240"/>
      <c r="B110" s="710"/>
      <c r="C110" s="710"/>
      <c r="D110" s="710"/>
      <c r="E110" s="710"/>
      <c r="F110" s="710"/>
      <c r="G110" s="710"/>
      <c r="H110" s="710"/>
      <c r="I110" s="710"/>
      <c r="J110" s="710"/>
      <c r="K110" s="710"/>
      <c r="L110" s="710"/>
      <c r="M110" s="710"/>
    </row>
    <row r="111" spans="1:14" ht="28.5" customHeight="1" x14ac:dyDescent="0.2">
      <c r="A111" s="356"/>
      <c r="B111" s="709"/>
      <c r="C111" s="709"/>
      <c r="D111" s="709"/>
      <c r="E111" s="709"/>
      <c r="F111" s="709"/>
      <c r="G111" s="709"/>
      <c r="H111" s="709"/>
      <c r="I111" s="709"/>
      <c r="J111" s="709"/>
      <c r="K111" s="709"/>
      <c r="L111" s="709"/>
      <c r="M111" s="709"/>
      <c r="N111" s="190"/>
    </row>
    <row r="112" spans="1:14" ht="21" customHeight="1" x14ac:dyDescent="0.2">
      <c r="A112" s="356"/>
      <c r="B112" s="705"/>
      <c r="C112" s="706"/>
      <c r="D112" s="706"/>
      <c r="E112" s="706"/>
      <c r="F112" s="706"/>
      <c r="G112" s="706"/>
      <c r="H112" s="706"/>
      <c r="I112" s="706"/>
      <c r="J112" s="706"/>
      <c r="K112" s="706"/>
      <c r="L112" s="706"/>
      <c r="M112" s="706"/>
    </row>
    <row r="113" spans="1:13" ht="18.75" customHeight="1" x14ac:dyDescent="0.25">
      <c r="A113" s="356"/>
      <c r="B113" s="270"/>
      <c r="C113" s="194"/>
      <c r="D113" s="194"/>
      <c r="E113" s="194"/>
      <c r="F113" s="194"/>
      <c r="G113" s="194"/>
      <c r="H113" s="194"/>
      <c r="I113" s="194"/>
      <c r="J113" s="194"/>
      <c r="K113" s="194"/>
      <c r="L113" s="194"/>
      <c r="M113" s="194"/>
    </row>
    <row r="114" spans="1:13" ht="18.75" customHeight="1" x14ac:dyDescent="0.2">
      <c r="A114" s="356"/>
      <c r="B114" s="719"/>
      <c r="C114" s="719"/>
      <c r="D114" s="719"/>
      <c r="E114" s="719"/>
      <c r="F114" s="719"/>
      <c r="G114" s="719"/>
      <c r="H114" s="719"/>
      <c r="I114" s="719"/>
      <c r="J114" s="719"/>
      <c r="K114" s="719"/>
      <c r="L114" s="719"/>
      <c r="M114" s="719"/>
    </row>
    <row r="115" spans="1:13" ht="14.25" customHeight="1" x14ac:dyDescent="0.2">
      <c r="A115" s="356"/>
      <c r="B115" s="716"/>
      <c r="C115" s="716"/>
      <c r="D115" s="716"/>
      <c r="E115" s="716"/>
      <c r="F115" s="716"/>
      <c r="G115" s="716"/>
      <c r="H115" s="716"/>
      <c r="I115" s="716"/>
      <c r="J115" s="716"/>
      <c r="K115" s="716"/>
      <c r="L115" s="716"/>
      <c r="M115" s="716"/>
    </row>
    <row r="116" spans="1:13" ht="28.5" customHeight="1" x14ac:dyDescent="0.2">
      <c r="A116" s="356"/>
      <c r="B116" s="704"/>
      <c r="C116" s="703"/>
      <c r="D116" s="703"/>
      <c r="E116" s="703"/>
      <c r="F116" s="703"/>
      <c r="G116" s="703"/>
      <c r="H116" s="703"/>
      <c r="I116" s="703"/>
      <c r="J116" s="703"/>
      <c r="K116" s="703"/>
      <c r="L116" s="703"/>
      <c r="M116" s="703"/>
    </row>
    <row r="117" spans="1:13" ht="3.75" customHeight="1" x14ac:dyDescent="0.2">
      <c r="A117" s="356"/>
      <c r="B117" s="720"/>
      <c r="C117" s="720"/>
      <c r="D117" s="720"/>
      <c r="E117" s="720"/>
      <c r="F117" s="720"/>
      <c r="G117" s="720"/>
      <c r="H117" s="720"/>
      <c r="I117" s="720"/>
      <c r="J117" s="720"/>
      <c r="K117" s="720"/>
      <c r="L117" s="720"/>
      <c r="M117" s="720"/>
    </row>
    <row r="118" spans="1:13" ht="12.75" customHeight="1" x14ac:dyDescent="0.2">
      <c r="A118" s="356"/>
      <c r="B118" s="271"/>
      <c r="C118" s="195"/>
      <c r="D118" s="195"/>
      <c r="E118" s="195"/>
      <c r="F118" s="195"/>
      <c r="G118" s="195"/>
      <c r="H118" s="195"/>
      <c r="I118" s="195"/>
      <c r="J118" s="195"/>
      <c r="K118" s="195"/>
      <c r="L118" s="195"/>
      <c r="M118" s="195"/>
    </row>
    <row r="119" spans="1:13" ht="13.5" customHeight="1" x14ac:dyDescent="0.2">
      <c r="A119" s="356"/>
      <c r="B119" s="703"/>
      <c r="C119" s="703"/>
      <c r="D119" s="703"/>
      <c r="E119" s="703"/>
      <c r="F119" s="703"/>
      <c r="G119" s="703"/>
      <c r="H119" s="703"/>
      <c r="I119" s="703"/>
      <c r="J119" s="703"/>
      <c r="K119" s="703"/>
      <c r="L119" s="703"/>
      <c r="M119" s="703"/>
    </row>
    <row r="120" spans="1:13" ht="24.75" customHeight="1" x14ac:dyDescent="0.2">
      <c r="A120" s="356"/>
      <c r="B120" s="703"/>
      <c r="C120" s="703"/>
      <c r="D120" s="703"/>
      <c r="E120" s="703"/>
      <c r="F120" s="703"/>
      <c r="G120" s="703"/>
      <c r="H120" s="703"/>
      <c r="I120" s="703"/>
      <c r="J120" s="703"/>
      <c r="K120" s="703"/>
      <c r="L120" s="703"/>
      <c r="M120" s="703"/>
    </row>
    <row r="121" spans="1:13" ht="9" customHeight="1" x14ac:dyDescent="0.2">
      <c r="A121" s="356"/>
      <c r="B121" s="272"/>
      <c r="C121" s="196"/>
      <c r="D121" s="196"/>
      <c r="E121" s="196"/>
      <c r="F121" s="196"/>
      <c r="G121" s="196"/>
      <c r="H121" s="196"/>
      <c r="I121" s="196"/>
      <c r="J121" s="196"/>
      <c r="K121" s="196"/>
      <c r="L121" s="196"/>
      <c r="M121" s="196"/>
    </row>
    <row r="122" spans="1:13" ht="12.75" customHeight="1" x14ac:dyDescent="0.25">
      <c r="A122" s="356"/>
      <c r="B122" s="270"/>
      <c r="C122" s="197"/>
      <c r="D122" s="197"/>
      <c r="E122" s="197"/>
      <c r="F122" s="197"/>
      <c r="G122" s="197"/>
      <c r="H122" s="197"/>
      <c r="I122" s="197"/>
      <c r="J122" s="198"/>
      <c r="K122" s="198"/>
      <c r="L122" s="198"/>
      <c r="M122" s="198"/>
    </row>
    <row r="123" spans="1:13" ht="26.25" customHeight="1" x14ac:dyDescent="0.2">
      <c r="A123" s="356"/>
      <c r="B123" s="704"/>
      <c r="C123" s="704"/>
      <c r="D123" s="704"/>
      <c r="E123" s="704"/>
      <c r="F123" s="704"/>
      <c r="G123" s="704"/>
      <c r="H123" s="704"/>
      <c r="I123" s="704"/>
      <c r="J123" s="704"/>
      <c r="K123" s="704"/>
      <c r="L123" s="704"/>
      <c r="M123" s="704"/>
    </row>
    <row r="124" spans="1:13" ht="12.75" customHeight="1" x14ac:dyDescent="0.2">
      <c r="A124" s="356"/>
      <c r="B124" s="717"/>
      <c r="C124" s="717"/>
      <c r="D124" s="717"/>
      <c r="E124" s="717"/>
      <c r="F124" s="717"/>
      <c r="G124" s="717"/>
      <c r="H124" s="717"/>
      <c r="I124" s="717"/>
      <c r="J124" s="717"/>
      <c r="K124" s="717"/>
      <c r="L124" s="717"/>
      <c r="M124" s="717"/>
    </row>
    <row r="125" spans="1:13" ht="12.75" customHeight="1" x14ac:dyDescent="0.2">
      <c r="A125" s="356"/>
      <c r="B125" s="717"/>
      <c r="C125" s="717"/>
      <c r="D125" s="717"/>
      <c r="E125" s="717"/>
      <c r="F125" s="717"/>
      <c r="G125" s="717"/>
      <c r="H125" s="717"/>
      <c r="I125" s="717"/>
      <c r="J125" s="717"/>
      <c r="K125" s="717"/>
      <c r="L125" s="717"/>
      <c r="M125" s="717"/>
    </row>
    <row r="126" spans="1:13" ht="12.75" customHeight="1" x14ac:dyDescent="0.2">
      <c r="A126" s="356"/>
      <c r="B126" s="716"/>
      <c r="C126" s="717"/>
      <c r="D126" s="717"/>
      <c r="E126" s="717"/>
      <c r="F126" s="717"/>
      <c r="G126" s="717"/>
      <c r="H126" s="717"/>
      <c r="I126" s="717"/>
      <c r="J126" s="717"/>
      <c r="K126" s="717"/>
      <c r="L126" s="717"/>
      <c r="M126" s="717"/>
    </row>
    <row r="132" spans="1:14" x14ac:dyDescent="0.2">
      <c r="F132" s="48"/>
    </row>
    <row r="133" spans="1:14" x14ac:dyDescent="0.2">
      <c r="K133" s="49"/>
      <c r="N133" s="51"/>
    </row>
    <row r="134" spans="1:14" x14ac:dyDescent="0.2">
      <c r="A134" s="52" t="s">
        <v>134</v>
      </c>
      <c r="B134" s="52"/>
      <c r="C134" s="53"/>
      <c r="K134" s="49"/>
      <c r="N134" s="51"/>
    </row>
    <row r="136" spans="1:14" x14ac:dyDescent="0.2">
      <c r="A136" s="88" t="s">
        <v>117</v>
      </c>
      <c r="B136" s="366">
        <f ca="1">DATE(YEAR(Date_curr)-18,MONTH(Date_curr),DAY(Date_curr))</f>
        <v>37668</v>
      </c>
      <c r="C136" s="54"/>
      <c r="D136" s="48" t="s">
        <v>186</v>
      </c>
      <c r="E136" s="48"/>
      <c r="F136" s="48"/>
      <c r="G136" s="48"/>
      <c r="H136" s="48"/>
      <c r="J136" s="48"/>
      <c r="K136" s="48"/>
      <c r="L136" s="48"/>
      <c r="M136" s="48"/>
    </row>
    <row r="137" spans="1:14" x14ac:dyDescent="0.2">
      <c r="A137" s="54"/>
      <c r="B137" s="366">
        <f>DATE(YEAR(DJS)-18,MONTH(DJS),DAY(DJS))</f>
        <v>687388</v>
      </c>
      <c r="C137" s="48"/>
      <c r="D137" s="48" t="s">
        <v>185</v>
      </c>
      <c r="E137" s="48"/>
      <c r="F137" s="48"/>
      <c r="G137" s="48"/>
      <c r="J137" s="48"/>
      <c r="K137" s="48"/>
      <c r="L137" s="48"/>
      <c r="M137" s="48"/>
    </row>
    <row r="138" spans="1:14" x14ac:dyDescent="0.2">
      <c r="A138" s="54"/>
      <c r="B138" s="366">
        <f ca="1">MIN(B136:B137)</f>
        <v>37668</v>
      </c>
      <c r="C138" s="48"/>
      <c r="D138" s="48" t="s">
        <v>187</v>
      </c>
      <c r="E138" s="48"/>
      <c r="F138" s="48"/>
      <c r="G138" s="48"/>
      <c r="H138" s="48"/>
      <c r="I138" s="367"/>
      <c r="J138" s="48"/>
      <c r="K138" s="48"/>
      <c r="L138" s="48"/>
      <c r="M138" s="48"/>
    </row>
    <row r="139" spans="1:14" x14ac:dyDescent="0.2">
      <c r="A139" s="54"/>
      <c r="B139" s="366">
        <f ca="1">DATE(YEAR(Parameters!D99)-75,MONTH(Parameters!D99),DAY(Parameters!D99))</f>
        <v>16528</v>
      </c>
      <c r="C139" s="48"/>
      <c r="D139" s="48" t="s">
        <v>781</v>
      </c>
      <c r="E139" s="48"/>
      <c r="F139" s="48"/>
      <c r="G139" s="48"/>
      <c r="H139" s="48"/>
      <c r="I139" s="48"/>
      <c r="J139" s="48"/>
      <c r="K139" s="48"/>
      <c r="L139" s="48"/>
      <c r="M139" s="48"/>
    </row>
    <row r="140" spans="1:14" x14ac:dyDescent="0.2">
      <c r="A140" s="88" t="s">
        <v>59</v>
      </c>
      <c r="B140" s="89"/>
      <c r="C140" s="48"/>
      <c r="D140" s="48"/>
      <c r="E140" s="48"/>
      <c r="F140" s="48"/>
      <c r="G140" s="48"/>
      <c r="H140" s="48"/>
      <c r="I140" s="48"/>
      <c r="J140" s="48"/>
      <c r="K140" s="48"/>
      <c r="L140" s="48"/>
      <c r="M140" s="48"/>
    </row>
    <row r="141" spans="1:14" x14ac:dyDescent="0.2">
      <c r="A141" s="55"/>
      <c r="B141" s="48" t="str">
        <f>+IF(DJS&gt;=NewSchDate,"2015 Scheme",IF(D141&gt;=18,IF(DJS&gt;F141,"2008 Scheme","1995 Scheme"),"2008 Scheme"))</f>
        <v>1995 Scheme</v>
      </c>
      <c r="C141" s="48"/>
      <c r="D141" s="56">
        <f>+(F141-DoB)/365.25</f>
        <v>106.26420260095824</v>
      </c>
      <c r="E141" s="57" t="s">
        <v>135</v>
      </c>
      <c r="F141" s="366">
        <v>38813</v>
      </c>
      <c r="G141" s="48"/>
      <c r="H141" s="48"/>
      <c r="I141" s="48"/>
      <c r="J141" s="48"/>
      <c r="K141" s="48"/>
      <c r="L141" s="48"/>
      <c r="M141" s="48"/>
    </row>
    <row r="142" spans="1:14" x14ac:dyDescent="0.2">
      <c r="A142" s="55"/>
      <c r="B142" s="48" t="str">
        <f>IF(DJS&gt;=NewSchDate,"",IF(B141="2008 Scheme","","2008 Scheme"))</f>
        <v>2008 Scheme</v>
      </c>
      <c r="C142" s="48" t="str">
        <f>""</f>
        <v/>
      </c>
      <c r="D142" s="48" t="s">
        <v>692</v>
      </c>
      <c r="E142" s="48"/>
      <c r="F142" s="48"/>
      <c r="G142" s="48"/>
      <c r="H142" s="48"/>
      <c r="I142" s="48"/>
      <c r="J142" s="48"/>
      <c r="K142" s="48"/>
      <c r="L142" s="48"/>
      <c r="M142" s="48"/>
    </row>
    <row r="143" spans="1:14" x14ac:dyDescent="0.2">
      <c r="A143" s="55"/>
      <c r="C143" s="48"/>
      <c r="D143" s="48"/>
      <c r="E143" s="48"/>
      <c r="F143" s="48"/>
      <c r="G143" s="48"/>
      <c r="H143" s="48"/>
      <c r="I143" s="48"/>
      <c r="J143" s="48"/>
      <c r="K143" s="48"/>
      <c r="L143" s="48"/>
      <c r="M143" s="48"/>
    </row>
    <row r="144" spans="1:14" x14ac:dyDescent="0.2">
      <c r="A144" s="88" t="s">
        <v>119</v>
      </c>
      <c r="B144" s="48" t="s">
        <v>129</v>
      </c>
      <c r="C144" s="366">
        <f ca="1">Date_curr</f>
        <v>44243</v>
      </c>
      <c r="D144" s="54"/>
      <c r="E144" s="48"/>
      <c r="F144" s="48"/>
      <c r="G144" s="48"/>
      <c r="H144" s="48"/>
      <c r="I144" s="48"/>
      <c r="J144" s="48"/>
      <c r="K144" s="48"/>
      <c r="L144" s="48"/>
      <c r="M144" s="48"/>
    </row>
    <row r="145" spans="1:16" x14ac:dyDescent="0.2">
      <c r="A145" s="48"/>
      <c r="B145" s="48" t="s">
        <v>128</v>
      </c>
      <c r="C145" s="366">
        <f>+DATE(YEAR(DoB)+18,MONTH(DoB),DAY(DoB))</f>
        <v>6575</v>
      </c>
      <c r="D145" s="54"/>
      <c r="E145" s="48" t="s">
        <v>120</v>
      </c>
      <c r="F145" s="48"/>
      <c r="G145" s="48"/>
      <c r="H145" s="48"/>
      <c r="I145" s="48"/>
      <c r="J145" s="48"/>
      <c r="K145" s="48"/>
      <c r="L145" s="48"/>
      <c r="M145" s="48"/>
    </row>
    <row r="146" spans="1:16" x14ac:dyDescent="0.2">
      <c r="A146" s="48"/>
      <c r="C146" s="54"/>
      <c r="D146" s="366">
        <v>38813</v>
      </c>
      <c r="E146" s="48" t="s">
        <v>693</v>
      </c>
      <c r="F146" s="48"/>
      <c r="G146" s="48"/>
      <c r="H146" s="48"/>
      <c r="I146" s="48"/>
      <c r="J146" s="48"/>
      <c r="K146" s="48"/>
      <c r="L146" s="48"/>
      <c r="M146" s="48"/>
    </row>
    <row r="147" spans="1:16" x14ac:dyDescent="0.2">
      <c r="A147" s="88" t="s">
        <v>122</v>
      </c>
      <c r="B147" s="89"/>
      <c r="C147" s="54"/>
      <c r="E147" s="48"/>
      <c r="F147" s="48"/>
      <c r="G147" s="48"/>
      <c r="H147" s="48"/>
      <c r="I147" s="48"/>
      <c r="J147" s="48"/>
      <c r="K147" s="48"/>
      <c r="L147" s="48"/>
      <c r="M147" s="48"/>
    </row>
    <row r="148" spans="1:16" x14ac:dyDescent="0.2">
      <c r="A148" s="48" t="s">
        <v>128</v>
      </c>
      <c r="B148" s="48">
        <v>1000</v>
      </c>
      <c r="D148" s="48"/>
      <c r="E148" s="48"/>
      <c r="F148" s="48"/>
      <c r="G148" s="48"/>
      <c r="H148" s="48"/>
      <c r="I148" s="48"/>
      <c r="J148" s="48"/>
      <c r="K148" s="48"/>
      <c r="L148" s="48"/>
      <c r="M148" s="48"/>
    </row>
    <row r="149" spans="1:16" x14ac:dyDescent="0.2">
      <c r="A149" s="48" t="s">
        <v>129</v>
      </c>
      <c r="B149" s="48">
        <v>300000</v>
      </c>
      <c r="D149" s="48"/>
      <c r="E149" s="48"/>
      <c r="F149" s="48"/>
      <c r="G149" s="48"/>
      <c r="H149" s="48"/>
      <c r="I149" s="48"/>
      <c r="J149" s="48"/>
      <c r="K149" s="48"/>
      <c r="L149" s="48"/>
      <c r="M149" s="48"/>
    </row>
    <row r="150" spans="1:16" x14ac:dyDescent="0.2">
      <c r="A150" s="88" t="s">
        <v>126</v>
      </c>
      <c r="B150" s="88"/>
      <c r="C150" s="88"/>
      <c r="D150" s="48"/>
      <c r="E150" s="48"/>
      <c r="F150" s="48"/>
      <c r="G150" s="48"/>
      <c r="H150" s="48"/>
      <c r="I150" s="48"/>
      <c r="J150" s="48"/>
      <c r="K150" s="48"/>
      <c r="L150" s="48"/>
      <c r="M150" s="48"/>
    </row>
    <row r="151" spans="1:16" x14ac:dyDescent="0.2">
      <c r="A151" s="48" t="s">
        <v>129</v>
      </c>
      <c r="B151" s="58">
        <f>INT((DJS-DATE(YEAR(DoB)+16,MONTH(DoB),DAY(DoB)))/365.25)</f>
        <v>-16</v>
      </c>
      <c r="C151" s="56">
        <f>+IF(TVinYears&gt;=B151,D151,D152)</f>
        <v>0</v>
      </c>
      <c r="D151" s="48">
        <f>+INT(((DJS-DATE(YEAR(DoB)+16,MONTH(DoB),DAY(DoB)))/365.25-INT((DJS-DATE(YEAR(DoB)+16,MONTH(DoB),DAY(DoB)))/365.25))*365.25)</f>
        <v>0</v>
      </c>
      <c r="E151" s="48" t="s">
        <v>127</v>
      </c>
      <c r="F151" s="48"/>
      <c r="G151" s="48"/>
      <c r="H151" s="48"/>
      <c r="I151" s="48"/>
      <c r="J151" s="48"/>
      <c r="K151" s="48"/>
      <c r="L151" s="48"/>
      <c r="M151" s="48"/>
    </row>
    <row r="152" spans="1:16" x14ac:dyDescent="0.2">
      <c r="A152" s="48"/>
      <c r="C152" s="48"/>
      <c r="D152" s="48">
        <v>365</v>
      </c>
      <c r="E152" s="48"/>
      <c r="F152" s="48"/>
      <c r="G152" s="48"/>
      <c r="H152" s="48"/>
      <c r="I152" s="48"/>
      <c r="J152" s="48"/>
      <c r="K152" s="48"/>
      <c r="L152" s="48"/>
      <c r="M152" s="48"/>
    </row>
    <row r="153" spans="1:16" x14ac:dyDescent="0.2">
      <c r="A153" s="88" t="s">
        <v>130</v>
      </c>
      <c r="B153" s="88"/>
      <c r="D153" s="48"/>
      <c r="E153" s="48"/>
      <c r="I153" s="48"/>
      <c r="J153" s="48"/>
      <c r="K153" s="48"/>
      <c r="L153" s="48"/>
      <c r="M153" s="48"/>
    </row>
    <row r="154" spans="1:16" x14ac:dyDescent="0.2">
      <c r="A154" s="55"/>
      <c r="B154" s="55"/>
      <c r="D154" s="48"/>
      <c r="E154" s="48"/>
      <c r="I154" s="48"/>
      <c r="J154" s="48"/>
      <c r="K154" s="48"/>
      <c r="L154" s="48"/>
      <c r="P154" s="48"/>
    </row>
    <row r="155" spans="1:16" x14ac:dyDescent="0.2">
      <c r="A155" s="55"/>
      <c r="B155" s="55">
        <v>1995</v>
      </c>
      <c r="C155" s="557" t="s">
        <v>694</v>
      </c>
      <c r="D155" s="55" t="s">
        <v>529</v>
      </c>
      <c r="E155" s="55" t="s">
        <v>528</v>
      </c>
      <c r="F155" s="55" t="s">
        <v>524</v>
      </c>
      <c r="G155" s="55" t="s">
        <v>530</v>
      </c>
      <c r="H155" s="557"/>
      <c r="I155" s="55"/>
      <c r="J155" s="48"/>
      <c r="K155" s="48"/>
      <c r="L155" s="48"/>
    </row>
    <row r="156" spans="1:16" ht="12.75" customHeight="1" x14ac:dyDescent="0.2">
      <c r="A156" s="55" t="s">
        <v>128</v>
      </c>
      <c r="B156" s="558">
        <f>IF(Special_Class="Yes",50,55)</f>
        <v>55</v>
      </c>
      <c r="C156" s="559">
        <f>C167</f>
        <v>20089</v>
      </c>
      <c r="D156" s="560">
        <f>DATE(YEAR(DoB)+B156,MONTH(DoB),DAY(DoB))</f>
        <v>20089</v>
      </c>
      <c r="E156" s="561" t="s">
        <v>522</v>
      </c>
      <c r="F156" s="557">
        <f ca="1">age_exact</f>
        <v>120.25188227241615</v>
      </c>
      <c r="G156" s="557">
        <f ca="1">F156</f>
        <v>120.25188227241615</v>
      </c>
      <c r="H156" s="557"/>
      <c r="I156" s="557"/>
      <c r="J156" s="88" t="s">
        <v>501</v>
      </c>
      <c r="K156" s="48"/>
      <c r="L156" s="48"/>
    </row>
    <row r="157" spans="1:16" ht="38.25" x14ac:dyDescent="0.2">
      <c r="A157" s="55" t="s">
        <v>129</v>
      </c>
      <c r="B157" s="558">
        <v>75</v>
      </c>
      <c r="C157" s="557"/>
      <c r="D157" s="560">
        <f>DATE(YEAR(DoB)+B157,MONTH(DoB),DAY(DoB))</f>
        <v>27394</v>
      </c>
      <c r="E157" s="562" t="s">
        <v>523</v>
      </c>
      <c r="F157" s="563">
        <f ca="1">IF(PT_Status="some part-Time",Reck_Years+Reck_Days/DoY,age_exact-'1995 &amp; 2008 calcs'!D9+'1995 &amp; 2008 calcs'!$D$18)</f>
        <v>120.25188227241615</v>
      </c>
      <c r="G157" s="563">
        <f ca="1">IF(PT_Status="some part-Time",Reck_Years+Reck_Days/DoY,'1995 &amp; 2008 calcs'!D18+(MIN(DoStartSchYear,'1995 &amp; 2008 calcs'!D32)-ProtectDate)/DoY)</f>
        <v>120.25188227241615</v>
      </c>
      <c r="H157" s="564" t="s">
        <v>535</v>
      </c>
      <c r="I157" s="557" t="s">
        <v>503</v>
      </c>
      <c r="J157" s="366">
        <f>DATE(YEAR(DoB)+55,MONTH(DoB),DAY(DoB))</f>
        <v>20089</v>
      </c>
      <c r="L157" s="48"/>
    </row>
    <row r="158" spans="1:16" ht="25.5" x14ac:dyDescent="0.2">
      <c r="A158" s="569" t="s">
        <v>452</v>
      </c>
      <c r="B158" s="569"/>
      <c r="C158" s="569" t="s">
        <v>453</v>
      </c>
      <c r="D158" s="569"/>
      <c r="E158" s="561" t="s">
        <v>525</v>
      </c>
      <c r="F158" s="563">
        <f ca="1">(25-F157)/IF(PT_Status="some Part-Time",future_PTP,1)</f>
        <v>-95.251882272416154</v>
      </c>
      <c r="G158" s="563">
        <f ca="1">(25-G157)/IF(PT_Status="some Part-Time",future_PTP,1)</f>
        <v>-95.251882272416154</v>
      </c>
      <c r="H158" s="564" t="s">
        <v>535</v>
      </c>
      <c r="I158" s="557"/>
      <c r="J158" s="47">
        <f ca="1">IF(PT_Status="some Part-time",Reck_Years+Reck_Days/DoY+(MAX(date55,Date_curr)-Date_curr)/DoY*future_PTP,(MAX(date55,Date_curr)-DJS)/DoY)+TVinYears+TVinDays/DoY</f>
        <v>121.13073237508556</v>
      </c>
      <c r="L158" s="48"/>
      <c r="P158" s="370"/>
    </row>
    <row r="159" spans="1:16" ht="25.5" x14ac:dyDescent="0.2">
      <c r="A159" s="569" t="s">
        <v>128</v>
      </c>
      <c r="B159" s="570">
        <f ca="1">+MAX(55,C165)</f>
        <v>121</v>
      </c>
      <c r="C159" s="569" t="s">
        <v>128</v>
      </c>
      <c r="D159" s="570">
        <f ca="1">MAX(ROUND((C170-DoB)/365.25,2),C165)</f>
        <v>121</v>
      </c>
      <c r="E159" s="561" t="s">
        <v>527</v>
      </c>
      <c r="F159" s="565">
        <f ca="1">F156+F158</f>
        <v>25</v>
      </c>
      <c r="G159" s="565" t="e">
        <f ca="1">IF(G158&gt;('1995 &amp; 2008 calcs'!D32-Date_curr)/DoY,55,G156+G158)</f>
        <v>#VALUE!</v>
      </c>
      <c r="H159" s="564" t="s">
        <v>535</v>
      </c>
      <c r="I159" s="557" t="s">
        <v>502</v>
      </c>
      <c r="J159" s="48" t="b">
        <f ca="1">AND(J158&lt;25,age_lbd&lt;55)</f>
        <v>0</v>
      </c>
      <c r="L159" s="48" t="s">
        <v>547</v>
      </c>
      <c r="P159" s="50"/>
    </row>
    <row r="160" spans="1:16" ht="25.5" x14ac:dyDescent="0.2">
      <c r="A160" s="569" t="s">
        <v>129</v>
      </c>
      <c r="B160" s="570">
        <v>65</v>
      </c>
      <c r="C160" s="569" t="s">
        <v>129</v>
      </c>
      <c r="D160" s="570">
        <v>65</v>
      </c>
      <c r="E160" s="561" t="s">
        <v>526</v>
      </c>
      <c r="F160" s="559">
        <f ca="1">EDATE(DoB,F159*12)</f>
        <v>9132</v>
      </c>
      <c r="G160" s="559" t="e">
        <f ca="1">EDATE(DoB,G159*12)</f>
        <v>#VALUE!</v>
      </c>
      <c r="H160" s="564" t="s">
        <v>535</v>
      </c>
      <c r="I160" s="55"/>
      <c r="J160" s="48"/>
      <c r="K160" s="48"/>
      <c r="L160" s="48"/>
      <c r="M160" s="48"/>
      <c r="N160" s="48"/>
    </row>
    <row r="161" spans="1:14" ht="25.5" x14ac:dyDescent="0.2">
      <c r="A161" s="55"/>
      <c r="B161" s="558"/>
      <c r="C161" s="55"/>
      <c r="D161" s="558"/>
      <c r="E161" s="561" t="s">
        <v>546</v>
      </c>
      <c r="F161" s="565">
        <f ca="1">(30-F157)/IF(PT_Status="some Part-Time",future_PTP,1)</f>
        <v>-90.251882272416154</v>
      </c>
      <c r="G161" s="565">
        <f ca="1">(30-G157)/IF(PT_Status="some Part-Time",future_PTP,1)</f>
        <v>-90.251882272416154</v>
      </c>
      <c r="H161" s="564"/>
      <c r="I161" s="55"/>
      <c r="J161" s="48"/>
      <c r="K161" s="48"/>
      <c r="L161" s="48"/>
      <c r="M161" s="48"/>
      <c r="N161" s="48"/>
    </row>
    <row r="162" spans="1:14" ht="25.5" x14ac:dyDescent="0.2">
      <c r="A162" s="55"/>
      <c r="B162" s="558"/>
      <c r="C162" s="55"/>
      <c r="D162" s="558"/>
      <c r="E162" s="561" t="s">
        <v>544</v>
      </c>
      <c r="F162" s="565">
        <f ca="1">F156+F161</f>
        <v>30</v>
      </c>
      <c r="G162" s="559" t="e">
        <f ca="1">IF(G158&gt;('1995 &amp; 2008 calcs'!D32-Date_curr)/DoY,55,G156+G161)</f>
        <v>#VALUE!</v>
      </c>
      <c r="H162" s="564"/>
      <c r="I162" s="55"/>
      <c r="J162" s="48"/>
      <c r="K162" s="48"/>
      <c r="L162" s="48"/>
      <c r="M162" s="48"/>
      <c r="N162" s="48"/>
    </row>
    <row r="163" spans="1:14" ht="25.5" x14ac:dyDescent="0.2">
      <c r="A163" s="55"/>
      <c r="B163" s="558"/>
      <c r="C163" s="55"/>
      <c r="D163" s="558"/>
      <c r="E163" s="561" t="s">
        <v>545</v>
      </c>
      <c r="F163" s="559">
        <f ca="1">EDATE(DoB,12*F162)</f>
        <v>10958</v>
      </c>
      <c r="G163" s="559" t="e">
        <f ca="1">EDATE(DoB,G162*12)</f>
        <v>#VALUE!</v>
      </c>
      <c r="H163" s="564"/>
      <c r="I163" s="55"/>
      <c r="J163" s="48"/>
      <c r="K163" s="48"/>
      <c r="L163" s="48"/>
      <c r="M163" s="48"/>
      <c r="N163" s="48"/>
    </row>
    <row r="164" spans="1:14" x14ac:dyDescent="0.2">
      <c r="A164" s="569" t="s">
        <v>141</v>
      </c>
      <c r="B164" s="570"/>
      <c r="C164" s="569"/>
      <c r="D164" s="571">
        <f>+DATE(YEAR(DJS)-TVinYears,MONTH(DJS),DAY(DJS))-TVinDays</f>
        <v>0</v>
      </c>
      <c r="E164" s="564" t="s">
        <v>536</v>
      </c>
      <c r="F164" s="567">
        <f ca="1">DoB+F159*365.25</f>
        <v>9131.25</v>
      </c>
      <c r="G164" s="567" t="e">
        <f ca="1">DoB+G159*365.25</f>
        <v>#VALUE!</v>
      </c>
      <c r="H164" s="557"/>
      <c r="I164" s="55"/>
      <c r="J164" s="48"/>
      <c r="K164" s="48"/>
      <c r="L164" s="48"/>
      <c r="M164" s="48"/>
      <c r="N164" s="48"/>
    </row>
    <row r="165" spans="1:14" x14ac:dyDescent="0.2">
      <c r="A165" s="55"/>
      <c r="B165" s="558"/>
      <c r="C165" s="572">
        <f ca="1">+ROUNDUP((DoStartSchYear-DoB)/365.25,0)</f>
        <v>121</v>
      </c>
      <c r="D165" s="571" t="s">
        <v>166</v>
      </c>
      <c r="E165" s="55"/>
      <c r="F165" s="566"/>
      <c r="G165" s="55"/>
      <c r="H165" s="557"/>
      <c r="I165" s="55"/>
      <c r="J165" s="48"/>
      <c r="K165" s="48"/>
      <c r="L165" s="48"/>
      <c r="M165" s="48"/>
      <c r="N165" s="48"/>
    </row>
    <row r="166" spans="1:14" x14ac:dyDescent="0.2">
      <c r="A166" s="55"/>
      <c r="B166" s="566"/>
      <c r="C166" s="573">
        <f>+DATE(YEAR(D164)+30,MONTH(D164),DAY(D164))</f>
        <v>10958</v>
      </c>
      <c r="D166" s="569" t="s">
        <v>454</v>
      </c>
      <c r="E166" s="55"/>
      <c r="F166" s="55"/>
      <c r="G166" s="55"/>
      <c r="H166" s="557"/>
      <c r="I166" s="55"/>
      <c r="J166" s="48"/>
      <c r="K166" s="48"/>
      <c r="L166" s="48"/>
      <c r="M166" s="48"/>
    </row>
    <row r="167" spans="1:14" x14ac:dyDescent="0.2">
      <c r="A167" s="55"/>
      <c r="B167" s="55"/>
      <c r="C167" s="573">
        <f>+DATE(YEAR(DoB)+55,MONTH(DoB),DAY(DoB))</f>
        <v>20089</v>
      </c>
      <c r="D167" s="569" t="s">
        <v>131</v>
      </c>
      <c r="E167" s="55"/>
      <c r="F167" s="55"/>
      <c r="G167" s="55"/>
      <c r="H167" s="557"/>
      <c r="I167" s="55"/>
      <c r="J167" s="48"/>
      <c r="K167" s="48"/>
      <c r="L167" s="48"/>
      <c r="M167" s="48"/>
    </row>
    <row r="168" spans="1:14" x14ac:dyDescent="0.2">
      <c r="A168" s="55"/>
      <c r="B168" s="55"/>
      <c r="C168" s="573">
        <f>+DATE(YEAR(D164)+25,MONTH(D164),DAY(D164))</f>
        <v>9132</v>
      </c>
      <c r="D168" s="569" t="s">
        <v>455</v>
      </c>
      <c r="E168" s="55"/>
      <c r="F168" s="55"/>
      <c r="G168" s="55"/>
      <c r="H168" s="557"/>
      <c r="I168" s="55"/>
      <c r="J168" s="48"/>
      <c r="K168" s="48"/>
      <c r="L168" s="48"/>
      <c r="M168" s="48"/>
    </row>
    <row r="169" spans="1:14" x14ac:dyDescent="0.2">
      <c r="A169" s="55"/>
      <c r="B169" s="566"/>
      <c r="C169" s="573">
        <f>+DATE(YEAR(DoB)+50,MONTH(DoB),DAY(DoB))</f>
        <v>18263</v>
      </c>
      <c r="D169" s="569" t="s">
        <v>132</v>
      </c>
      <c r="E169" s="55"/>
      <c r="F169" s="55"/>
      <c r="G169" s="55"/>
      <c r="H169" s="557"/>
      <c r="I169" s="55"/>
      <c r="J169" s="48"/>
      <c r="K169" s="48"/>
      <c r="L169" s="48"/>
      <c r="M169" s="48"/>
    </row>
    <row r="170" spans="1:14" x14ac:dyDescent="0.2">
      <c r="A170" s="568" t="s">
        <v>133</v>
      </c>
      <c r="B170" s="55"/>
      <c r="C170" s="573">
        <f>+MIN(C166,C167,MAX(C168,C169))</f>
        <v>10958</v>
      </c>
      <c r="D170" s="569" t="s">
        <v>456</v>
      </c>
      <c r="E170" s="557"/>
      <c r="F170" s="55"/>
      <c r="G170" s="55"/>
      <c r="H170" s="55"/>
      <c r="I170" s="55"/>
      <c r="J170" s="48"/>
      <c r="K170" s="48"/>
      <c r="L170" s="48"/>
      <c r="M170" s="48"/>
    </row>
    <row r="171" spans="1:14" x14ac:dyDescent="0.2">
      <c r="K171" s="48"/>
      <c r="L171" s="48"/>
      <c r="M171" s="48"/>
    </row>
    <row r="172" spans="1:14" x14ac:dyDescent="0.2">
      <c r="B172" s="49" t="s">
        <v>72</v>
      </c>
      <c r="D172" s="47" t="e">
        <f>'1995 &amp; 2008 calcs'!F31</f>
        <v>#N/A</v>
      </c>
      <c r="K172" s="48"/>
      <c r="L172" s="48"/>
      <c r="M172" s="48"/>
    </row>
    <row r="173" spans="1:14" x14ac:dyDescent="0.2">
      <c r="B173" s="49" t="s">
        <v>80</v>
      </c>
      <c r="D173" s="367" t="e">
        <f>'1995 &amp; 2008 calcs'!F32</f>
        <v>#N/A</v>
      </c>
      <c r="E173" s="47" t="e">
        <f>TEXT(D173,"d mmmm yyyy")</f>
        <v>#N/A</v>
      </c>
      <c r="K173" s="48"/>
      <c r="L173" s="48"/>
      <c r="M173" s="48"/>
    </row>
    <row r="174" spans="1:14" x14ac:dyDescent="0.2">
      <c r="B174" s="49" t="s">
        <v>70</v>
      </c>
      <c r="D174" s="367" t="str">
        <f>IFERROR(D173+1,"N/A")</f>
        <v>N/A</v>
      </c>
      <c r="E174" s="47" t="str">
        <f>TEXT(D174,"d mmmm yyyy")</f>
        <v>N/A</v>
      </c>
      <c r="K174" s="48"/>
      <c r="L174" s="48"/>
      <c r="M174" s="48"/>
    </row>
    <row r="175" spans="1:14" x14ac:dyDescent="0.2">
      <c r="B175" s="49"/>
      <c r="K175" s="48"/>
      <c r="L175" s="48"/>
      <c r="M175" s="48"/>
    </row>
    <row r="176" spans="1:14" ht="12.75" customHeight="1" x14ac:dyDescent="0.2">
      <c r="A176" s="49"/>
      <c r="B176" s="62" t="s">
        <v>200</v>
      </c>
      <c r="C176" s="61"/>
      <c r="D176" s="62" t="s">
        <v>201</v>
      </c>
      <c r="I176" s="48"/>
      <c r="J176" s="48"/>
      <c r="K176" s="48"/>
    </row>
    <row r="177" spans="1:11" x14ac:dyDescent="0.2">
      <c r="B177" s="48" t="s">
        <v>197</v>
      </c>
      <c r="C177" s="48"/>
      <c r="D177" s="48" t="s">
        <v>213</v>
      </c>
      <c r="I177" s="48"/>
      <c r="J177" s="48"/>
      <c r="K177" s="48"/>
    </row>
    <row r="178" spans="1:11" x14ac:dyDescent="0.2">
      <c r="A178" s="48"/>
      <c r="B178" s="48" t="s">
        <v>198</v>
      </c>
      <c r="C178" s="48"/>
      <c r="D178" s="48" t="str">
        <f>E174</f>
        <v>N/A</v>
      </c>
      <c r="E178" s="48"/>
      <c r="F178" s="48"/>
      <c r="G178" s="48"/>
      <c r="H178" s="48"/>
      <c r="I178" s="48"/>
      <c r="J178" s="48"/>
      <c r="K178" s="48"/>
    </row>
    <row r="179" spans="1:11" x14ac:dyDescent="0.2">
      <c r="B179" s="48" t="s">
        <v>199</v>
      </c>
      <c r="C179" s="48"/>
      <c r="D179" s="169" t="s">
        <v>297</v>
      </c>
    </row>
    <row r="180" spans="1:11" x14ac:dyDescent="0.2">
      <c r="C180" s="48"/>
      <c r="D180" s="48"/>
    </row>
    <row r="181" spans="1:11" x14ac:dyDescent="0.2">
      <c r="B181" s="569" t="s">
        <v>225</v>
      </c>
      <c r="C181" s="569"/>
      <c r="D181" s="569">
        <f ca="1">YEARFRAC(DJS,DoStartSchYear)</f>
        <v>120.25277777777778</v>
      </c>
      <c r="E181" s="574"/>
      <c r="F181" s="574"/>
    </row>
    <row r="182" spans="1:11" x14ac:dyDescent="0.2">
      <c r="B182" s="569" t="s">
        <v>228</v>
      </c>
      <c r="C182" s="569"/>
      <c r="D182" s="571">
        <f ca="1">DoStartSchYear</f>
        <v>43922</v>
      </c>
      <c r="E182" s="574"/>
      <c r="F182" s="574"/>
    </row>
    <row r="183" spans="1:11" x14ac:dyDescent="0.2">
      <c r="B183" s="569"/>
      <c r="C183" s="569"/>
      <c r="D183" s="571" t="str">
        <f>basis1</f>
        <v>CPI + 0%</v>
      </c>
      <c r="E183" s="574" t="str">
        <f>basis2</f>
        <v>CPI + 1%</v>
      </c>
      <c r="F183" s="574" t="str">
        <f>basis3</f>
        <v>CPI + 2%</v>
      </c>
    </row>
    <row r="184" spans="1:11" x14ac:dyDescent="0.2">
      <c r="B184" s="569" t="s">
        <v>234</v>
      </c>
      <c r="C184" s="569"/>
      <c r="D184" s="575" t="e">
        <f>ROUND(IF(CurrentScheme="NPPS",0.5*CurrentSal,2/3*CurrentSal),-2)</f>
        <v>#N/A</v>
      </c>
      <c r="E184" s="574"/>
      <c r="F184" s="574"/>
    </row>
    <row r="185" spans="1:11" x14ac:dyDescent="0.2">
      <c r="B185" s="569" t="s">
        <v>235</v>
      </c>
      <c r="C185" s="569"/>
      <c r="D185" s="575">
        <f>ROUND(4*0.5*CurrentSal,-2)</f>
        <v>0</v>
      </c>
      <c r="E185" s="574"/>
      <c r="F185" s="574"/>
    </row>
    <row r="186" spans="1:11" x14ac:dyDescent="0.2">
      <c r="B186" s="569" t="s">
        <v>236</v>
      </c>
      <c r="C186" s="569"/>
      <c r="D186" s="575"/>
      <c r="E186" s="574"/>
      <c r="F186" s="574"/>
      <c r="H186" s="54"/>
    </row>
    <row r="187" spans="1:11" x14ac:dyDescent="0.2">
      <c r="C187" s="48"/>
      <c r="D187" s="65"/>
    </row>
    <row r="189" spans="1:11" x14ac:dyDescent="0.2">
      <c r="A189" s="59" t="s">
        <v>116</v>
      </c>
      <c r="B189" s="64"/>
      <c r="C189" s="60"/>
      <c r="D189" s="60"/>
      <c r="E189" s="60"/>
      <c r="F189" s="60"/>
      <c r="G189" s="60"/>
      <c r="H189" s="60"/>
      <c r="I189" s="60"/>
      <c r="J189" s="60"/>
    </row>
    <row r="190" spans="1:11" x14ac:dyDescent="0.2">
      <c r="A190" s="60"/>
      <c r="B190" s="64"/>
      <c r="C190" s="60"/>
      <c r="D190" s="60"/>
      <c r="E190" s="60"/>
      <c r="F190" s="60"/>
      <c r="G190" s="60"/>
      <c r="H190" s="60"/>
      <c r="I190" s="60"/>
      <c r="J190" s="60"/>
    </row>
    <row r="191" spans="1:11" x14ac:dyDescent="0.2">
      <c r="A191" s="60" t="s">
        <v>117</v>
      </c>
      <c r="B191" s="64" t="s">
        <v>118</v>
      </c>
      <c r="C191" s="60"/>
      <c r="D191" s="60"/>
      <c r="E191" s="60"/>
      <c r="F191" s="60"/>
      <c r="G191" s="60"/>
      <c r="H191" s="60"/>
      <c r="I191" s="60"/>
      <c r="J191" s="60"/>
    </row>
    <row r="192" spans="1:11" x14ac:dyDescent="0.2">
      <c r="A192" s="60" t="s">
        <v>119</v>
      </c>
      <c r="B192" s="64" t="s">
        <v>120</v>
      </c>
      <c r="C192" s="60"/>
      <c r="D192" s="60"/>
      <c r="E192" s="60"/>
      <c r="F192" s="60"/>
      <c r="G192" s="60"/>
      <c r="H192" s="60"/>
      <c r="I192" s="60"/>
      <c r="J192" s="60"/>
    </row>
    <row r="193" spans="1:10" x14ac:dyDescent="0.2">
      <c r="A193" s="60"/>
      <c r="B193" s="64" t="s">
        <v>121</v>
      </c>
      <c r="C193" s="60"/>
      <c r="D193" s="60"/>
      <c r="E193" s="60"/>
      <c r="F193" s="60"/>
      <c r="G193" s="60"/>
      <c r="H193" s="60"/>
      <c r="I193" s="60"/>
      <c r="J193" s="60"/>
    </row>
    <row r="194" spans="1:10" x14ac:dyDescent="0.2">
      <c r="A194" s="60" t="s">
        <v>122</v>
      </c>
      <c r="B194" s="64" t="s">
        <v>123</v>
      </c>
      <c r="C194" s="60"/>
      <c r="D194" s="60"/>
      <c r="E194" s="60"/>
      <c r="F194" s="60"/>
      <c r="G194" s="60"/>
      <c r="H194" s="60"/>
      <c r="I194" s="60"/>
      <c r="J194" s="60"/>
    </row>
    <row r="195" spans="1:10" x14ac:dyDescent="0.2">
      <c r="A195" s="60" t="s">
        <v>124</v>
      </c>
      <c r="B195" s="64" t="s">
        <v>457</v>
      </c>
      <c r="C195" s="60"/>
      <c r="D195" s="60"/>
      <c r="E195" s="60"/>
      <c r="F195" s="60"/>
      <c r="G195" s="60"/>
      <c r="H195" s="60"/>
      <c r="I195" s="60"/>
      <c r="J195" s="60"/>
    </row>
    <row r="196" spans="1:10" x14ac:dyDescent="0.2">
      <c r="A196" s="60"/>
      <c r="B196" s="64" t="s">
        <v>458</v>
      </c>
      <c r="C196" s="60"/>
      <c r="D196" s="60"/>
      <c r="E196" s="60"/>
      <c r="F196" s="60"/>
      <c r="G196" s="60"/>
      <c r="H196" s="60"/>
      <c r="I196" s="60"/>
      <c r="J196" s="60"/>
    </row>
    <row r="197" spans="1:10" x14ac:dyDescent="0.2">
      <c r="A197" s="60" t="s">
        <v>81</v>
      </c>
      <c r="B197" s="64" t="s">
        <v>125</v>
      </c>
      <c r="C197" s="60"/>
      <c r="D197" s="60"/>
      <c r="E197" s="60"/>
      <c r="F197" s="60"/>
      <c r="G197" s="60"/>
      <c r="H197" s="60"/>
      <c r="I197" s="60"/>
      <c r="J197" s="60"/>
    </row>
    <row r="198" spans="1:10" x14ac:dyDescent="0.2">
      <c r="A198" s="60" t="s">
        <v>126</v>
      </c>
      <c r="B198" s="64" t="s">
        <v>127</v>
      </c>
      <c r="C198" s="60"/>
      <c r="D198" s="60"/>
      <c r="E198" s="60"/>
      <c r="F198" s="60"/>
      <c r="G198" s="60"/>
      <c r="H198" s="60"/>
      <c r="I198" s="60"/>
      <c r="J198" s="60"/>
    </row>
    <row r="199" spans="1:10" x14ac:dyDescent="0.2">
      <c r="A199" s="64" t="s">
        <v>226</v>
      </c>
      <c r="B199" s="64"/>
      <c r="C199" s="60"/>
      <c r="D199" s="60"/>
      <c r="E199" s="60"/>
      <c r="F199" s="60"/>
      <c r="G199" s="60"/>
      <c r="H199" s="60"/>
      <c r="I199" s="60"/>
      <c r="J199" s="60"/>
    </row>
    <row r="200" spans="1:10" x14ac:dyDescent="0.2">
      <c r="A200" s="64" t="s">
        <v>227</v>
      </c>
      <c r="B200" s="64"/>
      <c r="C200" s="60"/>
      <c r="D200" s="60"/>
      <c r="E200" s="60"/>
      <c r="F200" s="60"/>
      <c r="G200" s="60"/>
      <c r="H200" s="60"/>
      <c r="I200" s="60"/>
      <c r="J200" s="60"/>
    </row>
    <row r="202" spans="1:10" x14ac:dyDescent="0.2">
      <c r="A202" s="48" t="s">
        <v>740</v>
      </c>
    </row>
    <row r="203" spans="1:10" x14ac:dyDescent="0.2">
      <c r="A203" s="48" t="s">
        <v>741</v>
      </c>
    </row>
    <row r="204" spans="1:10" x14ac:dyDescent="0.2">
      <c r="D204" s="50"/>
      <c r="F204" s="50"/>
    </row>
  </sheetData>
  <sheetProtection algorithmName="SHA-512" hashValue="pz+gBlkroAXElVcEE8CDlfNH9EgmUp4n4ryV79DczKa3AClIMs7hvkv2cEs8QwvbOOcxPtYwnMH922psiyhGCg==" saltValue="CpBcbHGA1Gc8UO1uHZQt4g==" spinCount="100000" sheet="1" objects="1" scenarios="1"/>
  <dataConsolidate/>
  <mergeCells count="39">
    <mergeCell ref="B15:M15"/>
    <mergeCell ref="B16:M16"/>
    <mergeCell ref="B17:M17"/>
    <mergeCell ref="B126:M126"/>
    <mergeCell ref="B109:M109"/>
    <mergeCell ref="B114:M114"/>
    <mergeCell ref="B115:M115"/>
    <mergeCell ref="B120:M120"/>
    <mergeCell ref="B116:M116"/>
    <mergeCell ref="B125:M125"/>
    <mergeCell ref="B117:M117"/>
    <mergeCell ref="B110:M110"/>
    <mergeCell ref="B107:M107"/>
    <mergeCell ref="B108:M108"/>
    <mergeCell ref="B105:M105"/>
    <mergeCell ref="B124:M124"/>
    <mergeCell ref="B119:M119"/>
    <mergeCell ref="B123:M123"/>
    <mergeCell ref="B112:M112"/>
    <mergeCell ref="H68:L68"/>
    <mergeCell ref="B96:M96"/>
    <mergeCell ref="B99:M99"/>
    <mergeCell ref="B111:M111"/>
    <mergeCell ref="B106:M106"/>
    <mergeCell ref="B103:M103"/>
    <mergeCell ref="B98:M98"/>
    <mergeCell ref="B101:M101"/>
    <mergeCell ref="B102:M102"/>
    <mergeCell ref="B104:M104"/>
    <mergeCell ref="B100:M100"/>
    <mergeCell ref="B18:M18"/>
    <mergeCell ref="B97:M97"/>
    <mergeCell ref="B19:M19"/>
    <mergeCell ref="B20:M20"/>
    <mergeCell ref="I27:J27"/>
    <mergeCell ref="B92:D93"/>
    <mergeCell ref="F92:H93"/>
    <mergeCell ref="J92:L93"/>
    <mergeCell ref="B21:M21"/>
  </mergeCells>
  <phoneticPr fontId="2" type="noConversion"/>
  <conditionalFormatting sqref="C72:M74">
    <cfRule type="expression" dxfId="23" priority="44">
      <formula>DJS&gt;=NewSchDate</formula>
    </cfRule>
  </conditionalFormatting>
  <conditionalFormatting sqref="C83:M85">
    <cfRule type="expression" dxfId="22" priority="54" stopIfTrue="1">
      <formula>DJS&gt;=NewSchDate</formula>
    </cfRule>
  </conditionalFormatting>
  <conditionalFormatting sqref="C78:M79">
    <cfRule type="expression" dxfId="21" priority="53">
      <formula>ChosenRA&lt;55</formula>
    </cfRule>
  </conditionalFormatting>
  <conditionalFormatting sqref="B83:B84">
    <cfRule type="expression" dxfId="20" priority="47" stopIfTrue="1">
      <formula>DJS&gt;=NewSchDate</formula>
    </cfRule>
  </conditionalFormatting>
  <conditionalFormatting sqref="C88:M89">
    <cfRule type="expression" dxfId="19" priority="45">
      <formula>ChosenRA&lt;55</formula>
    </cfRule>
  </conditionalFormatting>
  <conditionalFormatting sqref="B61">
    <cfRule type="expression" dxfId="18" priority="38">
      <formula>Form_Check=FALSE</formula>
    </cfRule>
  </conditionalFormatting>
  <conditionalFormatting sqref="C50:K53 C55:K57 C54:G54 J54:K54">
    <cfRule type="expression" dxfId="17" priority="26">
      <formula>$I$48="always Full-time"</formula>
    </cfRule>
  </conditionalFormatting>
  <conditionalFormatting sqref="B50:B57">
    <cfRule type="expression" dxfId="16" priority="24">
      <formula>$I$48="always Full-time"</formula>
    </cfRule>
  </conditionalFormatting>
  <conditionalFormatting sqref="B52:B57">
    <cfRule type="expression" dxfId="15" priority="23">
      <formula>$I$31="2015 Scheme"</formula>
    </cfRule>
  </conditionalFormatting>
  <conditionalFormatting sqref="C52:L53 C55:L57 C54:G54 J54:L54">
    <cfRule type="expression" dxfId="14" priority="22">
      <formula>$I$31="2015 Scheme"</formula>
    </cfRule>
  </conditionalFormatting>
  <conditionalFormatting sqref="B72:B73">
    <cfRule type="expression" dxfId="13" priority="21">
      <formula>DJS&gt;=NewSchDate</formula>
    </cfRule>
  </conditionalFormatting>
  <conditionalFormatting sqref="B78:B79">
    <cfRule type="expression" dxfId="12" priority="19">
      <formula>ChosenRA&lt;55</formula>
    </cfRule>
  </conditionalFormatting>
  <conditionalFormatting sqref="B88:B89">
    <cfRule type="expression" dxfId="11" priority="18">
      <formula>ChosenRA&lt;55</formula>
    </cfRule>
  </conditionalFormatting>
  <conditionalFormatting sqref="H44:I44">
    <cfRule type="expression" dxfId="10" priority="10">
      <formula>$I$31="2015 Scheme"</formula>
    </cfRule>
  </conditionalFormatting>
  <conditionalFormatting sqref="I44">
    <cfRule type="expression" dxfId="9" priority="9">
      <formula>$I$31="2015 Scheme"</formula>
    </cfRule>
  </conditionalFormatting>
  <conditionalFormatting sqref="H54:I54">
    <cfRule type="expression" dxfId="8" priority="6">
      <formula>$I$48="always Full-time"</formula>
    </cfRule>
  </conditionalFormatting>
  <conditionalFormatting sqref="H54:I54">
    <cfRule type="expression" dxfId="7" priority="5">
      <formula>$I$31="2015 Scheme"</formula>
    </cfRule>
  </conditionalFormatting>
  <conditionalFormatting sqref="I54">
    <cfRule type="expression" dxfId="6" priority="4">
      <formula>$I$31="2015 Scheme"</formula>
    </cfRule>
  </conditionalFormatting>
  <dataValidations count="18">
    <dataValidation type="decimal" showInputMessage="1" showErrorMessage="1" error="Please enter a value between 0% and 100%." sqref="I50:I51">
      <formula1>0</formula1>
      <formula2>1</formula2>
    </dataValidation>
    <dataValidation type="date" allowBlank="1" showInputMessage="1" showErrorMessage="1" errorTitle="Invalid Date of Birth" error="This calculator only accepts dates of birth earlier than 18 years prior to the current date or 18 years before the date joined scheme. It also only accepts dates of birth within the last 65 years." sqref="I25">
      <formula1>B139</formula1>
      <formula2>B138</formula2>
    </dataValidation>
    <dataValidation type="decimal" allowBlank="1" showInputMessage="1" showErrorMessage="1" errorTitle="Invalid Earnings" error="You can only enter and amount between £1,000 and £300,000 into the calculator." sqref="I38">
      <formula1>B148</formula1>
      <formula2>B149</formula2>
    </dataValidation>
    <dataValidation type="date"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I29">
      <formula1>C145</formula1>
      <formula2>C144</formula2>
    </dataValidation>
    <dataValidation type="decimal" allowBlank="1" showInputMessage="1" showErrorMessage="1" errorTitle="Invalid Transfer In Service" error="You cannot enter an amount greater than the period between your sixteenth birthday and your date joined scheme as entered above." sqref="I36">
      <formula1>0</formula1>
      <formula2>C151</formula2>
    </dataValidation>
    <dataValidation type="whole" allowBlank="1" showInputMessage="1" showErrorMessage="1" sqref="I49">
      <formula1>B164</formula1>
      <formula2>B165</formula2>
    </dataValidation>
    <dataValidation type="whole" allowBlank="1" showInputMessage="1" showErrorMessage="1" sqref="I55">
      <formula1>B160</formula1>
      <formula2>B164</formula2>
    </dataValidation>
    <dataValidation type="decimal" allowBlank="1" showInputMessage="1" showErrorMessage="1" errorTitle="Invalid Transfer In Service" error="You cannot enter an amount greater than the period between your sixteenth birthday and your date joined scheme as entered above." sqref="I35">
      <formula1>0</formula1>
      <formula2>B151</formula2>
    </dataValidation>
    <dataValidation type="decimal" allowBlank="1" showInputMessage="1" showErrorMessage="1" errorTitle="Invalid reckonable service" error="You cannot enter an amount greater than the period between your date of joining and your benefit statement date" sqref="I56">
      <formula1>0</formula1>
      <formula2>50</formula2>
    </dataValidation>
    <dataValidation type="list" allowBlank="1" showInputMessage="1" showErrorMessage="1" errorTitle="Invalid Scheme" error="Please select an option from the drop down list" sqref="I31">
      <formula1>IF(sch_2="",sch_1,sch)</formula1>
    </dataValidation>
    <dataValidation type="list" allowBlank="1" showInputMessage="1" showErrorMessage="1" sqref="I48">
      <formula1>$A$202:$A$203</formula1>
    </dataValidation>
    <dataValidation type="whole" allowBlank="1" showInputMessage="1" showErrorMessage="1" sqref="I58">
      <formula1>B166</formula1>
      <formula2>B167</formula2>
    </dataValidation>
    <dataValidation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I27"/>
    <dataValidation type="time" allowBlank="1" showInputMessage="1" showErrorMessage="1" sqref="I46">
      <formula1>D156</formula1>
      <formula2>D157</formula2>
    </dataValidation>
    <dataValidation type="whole" allowBlank="1" showInputMessage="1" showErrorMessage="1" sqref="I52:I53">
      <formula1>B160</formula1>
      <formula2>B164</formula2>
    </dataValidation>
    <dataValidation type="whole" allowBlank="1" showInputMessage="1" showErrorMessage="1" sqref="I45">
      <formula1>B158</formula1>
      <formula2>B159</formula2>
    </dataValidation>
    <dataValidation type="whole" allowBlank="1" showInputMessage="1" showErrorMessage="1" sqref="I47">
      <formula1>B159</formula1>
      <formula2>B160</formula2>
    </dataValidation>
    <dataValidation type="list" allowBlank="1" showInputMessage="1" showErrorMessage="1" sqref="I44 I54">
      <formula1>ABSYears</formula1>
    </dataValidation>
  </dataValidations>
  <hyperlinks>
    <hyperlink ref="J92:L93" r:id="rId1" display="Scheme Guides"/>
    <hyperlink ref="F92:H93" r:id="rId2" display="2015 Microsite"/>
    <hyperlink ref="B92:D93" r:id="rId3" display="link to FAQs"/>
  </hyperlinks>
  <pageMargins left="0.74803149606299213" right="0.74803149606299213" top="0.98425196850393704" bottom="0.98425196850393704" header="0.51181102362204722" footer="0.51181102362204722"/>
  <pageSetup paperSize="9" scale="53" fitToHeight="0" orientation="portrait" r:id="rId4"/>
  <headerFooter alignWithMargins="0">
    <oddFooter>&amp;LPage &amp;P of &amp;N&amp;R&amp;T &amp;D</oddFooter>
  </headerFooter>
  <rowBreaks count="1" manualBreakCount="1">
    <brk id="94"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4359" r:id="rId7" name="Check Box 263">
              <controlPr defaultSize="0" autoFill="0" autoLine="0" autoPict="0" altText="">
                <anchor moveWithCells="1">
                  <from>
                    <xdr:col>5</xdr:col>
                    <xdr:colOff>447675</xdr:colOff>
                    <xdr:row>39</xdr:row>
                    <xdr:rowOff>76200</xdr:rowOff>
                  </from>
                  <to>
                    <xdr:col>5</xdr:col>
                    <xdr:colOff>676275</xdr:colOff>
                    <xdr:row>41</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9" stopIfTrue="1" id="{B8ADE307-E7A4-4357-AC02-1F74D37D4BDC}">
            <xm:f>Parameters!$B$129=FALSE</xm:f>
            <x14:dxf>
              <font>
                <color theme="0"/>
              </font>
              <fill>
                <patternFill patternType="solid">
                  <bgColor theme="0"/>
                </patternFill>
              </fill>
              <border>
                <left/>
                <right/>
                <top/>
                <bottom/>
              </border>
            </x14:dxf>
          </x14:cfRule>
          <xm:sqref>D44:M44</xm:sqref>
        </x14:conditionalFormatting>
        <x14:conditionalFormatting xmlns:xm="http://schemas.microsoft.com/office/excel/2006/main">
          <x14:cfRule type="expression" priority="1" id="{7D54555E-5633-4F53-BE92-4A358CBF4645}">
            <xm:f>Parameters!$B$129</xm:f>
            <x14:dxf>
              <font>
                <color theme="0"/>
              </font>
              <fill>
                <patternFill>
                  <bgColor theme="0"/>
                </patternFill>
              </fill>
              <border>
                <left/>
                <right/>
                <top/>
                <bottom/>
              </border>
            </x14:dxf>
          </x14:cfRule>
          <xm:sqref>H54:I54 B54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Parameters!$B$103:$B$104</xm:f>
          </x14:formula1>
          <xm:sqref>I33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6:M37"/>
  <sheetViews>
    <sheetView topLeftCell="A25" zoomScaleNormal="100" workbookViewId="0">
      <selection activeCell="A9" sqref="A9:L9"/>
    </sheetView>
  </sheetViews>
  <sheetFormatPr defaultColWidth="9.140625" defaultRowHeight="12.75" x14ac:dyDescent="0.2"/>
  <cols>
    <col min="1" max="10" width="9.140625" style="252"/>
    <col min="11" max="11" width="23.140625" style="252" customWidth="1"/>
    <col min="12" max="12" width="9.140625" style="252" hidden="1" customWidth="1"/>
    <col min="13" max="13" width="9.140625" style="261"/>
    <col min="14" max="16384" width="9.140625" style="252"/>
  </cols>
  <sheetData>
    <row r="6" spans="1:13" ht="11.25" customHeight="1" x14ac:dyDescent="0.25">
      <c r="A6" s="248"/>
      <c r="B6" s="249"/>
      <c r="C6" s="249"/>
      <c r="D6" s="249"/>
      <c r="E6" s="249"/>
      <c r="F6" s="249"/>
      <c r="G6" s="248"/>
      <c r="H6" s="248"/>
      <c r="I6" s="248"/>
      <c r="J6" s="248"/>
      <c r="K6" s="248"/>
      <c r="L6" s="250"/>
      <c r="M6" s="251"/>
    </row>
    <row r="7" spans="1:13" x14ac:dyDescent="0.2">
      <c r="A7" s="253" t="s">
        <v>167</v>
      </c>
      <c r="B7" s="253"/>
      <c r="C7" s="253"/>
      <c r="D7" s="253"/>
      <c r="E7" s="253"/>
      <c r="F7" s="253"/>
      <c r="G7" s="253"/>
      <c r="H7" s="253"/>
      <c r="I7" s="253"/>
      <c r="J7" s="253"/>
      <c r="K7" s="253"/>
      <c r="L7" s="253"/>
      <c r="M7" s="254"/>
    </row>
    <row r="8" spans="1:13" ht="34.5" customHeight="1" x14ac:dyDescent="0.2">
      <c r="A8" s="725" t="s">
        <v>474</v>
      </c>
      <c r="B8" s="725"/>
      <c r="C8" s="725"/>
      <c r="D8" s="725"/>
      <c r="E8" s="725"/>
      <c r="F8" s="725"/>
      <c r="G8" s="725"/>
      <c r="H8" s="725"/>
      <c r="I8" s="725"/>
      <c r="J8" s="725"/>
      <c r="K8" s="725"/>
      <c r="L8" s="725"/>
      <c r="M8" s="254"/>
    </row>
    <row r="9" spans="1:13" ht="27" customHeight="1" x14ac:dyDescent="0.2">
      <c r="A9" s="725" t="s">
        <v>761</v>
      </c>
      <c r="B9" s="725"/>
      <c r="C9" s="725"/>
      <c r="D9" s="725"/>
      <c r="E9" s="725"/>
      <c r="F9" s="725"/>
      <c r="G9" s="725"/>
      <c r="H9" s="725"/>
      <c r="I9" s="725"/>
      <c r="J9" s="725"/>
      <c r="K9" s="725"/>
      <c r="L9" s="725"/>
      <c r="M9" s="254"/>
    </row>
    <row r="10" spans="1:13" ht="37.5" customHeight="1" x14ac:dyDescent="0.2">
      <c r="A10" s="725" t="s">
        <v>373</v>
      </c>
      <c r="B10" s="725"/>
      <c r="C10" s="725"/>
      <c r="D10" s="725"/>
      <c r="E10" s="725"/>
      <c r="F10" s="725"/>
      <c r="G10" s="725"/>
      <c r="H10" s="725"/>
      <c r="I10" s="725"/>
      <c r="J10" s="725"/>
      <c r="K10" s="725"/>
      <c r="L10" s="725"/>
      <c r="M10" s="254"/>
    </row>
    <row r="11" spans="1:13" ht="29.25" customHeight="1" x14ac:dyDescent="0.2">
      <c r="A11" s="725" t="s">
        <v>762</v>
      </c>
      <c r="B11" s="729"/>
      <c r="C11" s="729"/>
      <c r="D11" s="729"/>
      <c r="E11" s="729"/>
      <c r="F11" s="729"/>
      <c r="G11" s="729"/>
      <c r="H11" s="729"/>
      <c r="I11" s="729"/>
      <c r="J11" s="729"/>
      <c r="K11" s="729"/>
      <c r="L11" s="678"/>
      <c r="M11" s="254"/>
    </row>
    <row r="12" spans="1:13" ht="42.75" customHeight="1" x14ac:dyDescent="0.2">
      <c r="A12" s="725" t="s">
        <v>773</v>
      </c>
      <c r="B12" s="729"/>
      <c r="C12" s="729"/>
      <c r="D12" s="729"/>
      <c r="E12" s="729"/>
      <c r="F12" s="729"/>
      <c r="G12" s="729"/>
      <c r="H12" s="729"/>
      <c r="I12" s="729"/>
      <c r="J12" s="729"/>
      <c r="K12" s="729"/>
      <c r="L12" s="678"/>
      <c r="M12" s="254"/>
    </row>
    <row r="13" spans="1:13" ht="17.25" customHeight="1" x14ac:dyDescent="0.2">
      <c r="A13" s="730" t="s">
        <v>475</v>
      </c>
      <c r="B13" s="730"/>
      <c r="C13" s="730"/>
      <c r="D13" s="730"/>
      <c r="E13" s="730"/>
      <c r="F13" s="730"/>
      <c r="G13" s="730"/>
      <c r="H13" s="730"/>
      <c r="I13" s="730"/>
      <c r="J13" s="730"/>
      <c r="K13" s="730"/>
      <c r="L13" s="730"/>
      <c r="M13" s="254"/>
    </row>
    <row r="14" spans="1:13" ht="28.35" customHeight="1" x14ac:dyDescent="0.2">
      <c r="A14" s="725" t="s">
        <v>763</v>
      </c>
      <c r="B14" s="730"/>
      <c r="C14" s="730"/>
      <c r="D14" s="730"/>
      <c r="E14" s="730"/>
      <c r="F14" s="730"/>
      <c r="G14" s="730"/>
      <c r="H14" s="730"/>
      <c r="I14" s="730"/>
      <c r="J14" s="730"/>
      <c r="K14" s="730"/>
      <c r="L14" s="730"/>
      <c r="M14" s="254"/>
    </row>
    <row r="15" spans="1:13" ht="69.75" customHeight="1" x14ac:dyDescent="0.2">
      <c r="A15" s="725" t="s">
        <v>764</v>
      </c>
      <c r="B15" s="725"/>
      <c r="C15" s="725"/>
      <c r="D15" s="725"/>
      <c r="E15" s="725"/>
      <c r="F15" s="725"/>
      <c r="G15" s="725"/>
      <c r="H15" s="725"/>
      <c r="I15" s="725"/>
      <c r="J15" s="725"/>
      <c r="K15" s="725"/>
      <c r="L15" s="725"/>
      <c r="M15" s="254"/>
    </row>
    <row r="16" spans="1:13" ht="20.25" customHeight="1" x14ac:dyDescent="0.2">
      <c r="A16" s="725" t="s">
        <v>707</v>
      </c>
      <c r="B16" s="725"/>
      <c r="C16" s="725"/>
      <c r="D16" s="725"/>
      <c r="E16" s="725"/>
      <c r="F16" s="725"/>
      <c r="G16" s="725"/>
      <c r="H16" s="725"/>
      <c r="I16" s="725"/>
      <c r="J16" s="725"/>
      <c r="K16" s="725"/>
      <c r="L16" s="725"/>
      <c r="M16" s="254"/>
    </row>
    <row r="17" spans="1:13" ht="54" customHeight="1" x14ac:dyDescent="0.2">
      <c r="A17" s="725" t="s">
        <v>774</v>
      </c>
      <c r="B17" s="725"/>
      <c r="C17" s="725"/>
      <c r="D17" s="725"/>
      <c r="E17" s="725"/>
      <c r="F17" s="725"/>
      <c r="G17" s="725"/>
      <c r="H17" s="725"/>
      <c r="I17" s="725"/>
      <c r="J17" s="725"/>
      <c r="K17" s="725"/>
      <c r="L17" s="725"/>
      <c r="M17" s="254"/>
    </row>
    <row r="18" spans="1:13" ht="28.35" customHeight="1" x14ac:dyDescent="0.2">
      <c r="A18" s="725" t="s">
        <v>374</v>
      </c>
      <c r="B18" s="725"/>
      <c r="C18" s="725"/>
      <c r="D18" s="725"/>
      <c r="E18" s="725"/>
      <c r="F18" s="725"/>
      <c r="G18" s="725"/>
      <c r="H18" s="725"/>
      <c r="I18" s="725"/>
      <c r="J18" s="725"/>
      <c r="K18" s="725"/>
      <c r="L18" s="725"/>
      <c r="M18" s="254"/>
    </row>
    <row r="19" spans="1:13" ht="76.349999999999994" customHeight="1" x14ac:dyDescent="0.2">
      <c r="A19" s="725" t="s">
        <v>792</v>
      </c>
      <c r="B19" s="725"/>
      <c r="C19" s="725"/>
      <c r="D19" s="725"/>
      <c r="E19" s="725"/>
      <c r="F19" s="725"/>
      <c r="G19" s="725"/>
      <c r="H19" s="725"/>
      <c r="I19" s="725"/>
      <c r="J19" s="725"/>
      <c r="K19" s="725"/>
      <c r="L19" s="725"/>
      <c r="M19" s="254"/>
    </row>
    <row r="20" spans="1:13" ht="163.69999999999999" customHeight="1" x14ac:dyDescent="0.2">
      <c r="A20" s="725" t="s">
        <v>793</v>
      </c>
      <c r="B20" s="725"/>
      <c r="C20" s="725"/>
      <c r="D20" s="725"/>
      <c r="E20" s="725"/>
      <c r="F20" s="725"/>
      <c r="G20" s="725"/>
      <c r="H20" s="725"/>
      <c r="I20" s="725"/>
      <c r="J20" s="725"/>
      <c r="K20" s="725"/>
      <c r="L20" s="684"/>
      <c r="M20" s="254"/>
    </row>
    <row r="21" spans="1:13" ht="41.1" customHeight="1" x14ac:dyDescent="0.2">
      <c r="A21" s="726" t="s">
        <v>476</v>
      </c>
      <c r="B21" s="726"/>
      <c r="C21" s="726"/>
      <c r="D21" s="726"/>
      <c r="E21" s="726"/>
      <c r="F21" s="726"/>
      <c r="G21" s="726"/>
      <c r="H21" s="726"/>
      <c r="I21" s="726"/>
      <c r="J21" s="726"/>
      <c r="K21" s="726"/>
      <c r="L21" s="726"/>
      <c r="M21" s="254"/>
    </row>
    <row r="22" spans="1:13" ht="30.75" customHeight="1" x14ac:dyDescent="0.2">
      <c r="A22" s="726" t="s">
        <v>765</v>
      </c>
      <c r="B22" s="729"/>
      <c r="C22" s="729"/>
      <c r="D22" s="729"/>
      <c r="E22" s="729"/>
      <c r="F22" s="729"/>
      <c r="G22" s="729"/>
      <c r="H22" s="729"/>
      <c r="I22" s="729"/>
      <c r="J22" s="729"/>
      <c r="K22" s="729"/>
      <c r="L22" s="679"/>
      <c r="M22" s="254"/>
    </row>
    <row r="23" spans="1:13" ht="26.45" customHeight="1" x14ac:dyDescent="0.2">
      <c r="A23" s="721" t="s">
        <v>477</v>
      </c>
      <c r="B23" s="727"/>
      <c r="C23" s="727"/>
      <c r="D23" s="727"/>
      <c r="E23" s="727"/>
      <c r="F23" s="727"/>
      <c r="G23" s="727"/>
      <c r="H23" s="727"/>
      <c r="I23" s="727"/>
      <c r="J23" s="727"/>
      <c r="K23" s="727"/>
      <c r="L23" s="727"/>
      <c r="M23" s="254"/>
    </row>
    <row r="24" spans="1:13" ht="15.75" customHeight="1" x14ac:dyDescent="0.2">
      <c r="A24" s="253" t="s">
        <v>708</v>
      </c>
      <c r="B24" s="255"/>
      <c r="C24" s="255"/>
      <c r="D24" s="255"/>
      <c r="E24" s="255"/>
      <c r="F24" s="255"/>
      <c r="G24" s="255"/>
      <c r="H24" s="255"/>
      <c r="I24" s="255"/>
      <c r="J24" s="255"/>
      <c r="K24" s="255"/>
      <c r="L24" s="255"/>
      <c r="M24" s="254"/>
    </row>
    <row r="25" spans="1:13" ht="13.5" customHeight="1" x14ac:dyDescent="0.2">
      <c r="A25" s="728" t="s">
        <v>478</v>
      </c>
      <c r="B25" s="728"/>
      <c r="C25" s="728"/>
      <c r="D25" s="728"/>
      <c r="E25" s="728"/>
      <c r="F25" s="728"/>
      <c r="G25" s="728"/>
      <c r="H25" s="728"/>
      <c r="I25" s="728"/>
      <c r="J25" s="728"/>
      <c r="K25" s="728"/>
      <c r="L25" s="728"/>
      <c r="M25" s="256"/>
    </row>
    <row r="26" spans="1:13" ht="15" customHeight="1" x14ac:dyDescent="0.2">
      <c r="A26" s="728" t="s">
        <v>479</v>
      </c>
      <c r="B26" s="728"/>
      <c r="C26" s="728"/>
      <c r="D26" s="728"/>
      <c r="E26" s="728"/>
      <c r="F26" s="728"/>
      <c r="G26" s="728"/>
      <c r="H26" s="728"/>
      <c r="I26" s="728"/>
      <c r="J26" s="728"/>
      <c r="K26" s="728"/>
      <c r="L26" s="728"/>
      <c r="M26" s="256"/>
    </row>
    <row r="27" spans="1:13" ht="31.5" customHeight="1" x14ac:dyDescent="0.2">
      <c r="A27" s="721" t="s">
        <v>766</v>
      </c>
      <c r="B27" s="721"/>
      <c r="C27" s="721"/>
      <c r="D27" s="721"/>
      <c r="E27" s="721"/>
      <c r="F27" s="721"/>
      <c r="G27" s="721"/>
      <c r="H27" s="721"/>
      <c r="I27" s="721"/>
      <c r="J27" s="721"/>
      <c r="K27" s="721"/>
      <c r="L27" s="721"/>
      <c r="M27" s="254"/>
    </row>
    <row r="28" spans="1:13" s="258" customFormat="1" ht="45" customHeight="1" x14ac:dyDescent="0.2">
      <c r="A28" s="721" t="s">
        <v>767</v>
      </c>
      <c r="B28" s="721"/>
      <c r="C28" s="721"/>
      <c r="D28" s="721"/>
      <c r="E28" s="721"/>
      <c r="F28" s="721"/>
      <c r="G28" s="721"/>
      <c r="H28" s="721"/>
      <c r="I28" s="721"/>
      <c r="J28" s="721"/>
      <c r="K28" s="721"/>
      <c r="L28" s="721"/>
      <c r="M28" s="257"/>
    </row>
    <row r="29" spans="1:13" x14ac:dyDescent="0.2">
      <c r="A29" s="639" t="s">
        <v>480</v>
      </c>
      <c r="B29" s="639"/>
      <c r="C29" s="639"/>
      <c r="D29" s="639"/>
      <c r="E29" s="639"/>
      <c r="F29" s="639"/>
      <c r="G29" s="639"/>
      <c r="H29" s="639"/>
      <c r="I29" s="639"/>
      <c r="J29" s="639"/>
      <c r="K29" s="639"/>
      <c r="L29" s="639"/>
      <c r="M29" s="254"/>
    </row>
    <row r="30" spans="1:13" ht="33" customHeight="1" x14ac:dyDescent="0.2">
      <c r="A30" s="721" t="s">
        <v>768</v>
      </c>
      <c r="B30" s="721"/>
      <c r="C30" s="721"/>
      <c r="D30" s="721"/>
      <c r="E30" s="721"/>
      <c r="F30" s="721"/>
      <c r="G30" s="721"/>
      <c r="H30" s="721"/>
      <c r="I30" s="721"/>
      <c r="J30" s="721"/>
      <c r="K30" s="721"/>
      <c r="L30" s="721"/>
      <c r="M30" s="254"/>
    </row>
    <row r="31" spans="1:13" ht="28.5" customHeight="1" x14ac:dyDescent="0.2">
      <c r="A31" s="721" t="s">
        <v>481</v>
      </c>
      <c r="B31" s="721"/>
      <c r="C31" s="721"/>
      <c r="D31" s="721"/>
      <c r="E31" s="721"/>
      <c r="F31" s="721"/>
      <c r="G31" s="721"/>
      <c r="H31" s="721"/>
      <c r="I31" s="721"/>
      <c r="J31" s="721"/>
      <c r="K31" s="721"/>
      <c r="L31" s="721"/>
      <c r="M31" s="254"/>
    </row>
    <row r="32" spans="1:13" x14ac:dyDescent="0.2">
      <c r="A32" s="638"/>
      <c r="B32" s="638"/>
      <c r="C32" s="638"/>
      <c r="D32" s="638"/>
      <c r="E32" s="638"/>
      <c r="F32" s="638"/>
      <c r="G32" s="638"/>
      <c r="H32" s="638"/>
      <c r="I32" s="638"/>
      <c r="J32" s="638"/>
      <c r="K32" s="638"/>
      <c r="L32" s="638"/>
      <c r="M32" s="254"/>
    </row>
    <row r="33" spans="1:13" x14ac:dyDescent="0.2">
      <c r="A33" s="253" t="s">
        <v>172</v>
      </c>
      <c r="B33" s="259"/>
      <c r="C33" s="259"/>
      <c r="D33" s="259"/>
      <c r="E33" s="259"/>
      <c r="F33" s="259"/>
      <c r="G33" s="259"/>
      <c r="H33" s="259"/>
      <c r="I33" s="260"/>
      <c r="J33" s="260"/>
      <c r="K33" s="260"/>
      <c r="L33" s="260"/>
      <c r="M33" s="254"/>
    </row>
    <row r="34" spans="1:13" ht="33" customHeight="1" x14ac:dyDescent="0.2">
      <c r="A34" s="721" t="s">
        <v>709</v>
      </c>
      <c r="B34" s="721"/>
      <c r="C34" s="721"/>
      <c r="D34" s="721"/>
      <c r="E34" s="721"/>
      <c r="F34" s="721"/>
      <c r="G34" s="721"/>
      <c r="H34" s="721"/>
      <c r="I34" s="721"/>
      <c r="J34" s="721"/>
      <c r="K34" s="721"/>
      <c r="L34" s="721"/>
      <c r="M34" s="254"/>
    </row>
    <row r="35" spans="1:13" x14ac:dyDescent="0.2">
      <c r="A35" s="722" t="s">
        <v>342</v>
      </c>
      <c r="B35" s="722"/>
      <c r="C35" s="722"/>
      <c r="D35" s="722"/>
      <c r="E35" s="722"/>
      <c r="F35" s="722"/>
      <c r="G35" s="722"/>
      <c r="H35" s="722"/>
      <c r="I35" s="722"/>
      <c r="J35" s="722"/>
      <c r="K35" s="722"/>
      <c r="L35" s="722"/>
      <c r="M35" s="254"/>
    </row>
    <row r="36" spans="1:13" ht="48.75" customHeight="1" x14ac:dyDescent="0.2">
      <c r="A36" s="723" t="s">
        <v>770</v>
      </c>
      <c r="B36" s="723"/>
      <c r="C36" s="723"/>
      <c r="D36" s="723"/>
      <c r="E36" s="723"/>
      <c r="F36" s="723"/>
      <c r="G36" s="723"/>
      <c r="H36" s="723"/>
      <c r="I36" s="723"/>
      <c r="J36" s="723"/>
      <c r="K36" s="723"/>
      <c r="L36" s="723"/>
      <c r="M36" s="254"/>
    </row>
    <row r="37" spans="1:13" ht="15" customHeight="1" x14ac:dyDescent="0.2">
      <c r="A37" s="724" t="s">
        <v>769</v>
      </c>
      <c r="B37" s="724"/>
      <c r="C37" s="724"/>
      <c r="D37" s="724"/>
      <c r="E37" s="724"/>
      <c r="F37" s="724"/>
      <c r="G37" s="724"/>
      <c r="H37" s="724"/>
      <c r="I37" s="724"/>
      <c r="J37" s="724"/>
      <c r="K37" s="724"/>
      <c r="L37" s="724"/>
      <c r="M37" s="254"/>
    </row>
  </sheetData>
  <sheetProtection algorithmName="SHA-512" hashValue="EaozXuE5sAzUkLw/Z8bKjv1+ulcMCR4TXtLEKpeaoa7ABL0yl6OQSSIoxOsyaqju4hLY8/P2WGgFIN4bkZMdyw==" saltValue="pe3ogSb7bP3It2MUQNG58g==" spinCount="100000" sheet="1" objects="1" scenarios="1"/>
  <mergeCells count="26">
    <mergeCell ref="A15:L15"/>
    <mergeCell ref="A8:L8"/>
    <mergeCell ref="A9:L9"/>
    <mergeCell ref="A10:L10"/>
    <mergeCell ref="A13:L13"/>
    <mergeCell ref="A14:L14"/>
    <mergeCell ref="A11:K11"/>
    <mergeCell ref="A12:K12"/>
    <mergeCell ref="A30:L30"/>
    <mergeCell ref="A16:L16"/>
    <mergeCell ref="A17:L17"/>
    <mergeCell ref="A18:L18"/>
    <mergeCell ref="A19:L19"/>
    <mergeCell ref="A21:L21"/>
    <mergeCell ref="A23:L23"/>
    <mergeCell ref="A25:L25"/>
    <mergeCell ref="A26:L26"/>
    <mergeCell ref="A27:L27"/>
    <mergeCell ref="A28:L28"/>
    <mergeCell ref="A22:K22"/>
    <mergeCell ref="A20:K20"/>
    <mergeCell ref="A31:L31"/>
    <mergeCell ref="A34:L34"/>
    <mergeCell ref="A35:L35"/>
    <mergeCell ref="A36:L36"/>
    <mergeCell ref="A37:L37"/>
  </mergeCells>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B1:L54"/>
  <sheetViews>
    <sheetView topLeftCell="A40" workbookViewId="0">
      <selection activeCell="O8" sqref="O8"/>
    </sheetView>
  </sheetViews>
  <sheetFormatPr defaultColWidth="9.140625" defaultRowHeight="12.75" x14ac:dyDescent="0.2"/>
  <cols>
    <col min="1" max="2" width="2.5703125" style="206" customWidth="1"/>
    <col min="3" max="3" width="29.85546875" style="206" customWidth="1"/>
    <col min="4" max="4" width="18.140625" style="206" customWidth="1"/>
    <col min="5" max="5" width="13.5703125" style="206" bestFit="1" customWidth="1"/>
    <col min="6" max="6" width="10.42578125" style="206" customWidth="1"/>
    <col min="7" max="7" width="9.140625" style="206"/>
    <col min="8" max="8" width="3.42578125" style="206" customWidth="1"/>
    <col min="9" max="9" width="9.140625" style="206" hidden="1" customWidth="1"/>
    <col min="10" max="10" width="0.140625" style="206" hidden="1" customWidth="1"/>
    <col min="11" max="12" width="9.140625" style="206" hidden="1" customWidth="1"/>
    <col min="13" max="13" width="2.42578125" style="206" customWidth="1"/>
    <col min="14" max="14" width="1.42578125" style="206" customWidth="1"/>
    <col min="15" max="16384" width="9.140625" style="206"/>
  </cols>
  <sheetData>
    <row r="1" spans="2:7" ht="11.25" customHeight="1" x14ac:dyDescent="0.2"/>
    <row r="2" spans="2:7" ht="36" customHeight="1" x14ac:dyDescent="0.2"/>
    <row r="3" spans="2:7" ht="24" customHeight="1" x14ac:dyDescent="0.2"/>
    <row r="4" spans="2:7" ht="37.5" customHeight="1" x14ac:dyDescent="0.3">
      <c r="B4" s="368" t="s">
        <v>660</v>
      </c>
      <c r="C4" s="369"/>
      <c r="D4" s="369"/>
      <c r="E4" s="207"/>
      <c r="F4" s="207"/>
      <c r="G4" s="207"/>
    </row>
    <row r="5" spans="2:7" x14ac:dyDescent="0.2">
      <c r="B5" s="207"/>
      <c r="C5" s="207"/>
      <c r="D5" s="207"/>
      <c r="E5" s="207"/>
      <c r="F5" s="207"/>
      <c r="G5" s="207"/>
    </row>
    <row r="6" spans="2:7" ht="12.75" customHeight="1" x14ac:dyDescent="0.2">
      <c r="B6" s="731" t="s">
        <v>443</v>
      </c>
      <c r="C6" s="731"/>
      <c r="D6" s="731"/>
      <c r="E6" s="731"/>
      <c r="F6" s="731"/>
      <c r="G6" s="731"/>
    </row>
    <row r="7" spans="2:7" x14ac:dyDescent="0.2">
      <c r="B7" s="731"/>
      <c r="C7" s="731"/>
      <c r="D7" s="731"/>
      <c r="E7" s="731"/>
      <c r="F7" s="731"/>
      <c r="G7" s="731"/>
    </row>
    <row r="8" spans="2:7" x14ac:dyDescent="0.2">
      <c r="B8" s="731"/>
      <c r="C8" s="731"/>
      <c r="D8" s="731"/>
      <c r="E8" s="731"/>
      <c r="F8" s="731"/>
      <c r="G8" s="731"/>
    </row>
    <row r="9" spans="2:7" x14ac:dyDescent="0.2">
      <c r="B9" s="220"/>
      <c r="C9" s="220"/>
      <c r="D9" s="220"/>
      <c r="E9" s="220"/>
      <c r="F9" s="220"/>
      <c r="G9" s="220"/>
    </row>
    <row r="10" spans="2:7" x14ac:dyDescent="0.2">
      <c r="B10" s="217" t="s">
        <v>444</v>
      </c>
      <c r="C10" s="220"/>
      <c r="D10" s="220"/>
      <c r="E10" s="220"/>
      <c r="F10" s="220"/>
      <c r="G10" s="220"/>
    </row>
    <row r="11" spans="2:7" ht="13.5" thickBot="1" x14ac:dyDescent="0.25">
      <c r="B11" s="207"/>
      <c r="C11" s="207"/>
      <c r="D11" s="207"/>
      <c r="E11" s="207"/>
      <c r="F11" s="207"/>
      <c r="G11" s="207"/>
    </row>
    <row r="12" spans="2:7" x14ac:dyDescent="0.2">
      <c r="B12" s="208"/>
      <c r="C12" s="209"/>
      <c r="D12" s="209"/>
      <c r="E12" s="209"/>
      <c r="F12" s="209"/>
      <c r="G12" s="210"/>
    </row>
    <row r="13" spans="2:7" ht="15" x14ac:dyDescent="0.2">
      <c r="B13" s="652"/>
      <c r="C13" s="653" t="s">
        <v>435</v>
      </c>
      <c r="D13" s="653"/>
      <c r="E13" s="654" t="str">
        <f>IF(DoR="","",DoR)</f>
        <v/>
      </c>
      <c r="F13" s="653"/>
      <c r="G13" s="211"/>
    </row>
    <row r="14" spans="2:7" ht="15" x14ac:dyDescent="0.2">
      <c r="B14" s="652"/>
      <c r="C14" s="653"/>
      <c r="D14" s="653"/>
      <c r="E14" s="655"/>
      <c r="F14" s="653"/>
      <c r="G14" s="211"/>
    </row>
    <row r="15" spans="2:7" ht="15" x14ac:dyDescent="0.2">
      <c r="B15" s="652"/>
      <c r="C15" s="653" t="s">
        <v>436</v>
      </c>
      <c r="D15" s="653"/>
      <c r="E15" s="735" t="str">
        <f>IF(Name_member="","",Name_member)</f>
        <v/>
      </c>
      <c r="F15" s="736"/>
      <c r="G15" s="212"/>
    </row>
    <row r="16" spans="2:7" ht="15" x14ac:dyDescent="0.2">
      <c r="B16" s="652"/>
      <c r="C16" s="653"/>
      <c r="D16" s="653"/>
      <c r="E16" s="682"/>
      <c r="F16" s="682"/>
      <c r="G16" s="211"/>
    </row>
    <row r="17" spans="2:7" ht="15" x14ac:dyDescent="0.2">
      <c r="B17" s="652"/>
      <c r="C17" s="653" t="s">
        <v>62</v>
      </c>
      <c r="D17" s="653"/>
      <c r="E17" s="654" t="str">
        <f>IF(DoB="","",DoB)</f>
        <v/>
      </c>
      <c r="F17" s="653"/>
      <c r="G17" s="211"/>
    </row>
    <row r="18" spans="2:7" ht="15" x14ac:dyDescent="0.2">
      <c r="B18" s="652"/>
      <c r="C18" s="653"/>
      <c r="D18" s="653"/>
      <c r="E18" s="655"/>
      <c r="F18" s="653"/>
      <c r="G18" s="211"/>
    </row>
    <row r="19" spans="2:7" ht="15" x14ac:dyDescent="0.2">
      <c r="B19" s="652"/>
      <c r="C19" s="653" t="s">
        <v>437</v>
      </c>
      <c r="D19" s="653"/>
      <c r="E19" s="654" t="str">
        <f>IF(DJS="","",DJS)</f>
        <v/>
      </c>
      <c r="F19" s="653"/>
      <c r="G19" s="211"/>
    </row>
    <row r="20" spans="2:7" ht="15" x14ac:dyDescent="0.2">
      <c r="B20" s="652"/>
      <c r="C20" s="653"/>
      <c r="D20" s="653"/>
      <c r="E20" s="653"/>
      <c r="F20" s="653"/>
      <c r="G20" s="211"/>
    </row>
    <row r="21" spans="2:7" ht="15" x14ac:dyDescent="0.2">
      <c r="B21" s="652"/>
      <c r="C21" s="653" t="s">
        <v>438</v>
      </c>
      <c r="D21" s="653"/>
      <c r="E21" s="656" t="str">
        <f>IF(CurrentSal="","",CurrentSal)</f>
        <v/>
      </c>
      <c r="F21" s="653"/>
      <c r="G21" s="211"/>
    </row>
    <row r="22" spans="2:7" ht="15.75" thickBot="1" x14ac:dyDescent="0.25">
      <c r="B22" s="657"/>
      <c r="C22" s="658"/>
      <c r="D22" s="658"/>
      <c r="E22" s="659"/>
      <c r="F22" s="658"/>
      <c r="G22" s="213"/>
    </row>
    <row r="23" spans="2:7" ht="13.5" customHeight="1" x14ac:dyDescent="0.2">
      <c r="B23" s="660"/>
      <c r="C23" s="653"/>
      <c r="D23" s="653"/>
      <c r="E23" s="661"/>
      <c r="F23" s="653"/>
      <c r="G23" s="214"/>
    </row>
    <row r="24" spans="2:7" ht="31.5" customHeight="1" x14ac:dyDescent="0.2">
      <c r="B24" s="738" t="s">
        <v>439</v>
      </c>
      <c r="C24" s="738"/>
      <c r="D24" s="738"/>
      <c r="E24" s="738"/>
      <c r="F24" s="662"/>
      <c r="G24" s="207"/>
    </row>
    <row r="25" spans="2:7" ht="14.25" customHeight="1" x14ac:dyDescent="0.2">
      <c r="B25" s="660" t="s">
        <v>442</v>
      </c>
      <c r="C25" s="219"/>
      <c r="D25" s="663"/>
      <c r="E25" s="664"/>
      <c r="F25" s="662"/>
      <c r="G25" s="207"/>
    </row>
    <row r="26" spans="2:7" ht="14.25" customHeight="1" thickBot="1" x14ac:dyDescent="0.3">
      <c r="B26" s="665" t="str">
        <f>IF(Form_Check=TRUE,"","Insufficient data supplied, please fill in rest of form")</f>
        <v>Insufficient data supplied, please fill in rest of form</v>
      </c>
      <c r="C26" s="218"/>
      <c r="D26" s="663"/>
      <c r="E26" s="662"/>
      <c r="F26" s="662"/>
      <c r="G26" s="207"/>
    </row>
    <row r="27" spans="2:7" ht="15" x14ac:dyDescent="0.2">
      <c r="B27" s="666"/>
      <c r="C27" s="215"/>
      <c r="D27" s="667"/>
      <c r="E27" s="667"/>
      <c r="F27" s="667"/>
      <c r="G27" s="210"/>
    </row>
    <row r="28" spans="2:7" ht="15.75" x14ac:dyDescent="0.25">
      <c r="B28" s="652"/>
      <c r="C28" s="668" t="str">
        <f>"Projected pension at "&amp;IF(DoR="","",TEXT(DoR,"d mmmm yyy")) &amp;":"</f>
        <v>Projected pension at :</v>
      </c>
      <c r="D28" s="653"/>
      <c r="E28" s="669" t="str">
        <f>IF(Form_Check=TRUE,IF(ChosenRA&gt;=55,Calculator!H88,Calculator!H83),"")</f>
        <v/>
      </c>
      <c r="F28" s="653"/>
      <c r="G28" s="211"/>
    </row>
    <row r="29" spans="2:7" ht="15.75" x14ac:dyDescent="0.25">
      <c r="B29" s="652"/>
      <c r="C29" s="668"/>
      <c r="D29" s="653"/>
      <c r="E29" s="670"/>
      <c r="F29" s="653"/>
      <c r="G29" s="211"/>
    </row>
    <row r="30" spans="2:7" ht="15.75" x14ac:dyDescent="0.25">
      <c r="B30" s="652"/>
      <c r="C30" s="668" t="str">
        <f>IF(Scheme_Full="1995 Scheme","Automatic lump sum","")</f>
        <v/>
      </c>
      <c r="D30" s="653"/>
      <c r="E30" s="683" t="str">
        <f>IF(Form_Check=TRUE,IF(Scheme_Full="1995 scheme",Calculator!H89,""),"")</f>
        <v/>
      </c>
      <c r="F30" s="653"/>
      <c r="G30" s="211"/>
    </row>
    <row r="31" spans="2:7" ht="15" x14ac:dyDescent="0.2">
      <c r="B31" s="652"/>
      <c r="C31" s="653"/>
      <c r="D31" s="653"/>
      <c r="E31" s="653"/>
      <c r="F31" s="653"/>
      <c r="G31" s="211"/>
    </row>
    <row r="32" spans="2:7" ht="45.75" customHeight="1" x14ac:dyDescent="0.2">
      <c r="B32" s="652"/>
      <c r="C32" s="732" t="s">
        <v>614</v>
      </c>
      <c r="D32" s="733"/>
      <c r="E32" s="734"/>
      <c r="F32" s="653"/>
      <c r="G32" s="211"/>
    </row>
    <row r="33" spans="2:7" ht="15" x14ac:dyDescent="0.2">
      <c r="B33" s="652"/>
      <c r="C33" s="653"/>
      <c r="D33" s="653"/>
      <c r="E33" s="653"/>
      <c r="F33" s="653"/>
      <c r="G33" s="211"/>
    </row>
    <row r="34" spans="2:7" ht="15" x14ac:dyDescent="0.2">
      <c r="B34" s="652"/>
      <c r="C34" s="653" t="s">
        <v>440</v>
      </c>
      <c r="D34" s="653"/>
      <c r="E34" s="653"/>
      <c r="F34" s="653"/>
      <c r="G34" s="211"/>
    </row>
    <row r="35" spans="2:7" ht="15" x14ac:dyDescent="0.2">
      <c r="B35" s="652"/>
      <c r="C35" s="653"/>
      <c r="D35" s="653"/>
      <c r="E35" s="653"/>
      <c r="F35" s="653"/>
      <c r="G35" s="211"/>
    </row>
    <row r="36" spans="2:7" ht="15.75" x14ac:dyDescent="0.25">
      <c r="B36" s="652"/>
      <c r="C36" s="668" t="s">
        <v>445</v>
      </c>
      <c r="D36" s="653"/>
      <c r="E36" s="669" t="str">
        <f>IF(Form_Check=TRUE,IF(ChosenRA&gt;=55,Calculator!H78,Calculator!H72),"")</f>
        <v/>
      </c>
      <c r="F36" s="653"/>
      <c r="G36" s="211"/>
    </row>
    <row r="37" spans="2:7" ht="15" x14ac:dyDescent="0.2">
      <c r="B37" s="652"/>
      <c r="C37" s="653"/>
      <c r="D37" s="653"/>
      <c r="E37" s="670"/>
      <c r="F37" s="653"/>
      <c r="G37" s="211"/>
    </row>
    <row r="38" spans="2:7" ht="15.75" x14ac:dyDescent="0.25">
      <c r="B38" s="652"/>
      <c r="C38" s="668" t="s">
        <v>441</v>
      </c>
      <c r="D38" s="653"/>
      <c r="E38" s="656" t="str">
        <f>IF(Form_Check=TRUE,IF(ChosenRA&gt;=55,Calculator!H79,Calculator!H73),"")</f>
        <v/>
      </c>
      <c r="F38" s="653"/>
      <c r="G38" s="211"/>
    </row>
    <row r="39" spans="2:7" ht="16.5" thickBot="1" x14ac:dyDescent="0.3">
      <c r="B39" s="657"/>
      <c r="C39" s="671"/>
      <c r="D39" s="658"/>
      <c r="E39" s="672"/>
      <c r="F39" s="658"/>
      <c r="G39" s="213"/>
    </row>
    <row r="40" spans="2:7" ht="15.75" customHeight="1" x14ac:dyDescent="0.2">
      <c r="B40" s="652"/>
      <c r="C40" s="737" t="str">
        <f>IF(ChosenRA&gt;=55,"","Please note, as you have selected a retirement data that is before Normal Pension Age in the 2015 Scheme, entitlement is deferred until you reach your state pension age. **")</f>
        <v>Please note, as you have selected a retirement data that is before Normal Pension Age in the 2015 Scheme, entitlement is deferred until you reach your state pension age. **</v>
      </c>
      <c r="D40" s="737"/>
      <c r="E40" s="737"/>
      <c r="F40" s="737"/>
      <c r="G40" s="211"/>
    </row>
    <row r="41" spans="2:7" ht="15.75" customHeight="1" x14ac:dyDescent="0.2">
      <c r="B41" s="652"/>
      <c r="C41" s="737"/>
      <c r="D41" s="737"/>
      <c r="E41" s="737"/>
      <c r="F41" s="737"/>
      <c r="G41" s="211"/>
    </row>
    <row r="42" spans="2:7" ht="15.75" customHeight="1" x14ac:dyDescent="0.2">
      <c r="B42" s="652"/>
      <c r="C42" s="737"/>
      <c r="D42" s="737"/>
      <c r="E42" s="737"/>
      <c r="F42" s="737"/>
      <c r="G42" s="211"/>
    </row>
    <row r="43" spans="2:7" ht="15.75" customHeight="1" x14ac:dyDescent="0.25">
      <c r="B43" s="652"/>
      <c r="C43" s="673"/>
      <c r="D43" s="673"/>
      <c r="E43" s="673"/>
      <c r="F43" s="673"/>
      <c r="G43" s="211"/>
    </row>
    <row r="44" spans="2:7" ht="15.75" x14ac:dyDescent="0.25">
      <c r="B44" s="652"/>
      <c r="C44" s="668" t="str">
        <f>IF(ChosenRA&gt;=55,"","Deferred 2015 pension payable at SPA")</f>
        <v>Deferred 2015 pension payable at SPA</v>
      </c>
      <c r="D44" s="653"/>
      <c r="E44" s="669" t="str">
        <f>IF(Form_Check=TRUE,IF(ChosenRA&gt;=55,"",Calculator!H86),"")</f>
        <v/>
      </c>
      <c r="F44" s="653"/>
      <c r="G44" s="211"/>
    </row>
    <row r="45" spans="2:7" ht="15.75" x14ac:dyDescent="0.25">
      <c r="B45" s="652"/>
      <c r="C45" s="668"/>
      <c r="D45" s="653"/>
      <c r="E45" s="674"/>
      <c r="F45" s="653"/>
      <c r="G45" s="211"/>
    </row>
    <row r="46" spans="2:7" ht="15.75" x14ac:dyDescent="0.25">
      <c r="B46" s="652"/>
      <c r="C46" s="668" t="str">
        <f>IF(ChosenRA&gt;=55,"","After maximum commutation:")</f>
        <v>After maximum commutation:</v>
      </c>
      <c r="D46" s="653"/>
      <c r="E46" s="674"/>
      <c r="F46" s="653"/>
      <c r="G46" s="211"/>
    </row>
    <row r="47" spans="2:7" ht="15.75" x14ac:dyDescent="0.25">
      <c r="B47" s="652"/>
      <c r="C47" s="668" t="str">
        <f>IF(ChosenRA&gt;=55,"","Pension")</f>
        <v>Pension</v>
      </c>
      <c r="D47" s="653"/>
      <c r="E47" s="669" t="str">
        <f>IF(Form_Check=TRUE,IF(ChosenRA&gt;=55,"",Calculator!H75),"")</f>
        <v/>
      </c>
      <c r="F47" s="653"/>
      <c r="G47" s="211"/>
    </row>
    <row r="48" spans="2:7" ht="15.75" x14ac:dyDescent="0.25">
      <c r="B48" s="652"/>
      <c r="C48" s="668"/>
      <c r="D48" s="653"/>
      <c r="E48" s="670"/>
      <c r="F48" s="653"/>
      <c r="G48" s="211"/>
    </row>
    <row r="49" spans="2:7" ht="15.75" x14ac:dyDescent="0.25">
      <c r="B49" s="652"/>
      <c r="C49" s="668" t="str">
        <f>IF(ChosenRA&gt;=55,"","Lump sum")</f>
        <v>Lump sum</v>
      </c>
      <c r="D49" s="653"/>
      <c r="E49" s="656" t="str">
        <f>IF(Form_Check=TRUE,IF(ChosenRA&gt;=55,"",Calculator!H76),"")</f>
        <v/>
      </c>
      <c r="F49" s="653"/>
      <c r="G49" s="211"/>
    </row>
    <row r="50" spans="2:7" ht="13.5" thickBot="1" x14ac:dyDescent="0.25">
      <c r="B50" s="657"/>
      <c r="C50" s="675"/>
      <c r="D50" s="675"/>
      <c r="E50" s="675"/>
      <c r="F50" s="675"/>
      <c r="G50" s="213"/>
    </row>
    <row r="51" spans="2:7" x14ac:dyDescent="0.2">
      <c r="B51" s="660"/>
      <c r="C51" s="676"/>
      <c r="D51" s="676"/>
      <c r="E51" s="676"/>
      <c r="F51" s="676"/>
      <c r="G51" s="214"/>
    </row>
    <row r="52" spans="2:7" x14ac:dyDescent="0.2">
      <c r="B52" s="660" t="str">
        <f>IF(ChosenRA&gt;=55,"","** The deferred pension is payable at a reduced rate from age 55")</f>
        <v>** The deferred pension is payable at a reduced rate from age 55</v>
      </c>
      <c r="C52" s="677"/>
      <c r="D52" s="660"/>
      <c r="E52" s="660"/>
      <c r="F52" s="660"/>
      <c r="G52" s="207"/>
    </row>
    <row r="53" spans="2:7" x14ac:dyDescent="0.2">
      <c r="B53" s="660"/>
      <c r="C53" s="677"/>
      <c r="D53" s="660"/>
      <c r="E53" s="660"/>
      <c r="F53" s="660"/>
      <c r="G53" s="207"/>
    </row>
    <row r="54" spans="2:7" x14ac:dyDescent="0.2">
      <c r="C54" s="207" t="s">
        <v>447</v>
      </c>
      <c r="D54" s="216">
        <f ca="1">Date_curr</f>
        <v>44243</v>
      </c>
    </row>
  </sheetData>
  <sheetProtection algorithmName="SHA-512" hashValue="CJXmxtIA3/ud4wkEJQm98aKe7Agv418tCZltcBnBdvco0Qrx8XJVsE188N54Dg2i9k+kQkRq+SpZMLS4QGog9g==" saltValue="E9xC6sE9ry5/KAHufCh3EQ==" spinCount="100000" sheet="1" objects="1" scenarios="1"/>
  <mergeCells count="5">
    <mergeCell ref="B6:G8"/>
    <mergeCell ref="C32:E32"/>
    <mergeCell ref="E15:F15"/>
    <mergeCell ref="C40:F42"/>
    <mergeCell ref="B24:E24"/>
  </mergeCells>
  <conditionalFormatting sqref="B39:G39">
    <cfRule type="expression" dxfId="3" priority="3">
      <formula>ChosenRA&lt;55</formula>
    </cfRule>
  </conditionalFormatting>
  <conditionalFormatting sqref="C44:F49">
    <cfRule type="expression" dxfId="2" priority="4">
      <formula>ChosenRA&gt;=55</formula>
    </cfRule>
  </conditionalFormatting>
  <conditionalFormatting sqref="B40:G50">
    <cfRule type="expression" dxfId="1" priority="2">
      <formula>ChosenRA&gt;=55</formula>
    </cfRule>
  </conditionalFormatting>
  <conditionalFormatting sqref="E30">
    <cfRule type="expression" dxfId="0" priority="1">
      <formula>Scheme_Full ="1995 Scheme"</formula>
    </cfRule>
  </conditionalFormatting>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N145"/>
  <sheetViews>
    <sheetView topLeftCell="A10" workbookViewId="0">
      <selection activeCell="D27" sqref="D27"/>
    </sheetView>
  </sheetViews>
  <sheetFormatPr defaultRowHeight="12.75" x14ac:dyDescent="0.2"/>
  <cols>
    <col min="2" max="2" width="9.85546875" style="1" customWidth="1"/>
    <col min="3" max="3" width="10.140625" bestFit="1" customWidth="1"/>
    <col min="4" max="5" width="10.42578125" bestFit="1" customWidth="1"/>
    <col min="6" max="6" width="12.5703125" customWidth="1"/>
    <col min="7" max="7" width="27.42578125" customWidth="1"/>
    <col min="8" max="8" width="28.42578125" customWidth="1"/>
    <col min="11" max="11" width="11.5703125" bestFit="1" customWidth="1"/>
    <col min="12" max="12" width="10.5703125" bestFit="1" customWidth="1"/>
  </cols>
  <sheetData>
    <row r="1" spans="1:9" ht="20.25" x14ac:dyDescent="0.3">
      <c r="A1" s="13" t="s">
        <v>19</v>
      </c>
      <c r="B1" s="31"/>
      <c r="C1" s="12"/>
      <c r="D1" s="12"/>
      <c r="E1" s="12"/>
      <c r="F1" s="12"/>
      <c r="G1" s="12"/>
      <c r="H1" s="12"/>
      <c r="I1" s="12"/>
    </row>
    <row r="2" spans="1:9" ht="15.75" x14ac:dyDescent="0.25">
      <c r="A2" s="27" t="str">
        <f>IF(title="&gt; Enter workbook title here","Enter workbook title in Cover sheet",title)</f>
        <v>Scottish Fire pension  projection calculator</v>
      </c>
      <c r="B2" s="32"/>
      <c r="C2" s="11"/>
      <c r="D2" s="11"/>
      <c r="E2" s="11"/>
      <c r="F2" s="11"/>
      <c r="G2" s="11"/>
      <c r="H2" s="11"/>
      <c r="I2" s="11"/>
    </row>
    <row r="3" spans="1:9" ht="15.75" x14ac:dyDescent="0.25">
      <c r="A3" s="75" t="s">
        <v>77</v>
      </c>
      <c r="B3" s="32"/>
      <c r="C3" s="11"/>
      <c r="D3" s="11"/>
      <c r="E3" s="11"/>
      <c r="F3" s="11"/>
      <c r="G3" s="11"/>
      <c r="H3" s="11"/>
      <c r="I3" s="11"/>
    </row>
    <row r="4" spans="1:9" x14ac:dyDescent="0.2">
      <c r="A4" s="7" t="str">
        <f ca="1">CELL("filename",A1)</f>
        <v>C:\Users\u205538\Downloads\[NHS_Pension_Calculator_v2.3 22 Dec 2020 (6).xlsx]Parameters</v>
      </c>
    </row>
    <row r="6" spans="1:9" x14ac:dyDescent="0.2">
      <c r="E6" s="29"/>
    </row>
    <row r="7" spans="1:9" x14ac:dyDescent="0.2">
      <c r="B7" s="1" t="s">
        <v>59</v>
      </c>
      <c r="E7" s="225" t="s">
        <v>551</v>
      </c>
    </row>
    <row r="8" spans="1:9" x14ac:dyDescent="0.2">
      <c r="E8" s="225" t="s">
        <v>552</v>
      </c>
    </row>
    <row r="9" spans="1:9" x14ac:dyDescent="0.2">
      <c r="E9" s="33"/>
    </row>
    <row r="10" spans="1:9" x14ac:dyDescent="0.2">
      <c r="B10" s="1" t="s">
        <v>76</v>
      </c>
      <c r="E10" s="34">
        <v>41000</v>
      </c>
    </row>
    <row r="11" spans="1:9" x14ac:dyDescent="0.2">
      <c r="E11" s="33"/>
    </row>
    <row r="12" spans="1:9" x14ac:dyDescent="0.2">
      <c r="B12" s="1" t="s">
        <v>70</v>
      </c>
      <c r="D12" s="29"/>
      <c r="E12" s="34">
        <v>42095</v>
      </c>
    </row>
    <row r="13" spans="1:9" x14ac:dyDescent="0.2">
      <c r="D13" s="29"/>
      <c r="E13" s="34"/>
    </row>
    <row r="14" spans="1:9" x14ac:dyDescent="0.2">
      <c r="B14" s="1" t="s">
        <v>68</v>
      </c>
      <c r="D14" s="29"/>
      <c r="E14" s="36">
        <v>365.25</v>
      </c>
    </row>
    <row r="15" spans="1:9" x14ac:dyDescent="0.2">
      <c r="D15" s="29"/>
    </row>
    <row r="16" spans="1:9" x14ac:dyDescent="0.2">
      <c r="B16" s="382" t="s">
        <v>144</v>
      </c>
      <c r="C16" s="383"/>
      <c r="D16" s="380"/>
      <c r="E16" s="380" t="s">
        <v>551</v>
      </c>
      <c r="F16" s="412">
        <v>45</v>
      </c>
    </row>
    <row r="17" spans="2:7" x14ac:dyDescent="0.2">
      <c r="B17" s="382"/>
      <c r="C17" s="383"/>
      <c r="D17" s="380"/>
      <c r="E17" s="380" t="s">
        <v>552</v>
      </c>
      <c r="F17" s="412">
        <v>45</v>
      </c>
    </row>
    <row r="18" spans="2:7" x14ac:dyDescent="0.2">
      <c r="D18" s="29"/>
    </row>
    <row r="19" spans="2:7" x14ac:dyDescent="0.2">
      <c r="B19" s="1" t="s">
        <v>60</v>
      </c>
      <c r="E19" s="29" t="s">
        <v>551</v>
      </c>
      <c r="F19" s="33">
        <f>1/80</f>
        <v>1.2500000000000001E-2</v>
      </c>
      <c r="G19" s="29" t="s">
        <v>661</v>
      </c>
    </row>
    <row r="20" spans="2:7" x14ac:dyDescent="0.2">
      <c r="E20" s="29" t="s">
        <v>552</v>
      </c>
      <c r="F20" s="33">
        <f>1/60</f>
        <v>1.6666666666666666E-2</v>
      </c>
      <c r="G20" s="29" t="s">
        <v>661</v>
      </c>
    </row>
    <row r="21" spans="2:7" x14ac:dyDescent="0.2">
      <c r="E21" s="29" t="s">
        <v>61</v>
      </c>
      <c r="F21" s="225">
        <f>1/54</f>
        <v>1.8518518518518517E-2</v>
      </c>
      <c r="G21" s="29" t="s">
        <v>661</v>
      </c>
    </row>
    <row r="22" spans="2:7" x14ac:dyDescent="0.2">
      <c r="F22" s="33"/>
    </row>
    <row r="24" spans="2:7" x14ac:dyDescent="0.2">
      <c r="B24" s="1" t="s">
        <v>74</v>
      </c>
    </row>
    <row r="25" spans="2:7" x14ac:dyDescent="0.2">
      <c r="D25" s="739" t="s">
        <v>75</v>
      </c>
      <c r="E25" s="739"/>
    </row>
    <row r="26" spans="2:7" x14ac:dyDescent="0.2">
      <c r="D26" s="30" t="s">
        <v>64</v>
      </c>
      <c r="E26" s="30" t="s">
        <v>65</v>
      </c>
    </row>
    <row r="27" spans="2:7" x14ac:dyDescent="0.2">
      <c r="D27" s="41">
        <v>14707</v>
      </c>
      <c r="E27" s="44">
        <v>19788</v>
      </c>
      <c r="F27" s="33">
        <v>65</v>
      </c>
    </row>
    <row r="28" spans="2:7" x14ac:dyDescent="0.2">
      <c r="D28" s="42">
        <v>19789</v>
      </c>
      <c r="E28" s="45">
        <v>22164</v>
      </c>
      <c r="F28" s="33">
        <v>66</v>
      </c>
    </row>
    <row r="29" spans="2:7" x14ac:dyDescent="0.2">
      <c r="D29" s="42">
        <v>22165</v>
      </c>
      <c r="E29" s="45">
        <v>28373</v>
      </c>
      <c r="F29" s="33">
        <v>67</v>
      </c>
    </row>
    <row r="30" spans="2:7" x14ac:dyDescent="0.2">
      <c r="D30" s="43">
        <v>28374</v>
      </c>
      <c r="E30" s="46"/>
      <c r="F30" s="33">
        <v>68</v>
      </c>
    </row>
    <row r="32" spans="2:7" x14ac:dyDescent="0.2">
      <c r="E32" s="16" t="s">
        <v>73</v>
      </c>
      <c r="F32" s="301" t="e">
        <f>VLOOKUP(DoB,D27:F30,3,TRUE)</f>
        <v>#N/A</v>
      </c>
    </row>
    <row r="33" spans="2:10" x14ac:dyDescent="0.2">
      <c r="E33" s="16" t="s">
        <v>599</v>
      </c>
      <c r="F33" s="430" t="e">
        <f>DATE(YEAR(DoB)+SPA,MONTH(DoB),DAY(DoB))</f>
        <v>#N/A</v>
      </c>
    </row>
    <row r="35" spans="2:10" x14ac:dyDescent="0.2">
      <c r="B35" s="1" t="s">
        <v>553</v>
      </c>
      <c r="E35" s="67">
        <v>39539</v>
      </c>
    </row>
    <row r="36" spans="2:10" x14ac:dyDescent="0.2">
      <c r="E36" s="34"/>
    </row>
    <row r="37" spans="2:10" x14ac:dyDescent="0.2">
      <c r="B37" s="1" t="s">
        <v>554</v>
      </c>
      <c r="E37" s="34"/>
      <c r="G37" s="231">
        <f>(ProtectDate-Start_date_2008)/DoY</f>
        <v>4</v>
      </c>
    </row>
    <row r="39" spans="2:10" x14ac:dyDescent="0.2">
      <c r="B39" s="1" t="s">
        <v>463</v>
      </c>
    </row>
    <row r="40" spans="2:10" ht="13.5" thickBot="1" x14ac:dyDescent="0.25">
      <c r="B40" s="1" t="s">
        <v>464</v>
      </c>
    </row>
    <row r="41" spans="2:10" ht="13.5" thickBot="1" x14ac:dyDescent="0.25">
      <c r="B41" s="371"/>
      <c r="C41" s="740" t="s">
        <v>110</v>
      </c>
      <c r="D41" s="741"/>
      <c r="E41" s="741"/>
      <c r="F41" s="741"/>
      <c r="G41" s="741"/>
      <c r="H41" s="742"/>
      <c r="J41" t="s">
        <v>472</v>
      </c>
    </row>
    <row r="42" spans="2:10" ht="13.5" thickBot="1" x14ac:dyDescent="0.25">
      <c r="B42" s="372" t="s">
        <v>460</v>
      </c>
      <c r="C42" s="373" t="s">
        <v>461</v>
      </c>
      <c r="D42" s="374">
        <v>56</v>
      </c>
      <c r="E42" s="374">
        <v>57</v>
      </c>
      <c r="F42" s="374">
        <v>58</v>
      </c>
      <c r="G42" s="374">
        <v>59</v>
      </c>
      <c r="H42" s="375">
        <v>60</v>
      </c>
    </row>
    <row r="43" spans="2:10" x14ac:dyDescent="0.2">
      <c r="B43" s="376">
        <v>17</v>
      </c>
      <c r="C43" s="377"/>
      <c r="D43" s="377"/>
      <c r="E43" s="377"/>
      <c r="F43" s="377"/>
      <c r="G43" s="377"/>
      <c r="H43" s="377"/>
    </row>
    <row r="44" spans="2:10" x14ac:dyDescent="0.2">
      <c r="B44" s="378">
        <v>18</v>
      </c>
      <c r="C44" s="377"/>
      <c r="D44" s="377"/>
      <c r="E44" s="377"/>
      <c r="F44" s="377"/>
      <c r="G44" s="377"/>
      <c r="H44" s="377"/>
    </row>
    <row r="45" spans="2:10" x14ac:dyDescent="0.2">
      <c r="B45" s="376">
        <v>19</v>
      </c>
      <c r="C45" s="377"/>
      <c r="D45" s="377"/>
      <c r="E45" s="377"/>
      <c r="F45" s="377"/>
      <c r="G45" s="377"/>
      <c r="H45" s="377"/>
      <c r="J45" s="380" t="s">
        <v>555</v>
      </c>
    </row>
    <row r="46" spans="2:10" x14ac:dyDescent="0.2">
      <c r="B46" s="378">
        <v>20</v>
      </c>
      <c r="C46" s="377"/>
      <c r="D46" s="377"/>
      <c r="E46" s="377"/>
      <c r="F46" s="377"/>
      <c r="G46" s="377"/>
      <c r="H46" s="377"/>
    </row>
    <row r="47" spans="2:10" x14ac:dyDescent="0.2">
      <c r="B47" s="376">
        <v>21</v>
      </c>
      <c r="C47" s="377"/>
      <c r="D47" s="377"/>
      <c r="E47" s="377"/>
      <c r="F47" s="377"/>
      <c r="G47" s="377"/>
      <c r="H47" s="377"/>
    </row>
    <row r="48" spans="2:10" x14ac:dyDescent="0.2">
      <c r="B48" s="378">
        <v>22</v>
      </c>
      <c r="C48" s="377"/>
      <c r="D48" s="377"/>
      <c r="E48" s="377"/>
      <c r="F48" s="377"/>
      <c r="G48" s="377"/>
      <c r="H48" s="377"/>
    </row>
    <row r="49" spans="2:8" x14ac:dyDescent="0.2">
      <c r="B49" s="376">
        <v>23</v>
      </c>
      <c r="C49" s="377"/>
      <c r="D49" s="377"/>
      <c r="E49" s="377"/>
      <c r="F49" s="377"/>
      <c r="G49" s="377"/>
      <c r="H49" s="377"/>
    </row>
    <row r="50" spans="2:8" x14ac:dyDescent="0.2">
      <c r="B50" s="378">
        <v>24</v>
      </c>
      <c r="C50" s="377"/>
      <c r="D50" s="377"/>
      <c r="E50" s="377"/>
      <c r="F50" s="377"/>
      <c r="G50" s="377"/>
      <c r="H50" s="377"/>
    </row>
    <row r="51" spans="2:8" x14ac:dyDescent="0.2">
      <c r="B51" s="376">
        <v>25</v>
      </c>
      <c r="C51" s="377"/>
      <c r="D51" s="377"/>
      <c r="E51" s="377"/>
      <c r="F51" s="377"/>
      <c r="G51" s="377"/>
      <c r="H51" s="377"/>
    </row>
    <row r="52" spans="2:8" x14ac:dyDescent="0.2">
      <c r="B52" s="378">
        <v>26</v>
      </c>
      <c r="C52" s="377"/>
      <c r="D52" s="377"/>
      <c r="E52" s="377"/>
      <c r="F52" s="377"/>
      <c r="G52" s="377"/>
      <c r="H52" s="377"/>
    </row>
    <row r="53" spans="2:8" x14ac:dyDescent="0.2">
      <c r="B53" s="378">
        <v>27</v>
      </c>
      <c r="C53" s="377"/>
      <c r="D53" s="377"/>
      <c r="E53" s="377"/>
      <c r="F53" s="377"/>
      <c r="G53" s="377"/>
      <c r="H53" s="377"/>
    </row>
    <row r="54" spans="2:8" x14ac:dyDescent="0.2">
      <c r="B54" s="378">
        <v>28</v>
      </c>
      <c r="C54" s="377"/>
      <c r="D54" s="377"/>
      <c r="E54" s="377"/>
      <c r="F54" s="377"/>
      <c r="G54" s="377"/>
      <c r="H54" s="377"/>
    </row>
    <row r="55" spans="2:8" x14ac:dyDescent="0.2">
      <c r="B55" s="378">
        <v>29</v>
      </c>
      <c r="C55" s="377"/>
      <c r="D55" s="377"/>
      <c r="E55" s="377"/>
      <c r="F55" s="377"/>
      <c r="G55" s="377"/>
      <c r="H55" s="377"/>
    </row>
    <row r="56" spans="2:8" x14ac:dyDescent="0.2">
      <c r="B56" s="378">
        <v>30</v>
      </c>
      <c r="C56" s="377"/>
      <c r="D56" s="377"/>
      <c r="E56" s="377"/>
      <c r="F56" s="377"/>
      <c r="G56" s="377"/>
      <c r="H56" s="377"/>
    </row>
    <row r="57" spans="2:8" x14ac:dyDescent="0.2">
      <c r="B57" s="378">
        <v>31</v>
      </c>
      <c r="C57" s="377"/>
      <c r="D57" s="377"/>
      <c r="E57" s="377"/>
      <c r="F57" s="377"/>
      <c r="G57" s="377"/>
      <c r="H57" s="377"/>
    </row>
    <row r="58" spans="2:8" x14ac:dyDescent="0.2">
      <c r="B58" s="378">
        <v>32</v>
      </c>
      <c r="C58" s="377"/>
      <c r="D58" s="377"/>
      <c r="E58" s="377"/>
      <c r="F58" s="377"/>
      <c r="G58" s="377"/>
      <c r="H58" s="377"/>
    </row>
    <row r="59" spans="2:8" x14ac:dyDescent="0.2">
      <c r="B59" s="378">
        <v>33</v>
      </c>
      <c r="C59" s="377"/>
      <c r="D59" s="377"/>
      <c r="E59" s="377"/>
      <c r="F59" s="377"/>
      <c r="G59" s="377"/>
      <c r="H59" s="377"/>
    </row>
    <row r="60" spans="2:8" x14ac:dyDescent="0.2">
      <c r="B60" s="378">
        <v>34</v>
      </c>
      <c r="C60" s="377"/>
      <c r="D60" s="377"/>
      <c r="E60" s="377"/>
      <c r="F60" s="377"/>
      <c r="G60" s="377"/>
      <c r="H60" s="377"/>
    </row>
    <row r="61" spans="2:8" x14ac:dyDescent="0.2">
      <c r="B61" s="378">
        <v>35</v>
      </c>
      <c r="C61" s="377"/>
      <c r="D61" s="377"/>
      <c r="E61" s="377"/>
      <c r="F61" s="377"/>
      <c r="G61" s="377"/>
      <c r="H61" s="377"/>
    </row>
    <row r="62" spans="2:8" x14ac:dyDescent="0.2">
      <c r="B62" s="378">
        <v>36</v>
      </c>
      <c r="C62" s="377"/>
      <c r="D62" s="377"/>
      <c r="E62" s="377"/>
      <c r="F62" s="377"/>
      <c r="G62" s="377"/>
      <c r="H62" s="377"/>
    </row>
    <row r="63" spans="2:8" x14ac:dyDescent="0.2">
      <c r="B63" s="378">
        <v>37</v>
      </c>
      <c r="C63" s="377"/>
      <c r="D63" s="377"/>
      <c r="E63" s="377"/>
      <c r="F63" s="377"/>
      <c r="G63" s="377"/>
      <c r="H63" s="377"/>
    </row>
    <row r="64" spans="2:8" x14ac:dyDescent="0.2">
      <c r="B64" s="378">
        <v>38</v>
      </c>
      <c r="C64" s="377"/>
      <c r="D64" s="377"/>
      <c r="E64" s="377"/>
      <c r="F64" s="377"/>
      <c r="G64" s="377"/>
      <c r="H64" s="377"/>
    </row>
    <row r="65" spans="2:8" x14ac:dyDescent="0.2">
      <c r="B65" s="378">
        <v>39</v>
      </c>
      <c r="C65" s="377"/>
      <c r="D65" s="377"/>
      <c r="E65" s="377"/>
      <c r="F65" s="377"/>
      <c r="G65" s="377"/>
      <c r="H65" s="377"/>
    </row>
    <row r="66" spans="2:8" x14ac:dyDescent="0.2">
      <c r="B66" s="378">
        <v>40</v>
      </c>
      <c r="C66" s="377"/>
      <c r="D66" s="377"/>
      <c r="E66" s="377"/>
      <c r="F66" s="377"/>
      <c r="G66" s="377"/>
      <c r="H66" s="377"/>
    </row>
    <row r="67" spans="2:8" x14ac:dyDescent="0.2">
      <c r="B67" s="378">
        <v>41</v>
      </c>
      <c r="C67" s="377"/>
      <c r="D67" s="377"/>
      <c r="E67" s="377"/>
      <c r="F67" s="377"/>
      <c r="G67" s="377"/>
      <c r="H67" s="377"/>
    </row>
    <row r="68" spans="2:8" x14ac:dyDescent="0.2">
      <c r="B68" s="378">
        <v>42</v>
      </c>
      <c r="C68" s="377"/>
      <c r="D68" s="377"/>
      <c r="E68" s="377"/>
      <c r="F68" s="377"/>
      <c r="G68" s="377"/>
      <c r="H68" s="377"/>
    </row>
    <row r="69" spans="2:8" x14ac:dyDescent="0.2">
      <c r="B69" s="378">
        <v>43</v>
      </c>
      <c r="C69" s="377"/>
      <c r="D69" s="377"/>
      <c r="E69" s="377"/>
      <c r="F69" s="377"/>
      <c r="G69" s="377"/>
      <c r="H69" s="377"/>
    </row>
    <row r="70" spans="2:8" x14ac:dyDescent="0.2">
      <c r="B70" s="378">
        <v>44</v>
      </c>
      <c r="C70" s="377"/>
      <c r="D70" s="377"/>
      <c r="E70" s="377"/>
      <c r="F70" s="377"/>
      <c r="G70" s="377"/>
      <c r="H70" s="377"/>
    </row>
    <row r="71" spans="2:8" x14ac:dyDescent="0.2">
      <c r="B71" s="378">
        <v>45</v>
      </c>
      <c r="C71" s="377"/>
      <c r="D71" s="377"/>
      <c r="E71" s="377"/>
      <c r="F71" s="377"/>
      <c r="G71" s="377"/>
      <c r="H71" s="377"/>
    </row>
    <row r="72" spans="2:8" x14ac:dyDescent="0.2">
      <c r="B72" s="378">
        <v>46</v>
      </c>
      <c r="C72" s="377"/>
      <c r="D72" s="377"/>
      <c r="E72" s="377"/>
      <c r="F72" s="377"/>
      <c r="G72" s="377"/>
      <c r="H72" s="377"/>
    </row>
    <row r="73" spans="2:8" x14ac:dyDescent="0.2">
      <c r="B73" s="378">
        <v>47</v>
      </c>
      <c r="C73" s="377"/>
      <c r="D73" s="377"/>
      <c r="E73" s="377"/>
      <c r="F73" s="377"/>
      <c r="G73" s="377"/>
      <c r="H73" s="377"/>
    </row>
    <row r="74" spans="2:8" x14ac:dyDescent="0.2">
      <c r="B74" s="378">
        <v>48</v>
      </c>
      <c r="C74" s="377"/>
      <c r="D74" s="377"/>
      <c r="E74" s="377"/>
      <c r="F74" s="377"/>
      <c r="G74" s="377"/>
      <c r="H74" s="377"/>
    </row>
    <row r="75" spans="2:8" x14ac:dyDescent="0.2">
      <c r="B75" s="378">
        <v>49</v>
      </c>
      <c r="C75" s="377"/>
      <c r="D75" s="377"/>
      <c r="E75" s="377"/>
      <c r="F75" s="377"/>
      <c r="G75" s="377"/>
      <c r="H75" s="377"/>
    </row>
    <row r="76" spans="2:8" x14ac:dyDescent="0.2">
      <c r="B76" s="378">
        <v>50</v>
      </c>
      <c r="C76" s="377"/>
      <c r="D76" s="377"/>
      <c r="E76" s="377"/>
      <c r="F76" s="377"/>
      <c r="G76" s="377"/>
      <c r="H76" s="377"/>
    </row>
    <row r="77" spans="2:8" x14ac:dyDescent="0.2">
      <c r="B77" s="378">
        <v>51</v>
      </c>
      <c r="C77" s="377"/>
      <c r="D77" s="377"/>
      <c r="E77" s="377"/>
      <c r="F77" s="377"/>
      <c r="G77" s="377"/>
      <c r="H77" s="377"/>
    </row>
    <row r="78" spans="2:8" x14ac:dyDescent="0.2">
      <c r="B78" s="378">
        <v>52</v>
      </c>
      <c r="C78" s="377"/>
      <c r="D78" s="377"/>
      <c r="E78" s="377"/>
      <c r="F78" s="377"/>
      <c r="G78" s="377"/>
      <c r="H78" s="377"/>
    </row>
    <row r="79" spans="2:8" x14ac:dyDescent="0.2">
      <c r="B79" s="378">
        <v>53</v>
      </c>
      <c r="C79" s="377"/>
      <c r="D79" s="377"/>
      <c r="E79" s="377"/>
      <c r="F79" s="377"/>
      <c r="G79" s="377"/>
      <c r="H79" s="377"/>
    </row>
    <row r="80" spans="2:8" x14ac:dyDescent="0.2">
      <c r="B80" s="378">
        <v>54</v>
      </c>
      <c r="C80" s="377"/>
      <c r="D80" s="377"/>
      <c r="E80" s="377"/>
      <c r="F80" s="377"/>
      <c r="G80" s="377"/>
      <c r="H80" s="377"/>
    </row>
    <row r="81" spans="1:14" x14ac:dyDescent="0.2">
      <c r="B81" s="378">
        <v>55</v>
      </c>
      <c r="C81" s="377"/>
      <c r="D81" s="377"/>
      <c r="E81" s="377"/>
      <c r="F81" s="377"/>
      <c r="G81" s="377"/>
      <c r="H81" s="377"/>
    </row>
    <row r="82" spans="1:14" x14ac:dyDescent="0.2">
      <c r="B82" s="378">
        <v>56</v>
      </c>
      <c r="C82" s="377"/>
      <c r="D82" s="377"/>
      <c r="E82" s="377"/>
      <c r="F82" s="377"/>
      <c r="G82" s="377"/>
      <c r="H82" s="377"/>
    </row>
    <row r="83" spans="1:14" x14ac:dyDescent="0.2">
      <c r="B83" s="378">
        <v>57</v>
      </c>
      <c r="C83" s="377"/>
      <c r="D83" s="377"/>
      <c r="E83" s="377"/>
      <c r="F83" s="377"/>
      <c r="G83" s="377"/>
      <c r="H83" s="377"/>
    </row>
    <row r="84" spans="1:14" x14ac:dyDescent="0.2">
      <c r="B84" s="378">
        <v>58</v>
      </c>
      <c r="C84" s="377"/>
      <c r="D84" s="377"/>
      <c r="E84" s="377"/>
      <c r="F84" s="377"/>
      <c r="G84" s="377"/>
      <c r="H84" s="377"/>
    </row>
    <row r="85" spans="1:14" x14ac:dyDescent="0.2">
      <c r="B85" s="378">
        <v>59</v>
      </c>
      <c r="C85" s="377"/>
      <c r="D85" s="377"/>
      <c r="E85" s="377"/>
      <c r="F85" s="377"/>
      <c r="G85" s="377"/>
      <c r="H85" s="377"/>
    </row>
    <row r="86" spans="1:14" ht="13.5" thickBot="1" x14ac:dyDescent="0.25">
      <c r="B86" s="379">
        <v>60</v>
      </c>
      <c r="C86" s="377"/>
      <c r="D86" s="377"/>
      <c r="E86" s="377"/>
      <c r="F86" s="377"/>
      <c r="G86" s="377"/>
      <c r="H86" s="377"/>
    </row>
    <row r="88" spans="1:14" x14ac:dyDescent="0.2">
      <c r="C88" s="1" t="s">
        <v>264</v>
      </c>
      <c r="G88" s="122">
        <v>0.02</v>
      </c>
      <c r="H88" t="s">
        <v>531</v>
      </c>
      <c r="L88">
        <v>1</v>
      </c>
      <c r="M88">
        <v>31</v>
      </c>
      <c r="N88">
        <f>M88</f>
        <v>31</v>
      </c>
    </row>
    <row r="89" spans="1:14" x14ac:dyDescent="0.2">
      <c r="A89" s="29" t="s">
        <v>299</v>
      </c>
      <c r="B89" s="1" t="s">
        <v>274</v>
      </c>
      <c r="C89" s="1" t="s">
        <v>277</v>
      </c>
      <c r="G89" s="122">
        <f>cpi+H89</f>
        <v>0.01</v>
      </c>
      <c r="H89" s="82">
        <f>IF(DoR&lt;DATE(2020,4,1),-1%,0%)</f>
        <v>-0.01</v>
      </c>
      <c r="L89">
        <v>2</v>
      </c>
      <c r="M89">
        <v>28</v>
      </c>
      <c r="N89">
        <f>M89+N88</f>
        <v>59</v>
      </c>
    </row>
    <row r="90" spans="1:14" x14ac:dyDescent="0.2">
      <c r="A90" s="29" t="s">
        <v>299</v>
      </c>
      <c r="B90" s="1" t="s">
        <v>275</v>
      </c>
      <c r="C90" s="1" t="s">
        <v>278</v>
      </c>
      <c r="G90" s="122">
        <f>cpi+1%</f>
        <v>0.03</v>
      </c>
      <c r="L90">
        <v>3</v>
      </c>
      <c r="M90">
        <v>31</v>
      </c>
      <c r="N90">
        <f t="shared" ref="N90:N99" si="0">M90+N89</f>
        <v>90</v>
      </c>
    </row>
    <row r="91" spans="1:14" x14ac:dyDescent="0.2">
      <c r="A91" s="29" t="s">
        <v>299</v>
      </c>
      <c r="B91" s="1" t="s">
        <v>276</v>
      </c>
      <c r="C91" s="1" t="s">
        <v>279</v>
      </c>
      <c r="G91" s="122">
        <f>cpi+2%</f>
        <v>0.04</v>
      </c>
      <c r="L91">
        <v>4</v>
      </c>
      <c r="M91">
        <v>30</v>
      </c>
      <c r="N91">
        <f t="shared" si="0"/>
        <v>120</v>
      </c>
    </row>
    <row r="92" spans="1:14" x14ac:dyDescent="0.2">
      <c r="C92" s="1" t="s">
        <v>706</v>
      </c>
      <c r="G92" s="121">
        <f>cpi+1.5%</f>
        <v>3.5000000000000003E-2</v>
      </c>
      <c r="H92" s="381" t="s">
        <v>541</v>
      </c>
      <c r="L92">
        <v>5</v>
      </c>
      <c r="M92">
        <v>31</v>
      </c>
      <c r="N92">
        <f t="shared" si="0"/>
        <v>151</v>
      </c>
    </row>
    <row r="93" spans="1:14" x14ac:dyDescent="0.2">
      <c r="C93" s="1"/>
      <c r="G93" s="121"/>
      <c r="L93">
        <v>6</v>
      </c>
      <c r="M93">
        <v>30</v>
      </c>
      <c r="N93">
        <f t="shared" si="0"/>
        <v>181</v>
      </c>
    </row>
    <row r="94" spans="1:14" x14ac:dyDescent="0.2">
      <c r="C94" s="1" t="s">
        <v>143</v>
      </c>
      <c r="G94" s="530"/>
      <c r="H94" s="83" t="s">
        <v>669</v>
      </c>
      <c r="L94">
        <v>7</v>
      </c>
      <c r="M94">
        <v>31</v>
      </c>
      <c r="N94">
        <f t="shared" si="0"/>
        <v>212</v>
      </c>
    </row>
    <row r="95" spans="1:14" x14ac:dyDescent="0.2">
      <c r="L95">
        <v>8</v>
      </c>
      <c r="M95">
        <v>31</v>
      </c>
      <c r="N95">
        <f t="shared" si="0"/>
        <v>243</v>
      </c>
    </row>
    <row r="96" spans="1:14" x14ac:dyDescent="0.2">
      <c r="C96" s="29"/>
      <c r="D96" s="29"/>
      <c r="E96" s="29"/>
      <c r="L96">
        <v>9</v>
      </c>
      <c r="M96">
        <v>30</v>
      </c>
      <c r="N96">
        <f t="shared" si="0"/>
        <v>273</v>
      </c>
    </row>
    <row r="97" spans="2:14" x14ac:dyDescent="0.2">
      <c r="B97" s="29" t="s">
        <v>245</v>
      </c>
      <c r="D97" s="183">
        <f ca="1">TODAY()</f>
        <v>44243</v>
      </c>
      <c r="F97" s="47"/>
      <c r="G97" s="48"/>
      <c r="L97">
        <v>10</v>
      </c>
      <c r="M97">
        <v>31</v>
      </c>
      <c r="N97">
        <f t="shared" si="0"/>
        <v>304</v>
      </c>
    </row>
    <row r="98" spans="2:14" x14ac:dyDescent="0.2">
      <c r="B98" s="63">
        <f ca="1">DATE(YEAR(Date_curr)-1,4,1)</f>
        <v>43922</v>
      </c>
      <c r="C98" s="54">
        <f ca="1">DATE(YEAR(Date_curr),4,1)</f>
        <v>44287</v>
      </c>
      <c r="D98" s="54">
        <f ca="1">DATE(YEAR(Date_curr)+1,4,1)</f>
        <v>44652</v>
      </c>
      <c r="E98" s="54"/>
      <c r="F98" s="48"/>
      <c r="G98" s="58"/>
      <c r="L98">
        <v>11</v>
      </c>
      <c r="M98">
        <v>30</v>
      </c>
      <c r="N98">
        <f t="shared" si="0"/>
        <v>334</v>
      </c>
    </row>
    <row r="99" spans="2:14" x14ac:dyDescent="0.2">
      <c r="B99" s="48" t="s">
        <v>333</v>
      </c>
      <c r="D99" s="183">
        <f ca="1">IF(Parameters!B129=TRUE,DATE(ABSEndDate1,4,1),IF(PT_Status="some Part-time",DATE(ABSEndDate,4,1),IF(AND(Date_curr&lt;C98,Date_curr&gt;=B98),B98,IF(AND(Date_curr&lt;D98,Date_curr&gt;=C98),C98,D98))))</f>
        <v>43922</v>
      </c>
      <c r="E99" s="182"/>
      <c r="L99">
        <v>12</v>
      </c>
      <c r="M99">
        <v>31</v>
      </c>
      <c r="N99">
        <f t="shared" si="0"/>
        <v>365</v>
      </c>
    </row>
    <row r="100" spans="2:14" x14ac:dyDescent="0.2">
      <c r="D100" s="8"/>
    </row>
    <row r="101" spans="2:14" x14ac:dyDescent="0.2">
      <c r="K101" s="8"/>
    </row>
    <row r="102" spans="2:14" x14ac:dyDescent="0.2">
      <c r="B102" s="1" t="s">
        <v>649</v>
      </c>
      <c r="K102" s="8"/>
    </row>
    <row r="103" spans="2:14" x14ac:dyDescent="0.2">
      <c r="B103" s="29" t="s">
        <v>650</v>
      </c>
      <c r="H103" s="48"/>
      <c r="I103" s="48"/>
      <c r="J103" s="48"/>
      <c r="K103" s="203"/>
      <c r="L103" s="202"/>
    </row>
    <row r="104" spans="2:14" x14ac:dyDescent="0.2">
      <c r="B104" s="29" t="s">
        <v>651</v>
      </c>
      <c r="H104" s="87"/>
      <c r="I104" s="87"/>
      <c r="J104" s="87"/>
      <c r="K104" s="87"/>
      <c r="L104" s="87"/>
    </row>
    <row r="106" spans="2:14" x14ac:dyDescent="0.2">
      <c r="B106" s="382" t="s">
        <v>363</v>
      </c>
      <c r="C106" s="383"/>
    </row>
    <row r="107" spans="2:14" x14ac:dyDescent="0.2">
      <c r="B107" s="384" t="s">
        <v>550</v>
      </c>
      <c r="C107" s="385" t="s">
        <v>551</v>
      </c>
    </row>
    <row r="108" spans="2:14" x14ac:dyDescent="0.2">
      <c r="B108" s="384" t="s">
        <v>549</v>
      </c>
      <c r="C108" s="385" t="s">
        <v>552</v>
      </c>
      <c r="F108" s="445" t="s">
        <v>601</v>
      </c>
      <c r="G108" s="432"/>
      <c r="H108" s="432"/>
    </row>
    <row r="109" spans="2:14" x14ac:dyDescent="0.2">
      <c r="B109" s="384" t="s">
        <v>362</v>
      </c>
      <c r="C109" s="385" t="s">
        <v>61</v>
      </c>
      <c r="F109" s="432"/>
      <c r="G109" s="432"/>
      <c r="H109" s="432"/>
    </row>
    <row r="110" spans="2:14" x14ac:dyDescent="0.2">
      <c r="B110" s="48"/>
      <c r="F110" s="433" t="s">
        <v>606</v>
      </c>
      <c r="G110" s="432"/>
      <c r="H110" s="432"/>
    </row>
    <row r="111" spans="2:14" x14ac:dyDescent="0.2">
      <c r="B111" s="1" t="s">
        <v>81</v>
      </c>
      <c r="F111" s="435" t="s">
        <v>256</v>
      </c>
      <c r="G111" s="435" t="s">
        <v>379</v>
      </c>
      <c r="H111" s="435" t="s">
        <v>380</v>
      </c>
    </row>
    <row r="112" spans="2:14" x14ac:dyDescent="0.2">
      <c r="B112" s="48" t="e">
        <f>INDEX(Parameters!$C$107:$C$109,MATCH(Calculator!I31,Parameters!$B$107:$B$109,0),1)</f>
        <v>#N/A</v>
      </c>
      <c r="F112" s="438">
        <f>IFERROR(DATEDIF(SPA_date,DoR,"y"),0)</f>
        <v>0</v>
      </c>
      <c r="G112" s="438">
        <f>IFERROR(DATEDIF(F114,DoR,"m"),0)</f>
        <v>0</v>
      </c>
      <c r="H112" s="438">
        <f>IFERROR(DATEDIF(G114,DoR,"d"),0)</f>
        <v>0</v>
      </c>
    </row>
    <row r="113" spans="2:9" x14ac:dyDescent="0.2">
      <c r="B113" s="48"/>
      <c r="F113" s="435" t="s">
        <v>609</v>
      </c>
      <c r="G113" s="435" t="s">
        <v>610</v>
      </c>
      <c r="H113" s="435" t="s">
        <v>611</v>
      </c>
    </row>
    <row r="114" spans="2:9" x14ac:dyDescent="0.2">
      <c r="B114" s="199" t="s">
        <v>366</v>
      </c>
      <c r="F114" s="441" t="e">
        <f>DATE(YEAR(SPA_date)+F112,MONTH(SPA_date),DAY(SPA_date))</f>
        <v>#N/A</v>
      </c>
      <c r="G114" s="441" t="e">
        <f>DATE(YEAR(F114),MONTH(F114)+G112,DAY(F114))</f>
        <v>#N/A</v>
      </c>
      <c r="H114" s="441" t="e">
        <f>DATE(YEAR(G114),MONTH(G114),DAY(G114)+H112)</f>
        <v>#N/A</v>
      </c>
      <c r="I114" s="443" t="e">
        <f>IF(DoR&gt;SPA_date,H114=DoR,H114=SPA_date)</f>
        <v>#N/A</v>
      </c>
    </row>
    <row r="115" spans="2:9" x14ac:dyDescent="0.2">
      <c r="B115" s="54">
        <f>DoR</f>
        <v>0</v>
      </c>
      <c r="F115" s="442" t="s">
        <v>607</v>
      </c>
      <c r="G115" s="432"/>
      <c r="H115" s="432"/>
    </row>
    <row r="116" spans="2:9" x14ac:dyDescent="0.2">
      <c r="B116" s="54" t="s">
        <v>256</v>
      </c>
      <c r="C116" s="29" t="s">
        <v>379</v>
      </c>
      <c r="D116" s="29" t="s">
        <v>380</v>
      </c>
      <c r="F116" s="434" t="s">
        <v>256</v>
      </c>
      <c r="G116" s="435" t="s">
        <v>379</v>
      </c>
      <c r="H116" s="435" t="s">
        <v>380</v>
      </c>
    </row>
    <row r="117" spans="2:9" x14ac:dyDescent="0.2">
      <c r="B117">
        <f>DATEDIF(DoB,DoR,"y")</f>
        <v>0</v>
      </c>
      <c r="C117">
        <f>(DATEDIF(DoB,DoR,"m")/12-B117)*12</f>
        <v>0</v>
      </c>
      <c r="D117" s="192">
        <f>DoR-DATE(YEAR(DoB)+RA_Year,MONTH(DoB),DAY(DoB))</f>
        <v>0</v>
      </c>
      <c r="F117" s="436">
        <f>F112</f>
        <v>0</v>
      </c>
      <c r="G117" s="436">
        <f>G112</f>
        <v>0</v>
      </c>
      <c r="H117" s="444" t="s">
        <v>612</v>
      </c>
    </row>
    <row r="118" spans="2:9" x14ac:dyDescent="0.2">
      <c r="B118" s="1" t="s">
        <v>367</v>
      </c>
      <c r="F118" s="439"/>
      <c r="G118" s="439"/>
      <c r="H118" s="440"/>
    </row>
    <row r="119" spans="2:9" x14ac:dyDescent="0.2">
      <c r="B119" s="58">
        <f>B117+D117/DoY</f>
        <v>0</v>
      </c>
      <c r="F119" s="432"/>
      <c r="G119" s="432"/>
      <c r="H119" s="432"/>
    </row>
    <row r="120" spans="2:9" x14ac:dyDescent="0.2">
      <c r="B120" s="1" t="s">
        <v>383</v>
      </c>
      <c r="C120" s="29"/>
      <c r="F120" s="445" t="s">
        <v>600</v>
      </c>
      <c r="G120" s="432"/>
      <c r="H120" s="432"/>
    </row>
    <row r="121" spans="2:9" x14ac:dyDescent="0.2">
      <c r="B121" s="63">
        <f>DATE(YEAR(DoB)+60,MONTH(DoB),DAY(DoB))</f>
        <v>21915</v>
      </c>
      <c r="E121" s="8"/>
      <c r="F121" s="431"/>
      <c r="G121" s="432"/>
      <c r="H121" s="432"/>
    </row>
    <row r="122" spans="2:9" x14ac:dyDescent="0.2">
      <c r="B122" s="437" t="s">
        <v>599</v>
      </c>
      <c r="F122" s="433" t="s">
        <v>605</v>
      </c>
      <c r="G122" s="432"/>
      <c r="H122" s="432"/>
    </row>
    <row r="123" spans="2:9" x14ac:dyDescent="0.2">
      <c r="B123" s="63" t="e">
        <f>SPA_date</f>
        <v>#N/A</v>
      </c>
      <c r="F123" s="435" t="s">
        <v>256</v>
      </c>
      <c r="G123" s="435" t="s">
        <v>379</v>
      </c>
      <c r="H123" s="435" t="s">
        <v>380</v>
      </c>
    </row>
    <row r="124" spans="2:9" x14ac:dyDescent="0.2">
      <c r="F124" s="438">
        <f>IFERROR(DATEDIF(DoR,SPA_date,"y"),0)</f>
        <v>0</v>
      </c>
      <c r="G124" s="438">
        <f>IFERROR(DATEDIF(F126,SPA_date,"m"),0)</f>
        <v>0</v>
      </c>
      <c r="H124" s="438">
        <f>IFERROR(DATEDIF(G126,SPA_date,"d"),0)</f>
        <v>0</v>
      </c>
    </row>
    <row r="125" spans="2:9" x14ac:dyDescent="0.2">
      <c r="B125" s="1" t="s">
        <v>409</v>
      </c>
      <c r="F125" s="435" t="s">
        <v>602</v>
      </c>
      <c r="G125" s="435" t="s">
        <v>603</v>
      </c>
      <c r="H125" s="435" t="s">
        <v>604</v>
      </c>
    </row>
    <row r="126" spans="2:9" x14ac:dyDescent="0.2">
      <c r="B126" s="183">
        <v>44651</v>
      </c>
      <c r="F126" s="441">
        <f>DATE(YEAR(DoR)+F124,MONTH(DoR),DAY(DoR))</f>
        <v>0</v>
      </c>
      <c r="G126" s="441">
        <f>DATE(YEAR(F126),MONTH(F126)+G124,DAY(F126))</f>
        <v>0</v>
      </c>
      <c r="H126" s="441">
        <f>DATE(YEAR(G126),MONTH(G126),DAY(G126)+H124)</f>
        <v>0</v>
      </c>
      <c r="I126" s="443" t="e">
        <f>IF(DoR&lt;SPA_date,H126=SPA_date,H126=DoR)</f>
        <v>#N/A</v>
      </c>
    </row>
    <row r="127" spans="2:9" x14ac:dyDescent="0.2">
      <c r="F127" s="442" t="s">
        <v>608</v>
      </c>
      <c r="G127" s="432"/>
      <c r="H127" s="432"/>
    </row>
    <row r="128" spans="2:9" x14ac:dyDescent="0.2">
      <c r="B128" s="1" t="s">
        <v>424</v>
      </c>
      <c r="F128" s="434" t="s">
        <v>256</v>
      </c>
      <c r="G128" s="435" t="s">
        <v>379</v>
      </c>
      <c r="H128" s="435" t="s">
        <v>380</v>
      </c>
    </row>
    <row r="129" spans="2:8" x14ac:dyDescent="0.2">
      <c r="B129" s="1" t="b">
        <v>0</v>
      </c>
      <c r="F129" s="436">
        <f>IF(AND(H124&gt;0,G124=11),F124+1,F124)</f>
        <v>0</v>
      </c>
      <c r="G129" s="436">
        <f>IF(H124&gt;0,IF(G124=11,0,G124+1),G124)</f>
        <v>0</v>
      </c>
      <c r="H129" s="435" t="s">
        <v>612</v>
      </c>
    </row>
    <row r="132" spans="2:8" x14ac:dyDescent="0.2">
      <c r="B132" s="1" t="s">
        <v>434</v>
      </c>
    </row>
    <row r="133" spans="2:8" x14ac:dyDescent="0.2">
      <c r="B133" s="29" t="b">
        <f>AND(DoB&lt;&gt;"",DJS&lt;&gt;"",Scheme_Full&lt;&gt;"",CurrentSal&lt;&gt;"",DoR&lt;&gt;"")</f>
        <v>0</v>
      </c>
    </row>
    <row r="135" spans="2:8" x14ac:dyDescent="0.2">
      <c r="B135" s="1" t="s">
        <v>482</v>
      </c>
    </row>
    <row r="136" spans="2:8" x14ac:dyDescent="0.2">
      <c r="B136" s="29">
        <v>2016</v>
      </c>
    </row>
    <row r="137" spans="2:8" x14ac:dyDescent="0.2">
      <c r="B137" s="29">
        <v>2017</v>
      </c>
      <c r="G137" s="8"/>
    </row>
    <row r="138" spans="2:8" x14ac:dyDescent="0.2">
      <c r="B138" s="29">
        <v>2018</v>
      </c>
    </row>
    <row r="139" spans="2:8" x14ac:dyDescent="0.2">
      <c r="B139" s="29">
        <v>2019</v>
      </c>
    </row>
    <row r="140" spans="2:8" x14ac:dyDescent="0.2">
      <c r="B140" s="29">
        <v>2020</v>
      </c>
    </row>
    <row r="141" spans="2:8" x14ac:dyDescent="0.2">
      <c r="B141" s="29">
        <v>2021</v>
      </c>
    </row>
    <row r="142" spans="2:8" x14ac:dyDescent="0.2">
      <c r="B142" s="29">
        <v>2022</v>
      </c>
    </row>
    <row r="143" spans="2:8" x14ac:dyDescent="0.2">
      <c r="B143" s="29">
        <v>2023</v>
      </c>
    </row>
    <row r="144" spans="2:8" x14ac:dyDescent="0.2">
      <c r="B144" s="29">
        <v>2024</v>
      </c>
    </row>
    <row r="145" spans="2:2" x14ac:dyDescent="0.2">
      <c r="B145" s="29">
        <v>2025</v>
      </c>
    </row>
  </sheetData>
  <mergeCells count="2">
    <mergeCell ref="D25:E25"/>
    <mergeCell ref="C41:H41"/>
  </mergeCells>
  <phoneticPr fontId="30" type="noConversion"/>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M60"/>
  <sheetViews>
    <sheetView topLeftCell="A3" zoomScale="130" zoomScaleNormal="130" workbookViewId="0">
      <selection activeCell="B133" sqref="B133"/>
    </sheetView>
  </sheetViews>
  <sheetFormatPr defaultRowHeight="12.75" x14ac:dyDescent="0.2"/>
  <cols>
    <col min="2" max="3" width="10.140625" bestFit="1" customWidth="1"/>
    <col min="4" max="4" width="10.85546875" customWidth="1"/>
    <col min="6" max="6" width="9.140625" customWidth="1"/>
    <col min="8" max="8" width="10.42578125" customWidth="1"/>
    <col min="9" max="9" width="14.140625" customWidth="1"/>
    <col min="11" max="11" width="11.140625" customWidth="1"/>
    <col min="12" max="12" width="10.140625" customWidth="1"/>
    <col min="13" max="14" width="10.140625" bestFit="1" customWidth="1"/>
    <col min="17" max="17" width="10.140625" bestFit="1" customWidth="1"/>
    <col min="18" max="18" width="10" bestFit="1" customWidth="1"/>
    <col min="20" max="20" width="11.140625" bestFit="1" customWidth="1"/>
    <col min="22" max="22" width="10.140625" customWidth="1"/>
    <col min="23" max="23" width="10.140625" bestFit="1" customWidth="1"/>
    <col min="29" max="29" width="11.140625" bestFit="1" customWidth="1"/>
  </cols>
  <sheetData>
    <row r="1" spans="1:12" ht="20.25" x14ac:dyDescent="0.3">
      <c r="A1" s="13" t="s">
        <v>19</v>
      </c>
      <c r="B1" s="12"/>
      <c r="C1" s="12"/>
      <c r="D1" s="12"/>
      <c r="E1" s="12"/>
      <c r="F1" s="12"/>
      <c r="G1" s="12"/>
      <c r="H1" s="12"/>
      <c r="I1" s="12"/>
    </row>
    <row r="2" spans="1:12" ht="15.75" x14ac:dyDescent="0.25">
      <c r="A2" s="27" t="str">
        <f>IF(title="&gt; Enter workbook title here","Enter workbook title in Cover sheet",title)</f>
        <v>Scottish Fire pension  projection calculator</v>
      </c>
      <c r="B2" s="11"/>
      <c r="C2" s="11"/>
      <c r="D2" s="11"/>
      <c r="E2" s="11"/>
      <c r="F2" s="11"/>
      <c r="G2" s="11"/>
      <c r="H2" s="11"/>
      <c r="I2" s="11"/>
    </row>
    <row r="3" spans="1:12" ht="15.75" x14ac:dyDescent="0.25">
      <c r="A3" s="75" t="s">
        <v>78</v>
      </c>
      <c r="B3" s="11"/>
      <c r="C3" s="11"/>
      <c r="D3" s="11"/>
      <c r="E3" s="11"/>
      <c r="F3" s="11"/>
      <c r="G3" s="11"/>
      <c r="H3" s="11"/>
      <c r="I3" s="11"/>
    </row>
    <row r="4" spans="1:12" x14ac:dyDescent="0.2">
      <c r="A4" s="7" t="str">
        <f ca="1">CELL("filename",A1)</f>
        <v>C:\Users\u205538\Downloads\[NHS_Pension_Calculator_v2.3 22 Dec 2020 (6).xlsx]Tapers</v>
      </c>
    </row>
    <row r="6" spans="1:12" x14ac:dyDescent="0.2">
      <c r="B6" s="1" t="s">
        <v>67</v>
      </c>
      <c r="C6" s="35" t="s">
        <v>619</v>
      </c>
      <c r="D6" s="29"/>
    </row>
    <row r="7" spans="1:12" x14ac:dyDescent="0.2">
      <c r="B7" s="29" t="s">
        <v>620</v>
      </c>
      <c r="C7" s="29"/>
      <c r="F7" s="29" t="s">
        <v>621</v>
      </c>
      <c r="J7" s="29" t="s">
        <v>652</v>
      </c>
    </row>
    <row r="8" spans="1:12" x14ac:dyDescent="0.2">
      <c r="B8" s="357"/>
      <c r="C8" s="360"/>
      <c r="D8" s="280"/>
      <c r="E8" s="280"/>
      <c r="F8" s="357"/>
      <c r="G8" s="280"/>
      <c r="H8" s="280"/>
      <c r="I8" s="280"/>
      <c r="J8" s="357"/>
      <c r="K8" s="280"/>
      <c r="L8" s="280"/>
    </row>
    <row r="9" spans="1:12" x14ac:dyDescent="0.2">
      <c r="B9" s="279" t="s">
        <v>484</v>
      </c>
      <c r="F9" s="279" t="s">
        <v>485</v>
      </c>
      <c r="J9" s="279" t="s">
        <v>485</v>
      </c>
    </row>
    <row r="10" spans="1:12" ht="13.5" thickBot="1" x14ac:dyDescent="0.25">
      <c r="B10" s="279" t="s">
        <v>550</v>
      </c>
      <c r="F10" s="279" t="s">
        <v>549</v>
      </c>
      <c r="J10" s="279" t="s">
        <v>695</v>
      </c>
    </row>
    <row r="11" spans="1:12" ht="39" thickBot="1" x14ac:dyDescent="0.25">
      <c r="B11" s="743" t="s">
        <v>62</v>
      </c>
      <c r="C11" s="744"/>
      <c r="D11" s="275" t="s">
        <v>63</v>
      </c>
      <c r="F11" s="743" t="s">
        <v>62</v>
      </c>
      <c r="G11" s="744"/>
      <c r="H11" s="282" t="s">
        <v>63</v>
      </c>
      <c r="J11" s="743" t="s">
        <v>62</v>
      </c>
      <c r="K11" s="744"/>
      <c r="L11" s="282" t="s">
        <v>63</v>
      </c>
    </row>
    <row r="12" spans="1:12" ht="13.5" thickBot="1" x14ac:dyDescent="0.25">
      <c r="B12" s="276" t="s">
        <v>64</v>
      </c>
      <c r="C12" s="273" t="s">
        <v>65</v>
      </c>
      <c r="D12" s="277"/>
      <c r="F12" s="283" t="s">
        <v>64</v>
      </c>
      <c r="G12" s="281" t="s">
        <v>65</v>
      </c>
      <c r="H12" s="284"/>
      <c r="J12" s="283" t="s">
        <v>64</v>
      </c>
      <c r="K12" s="281" t="s">
        <v>65</v>
      </c>
      <c r="L12" s="284"/>
    </row>
    <row r="13" spans="1:12" ht="13.5" thickBot="1" x14ac:dyDescent="0.25">
      <c r="B13" s="447">
        <v>22738</v>
      </c>
      <c r="C13" s="274">
        <f>B14-1</f>
        <v>22767</v>
      </c>
      <c r="D13" s="448">
        <v>44593</v>
      </c>
      <c r="F13" s="447">
        <v>20912</v>
      </c>
      <c r="G13" s="274">
        <f>F14-1</f>
        <v>20941</v>
      </c>
      <c r="H13" s="448">
        <v>44593</v>
      </c>
      <c r="J13" s="447">
        <v>24564</v>
      </c>
      <c r="K13" s="274">
        <f>J14-1</f>
        <v>24593</v>
      </c>
      <c r="L13" s="448">
        <v>44593</v>
      </c>
    </row>
    <row r="14" spans="1:12" ht="13.5" thickBot="1" x14ac:dyDescent="0.25">
      <c r="B14" s="449">
        <f>DATE(YEAR(B13),MONTH(B13)+1,DAY(B13))</f>
        <v>22768</v>
      </c>
      <c r="C14" s="450">
        <f t="shared" ref="C14:C52" si="0">B15-1</f>
        <v>22798</v>
      </c>
      <c r="D14" s="451">
        <f>EOMONTH(D13,-3)+1</f>
        <v>44531</v>
      </c>
      <c r="F14" s="449">
        <f>DATE(YEAR(F13),MONTH(F13)+1,DAY(F13))</f>
        <v>20942</v>
      </c>
      <c r="G14" s="450">
        <f t="shared" ref="G14:G52" si="1">F15-1</f>
        <v>20972</v>
      </c>
      <c r="H14" s="451">
        <f>EOMONTH(H13,-3)+1</f>
        <v>44531</v>
      </c>
      <c r="J14" s="449">
        <f>DATE(YEAR(J13),MONTH(J13)+1,DAY(J13))</f>
        <v>24594</v>
      </c>
      <c r="K14" s="450">
        <f t="shared" ref="K14:K52" si="2">J15-1</f>
        <v>24624</v>
      </c>
      <c r="L14" s="451">
        <f>EOMONTH(L13,-3)+1</f>
        <v>44531</v>
      </c>
    </row>
    <row r="15" spans="1:12" ht="13.5" thickBot="1" x14ac:dyDescent="0.25">
      <c r="B15" s="449">
        <f t="shared" ref="B15:B53" si="3">DATE(YEAR(B14),MONTH(B14)+1,DAY(B14))</f>
        <v>22799</v>
      </c>
      <c r="C15" s="452">
        <f t="shared" si="0"/>
        <v>22828</v>
      </c>
      <c r="D15" s="451">
        <f t="shared" ref="D15:D53" si="4">EOMONTH(D14,-3)+1</f>
        <v>44470</v>
      </c>
      <c r="F15" s="449">
        <f t="shared" ref="F15:F53" si="5">DATE(YEAR(F14),MONTH(F14)+1,DAY(F14))</f>
        <v>20973</v>
      </c>
      <c r="G15" s="452">
        <f t="shared" si="1"/>
        <v>21002</v>
      </c>
      <c r="H15" s="451">
        <f t="shared" ref="H15:H53" si="6">EOMONTH(H14,-3)+1</f>
        <v>44470</v>
      </c>
      <c r="J15" s="449">
        <f t="shared" ref="J15:J53" si="7">DATE(YEAR(J14),MONTH(J14)+1,DAY(J14))</f>
        <v>24625</v>
      </c>
      <c r="K15" s="452">
        <f t="shared" si="2"/>
        <v>24654</v>
      </c>
      <c r="L15" s="451">
        <f t="shared" ref="L15:L53" si="8">EOMONTH(L14,-3)+1</f>
        <v>44470</v>
      </c>
    </row>
    <row r="16" spans="1:12" ht="13.5" thickBot="1" x14ac:dyDescent="0.25">
      <c r="B16" s="449">
        <f t="shared" si="3"/>
        <v>22829</v>
      </c>
      <c r="C16" s="453">
        <f t="shared" si="0"/>
        <v>22859</v>
      </c>
      <c r="D16" s="451">
        <f t="shared" si="4"/>
        <v>44409</v>
      </c>
      <c r="F16" s="449">
        <f t="shared" si="5"/>
        <v>21003</v>
      </c>
      <c r="G16" s="453">
        <f t="shared" si="1"/>
        <v>21033</v>
      </c>
      <c r="H16" s="451">
        <f t="shared" si="6"/>
        <v>44409</v>
      </c>
      <c r="J16" s="449">
        <f t="shared" si="7"/>
        <v>24655</v>
      </c>
      <c r="K16" s="453">
        <f t="shared" si="2"/>
        <v>24685</v>
      </c>
      <c r="L16" s="451">
        <f t="shared" si="8"/>
        <v>44409</v>
      </c>
    </row>
    <row r="17" spans="2:12" ht="13.5" thickBot="1" x14ac:dyDescent="0.25">
      <c r="B17" s="449">
        <f t="shared" si="3"/>
        <v>22860</v>
      </c>
      <c r="C17" s="453">
        <f t="shared" si="0"/>
        <v>22890</v>
      </c>
      <c r="D17" s="451">
        <f t="shared" si="4"/>
        <v>44348</v>
      </c>
      <c r="F17" s="449">
        <f t="shared" si="5"/>
        <v>21034</v>
      </c>
      <c r="G17" s="453">
        <f t="shared" si="1"/>
        <v>21064</v>
      </c>
      <c r="H17" s="451">
        <f t="shared" si="6"/>
        <v>44348</v>
      </c>
      <c r="J17" s="449">
        <f t="shared" si="7"/>
        <v>24686</v>
      </c>
      <c r="K17" s="453">
        <f t="shared" si="2"/>
        <v>24716</v>
      </c>
      <c r="L17" s="451">
        <f t="shared" si="8"/>
        <v>44348</v>
      </c>
    </row>
    <row r="18" spans="2:12" ht="13.5" thickBot="1" x14ac:dyDescent="0.25">
      <c r="B18" s="449">
        <f t="shared" si="3"/>
        <v>22891</v>
      </c>
      <c r="C18" s="453">
        <f t="shared" si="0"/>
        <v>22920</v>
      </c>
      <c r="D18" s="451">
        <f t="shared" si="4"/>
        <v>44287</v>
      </c>
      <c r="F18" s="449">
        <f t="shared" si="5"/>
        <v>21065</v>
      </c>
      <c r="G18" s="453">
        <f t="shared" si="1"/>
        <v>21094</v>
      </c>
      <c r="H18" s="451">
        <f t="shared" si="6"/>
        <v>44287</v>
      </c>
      <c r="J18" s="449">
        <f t="shared" si="7"/>
        <v>24717</v>
      </c>
      <c r="K18" s="453">
        <f t="shared" si="2"/>
        <v>24746</v>
      </c>
      <c r="L18" s="451">
        <f t="shared" si="8"/>
        <v>44287</v>
      </c>
    </row>
    <row r="19" spans="2:12" ht="13.5" thickBot="1" x14ac:dyDescent="0.25">
      <c r="B19" s="449">
        <f t="shared" si="3"/>
        <v>22921</v>
      </c>
      <c r="C19" s="453">
        <f t="shared" si="0"/>
        <v>22951</v>
      </c>
      <c r="D19" s="451">
        <f t="shared" si="4"/>
        <v>44228</v>
      </c>
      <c r="F19" s="449">
        <f t="shared" si="5"/>
        <v>21095</v>
      </c>
      <c r="G19" s="453">
        <f t="shared" si="1"/>
        <v>21125</v>
      </c>
      <c r="H19" s="451">
        <f t="shared" si="6"/>
        <v>44228</v>
      </c>
      <c r="J19" s="449">
        <f t="shared" si="7"/>
        <v>24747</v>
      </c>
      <c r="K19" s="453">
        <f t="shared" si="2"/>
        <v>24777</v>
      </c>
      <c r="L19" s="451">
        <f t="shared" si="8"/>
        <v>44228</v>
      </c>
    </row>
    <row r="20" spans="2:12" ht="13.5" thickBot="1" x14ac:dyDescent="0.25">
      <c r="B20" s="449">
        <f t="shared" si="3"/>
        <v>22952</v>
      </c>
      <c r="C20" s="453">
        <f t="shared" si="0"/>
        <v>22981</v>
      </c>
      <c r="D20" s="451">
        <f t="shared" si="4"/>
        <v>44166</v>
      </c>
      <c r="F20" s="449">
        <f t="shared" si="5"/>
        <v>21126</v>
      </c>
      <c r="G20" s="453">
        <f t="shared" si="1"/>
        <v>21155</v>
      </c>
      <c r="H20" s="451">
        <f t="shared" si="6"/>
        <v>44166</v>
      </c>
      <c r="J20" s="449">
        <f t="shared" si="7"/>
        <v>24778</v>
      </c>
      <c r="K20" s="453">
        <f t="shared" si="2"/>
        <v>24807</v>
      </c>
      <c r="L20" s="451">
        <f t="shared" si="8"/>
        <v>44166</v>
      </c>
    </row>
    <row r="21" spans="2:12" ht="13.5" thickBot="1" x14ac:dyDescent="0.25">
      <c r="B21" s="449">
        <f t="shared" si="3"/>
        <v>22982</v>
      </c>
      <c r="C21" s="453">
        <f t="shared" si="0"/>
        <v>23012</v>
      </c>
      <c r="D21" s="451">
        <f t="shared" si="4"/>
        <v>44105</v>
      </c>
      <c r="F21" s="449">
        <f t="shared" si="5"/>
        <v>21156</v>
      </c>
      <c r="G21" s="453">
        <f t="shared" si="1"/>
        <v>21186</v>
      </c>
      <c r="H21" s="451">
        <f t="shared" si="6"/>
        <v>44105</v>
      </c>
      <c r="J21" s="449">
        <f t="shared" si="7"/>
        <v>24808</v>
      </c>
      <c r="K21" s="453">
        <f t="shared" si="2"/>
        <v>24838</v>
      </c>
      <c r="L21" s="451">
        <f t="shared" si="8"/>
        <v>44105</v>
      </c>
    </row>
    <row r="22" spans="2:12" ht="13.5" thickBot="1" x14ac:dyDescent="0.25">
      <c r="B22" s="449">
        <f t="shared" si="3"/>
        <v>23013</v>
      </c>
      <c r="C22" s="453">
        <f t="shared" si="0"/>
        <v>23043</v>
      </c>
      <c r="D22" s="451">
        <f t="shared" si="4"/>
        <v>44044</v>
      </c>
      <c r="F22" s="449">
        <f t="shared" si="5"/>
        <v>21187</v>
      </c>
      <c r="G22" s="453">
        <f t="shared" si="1"/>
        <v>21217</v>
      </c>
      <c r="H22" s="451">
        <f t="shared" si="6"/>
        <v>44044</v>
      </c>
      <c r="J22" s="449">
        <f t="shared" si="7"/>
        <v>24839</v>
      </c>
      <c r="K22" s="453">
        <f t="shared" si="2"/>
        <v>24869</v>
      </c>
      <c r="L22" s="451">
        <f t="shared" si="8"/>
        <v>44044</v>
      </c>
    </row>
    <row r="23" spans="2:12" ht="13.5" thickBot="1" x14ac:dyDescent="0.25">
      <c r="B23" s="449">
        <f t="shared" si="3"/>
        <v>23044</v>
      </c>
      <c r="C23" s="453">
        <f t="shared" si="0"/>
        <v>23071</v>
      </c>
      <c r="D23" s="451">
        <f t="shared" si="4"/>
        <v>43983</v>
      </c>
      <c r="F23" s="449">
        <f t="shared" si="5"/>
        <v>21218</v>
      </c>
      <c r="G23" s="453">
        <f t="shared" si="1"/>
        <v>21245</v>
      </c>
      <c r="H23" s="451">
        <f t="shared" si="6"/>
        <v>43983</v>
      </c>
      <c r="J23" s="449">
        <f t="shared" si="7"/>
        <v>24870</v>
      </c>
      <c r="K23" s="453">
        <f t="shared" si="2"/>
        <v>24898</v>
      </c>
      <c r="L23" s="451">
        <f t="shared" si="8"/>
        <v>43983</v>
      </c>
    </row>
    <row r="24" spans="2:12" ht="13.5" thickBot="1" x14ac:dyDescent="0.25">
      <c r="B24" s="449">
        <f t="shared" si="3"/>
        <v>23072</v>
      </c>
      <c r="C24" s="453">
        <f t="shared" si="0"/>
        <v>23102</v>
      </c>
      <c r="D24" s="451">
        <f t="shared" si="4"/>
        <v>43922</v>
      </c>
      <c r="F24" s="449">
        <f t="shared" si="5"/>
        <v>21246</v>
      </c>
      <c r="G24" s="453">
        <f t="shared" si="1"/>
        <v>21276</v>
      </c>
      <c r="H24" s="451">
        <f t="shared" si="6"/>
        <v>43922</v>
      </c>
      <c r="J24" s="449">
        <f t="shared" si="7"/>
        <v>24899</v>
      </c>
      <c r="K24" s="453">
        <f t="shared" si="2"/>
        <v>24929</v>
      </c>
      <c r="L24" s="451">
        <f t="shared" si="8"/>
        <v>43922</v>
      </c>
    </row>
    <row r="25" spans="2:12" ht="13.5" thickBot="1" x14ac:dyDescent="0.25">
      <c r="B25" s="449">
        <f t="shared" si="3"/>
        <v>23103</v>
      </c>
      <c r="C25" s="453">
        <f t="shared" si="0"/>
        <v>23132</v>
      </c>
      <c r="D25" s="451">
        <f t="shared" si="4"/>
        <v>43862</v>
      </c>
      <c r="F25" s="449">
        <f t="shared" si="5"/>
        <v>21277</v>
      </c>
      <c r="G25" s="453">
        <f t="shared" si="1"/>
        <v>21306</v>
      </c>
      <c r="H25" s="451">
        <f t="shared" si="6"/>
        <v>43862</v>
      </c>
      <c r="J25" s="449">
        <f t="shared" si="7"/>
        <v>24930</v>
      </c>
      <c r="K25" s="453">
        <f t="shared" si="2"/>
        <v>24959</v>
      </c>
      <c r="L25" s="451">
        <f t="shared" si="8"/>
        <v>43862</v>
      </c>
    </row>
    <row r="26" spans="2:12" ht="13.5" thickBot="1" x14ac:dyDescent="0.25">
      <c r="B26" s="449">
        <f t="shared" si="3"/>
        <v>23133</v>
      </c>
      <c r="C26" s="453">
        <f t="shared" si="0"/>
        <v>23163</v>
      </c>
      <c r="D26" s="451">
        <f t="shared" si="4"/>
        <v>43800</v>
      </c>
      <c r="F26" s="449">
        <f t="shared" si="5"/>
        <v>21307</v>
      </c>
      <c r="G26" s="453">
        <f t="shared" si="1"/>
        <v>21337</v>
      </c>
      <c r="H26" s="451">
        <f t="shared" si="6"/>
        <v>43800</v>
      </c>
      <c r="J26" s="449">
        <f t="shared" si="7"/>
        <v>24960</v>
      </c>
      <c r="K26" s="453">
        <f t="shared" si="2"/>
        <v>24990</v>
      </c>
      <c r="L26" s="451">
        <f t="shared" si="8"/>
        <v>43800</v>
      </c>
    </row>
    <row r="27" spans="2:12" ht="13.5" thickBot="1" x14ac:dyDescent="0.25">
      <c r="B27" s="449">
        <f t="shared" si="3"/>
        <v>23164</v>
      </c>
      <c r="C27" s="453">
        <f t="shared" si="0"/>
        <v>23193</v>
      </c>
      <c r="D27" s="451">
        <f t="shared" si="4"/>
        <v>43739</v>
      </c>
      <c r="F27" s="449">
        <f t="shared" si="5"/>
        <v>21338</v>
      </c>
      <c r="G27" s="453">
        <f t="shared" si="1"/>
        <v>21367</v>
      </c>
      <c r="H27" s="451">
        <f t="shared" si="6"/>
        <v>43739</v>
      </c>
      <c r="J27" s="449">
        <f t="shared" si="7"/>
        <v>24991</v>
      </c>
      <c r="K27" s="453">
        <f t="shared" si="2"/>
        <v>25020</v>
      </c>
      <c r="L27" s="451">
        <f t="shared" si="8"/>
        <v>43739</v>
      </c>
    </row>
    <row r="28" spans="2:12" ht="13.5" thickBot="1" x14ac:dyDescent="0.25">
      <c r="B28" s="449">
        <f t="shared" si="3"/>
        <v>23194</v>
      </c>
      <c r="C28" s="453">
        <f t="shared" si="0"/>
        <v>23224</v>
      </c>
      <c r="D28" s="451">
        <f t="shared" si="4"/>
        <v>43678</v>
      </c>
      <c r="F28" s="449">
        <f t="shared" si="5"/>
        <v>21368</v>
      </c>
      <c r="G28" s="453">
        <f t="shared" si="1"/>
        <v>21398</v>
      </c>
      <c r="H28" s="451">
        <f t="shared" si="6"/>
        <v>43678</v>
      </c>
      <c r="J28" s="449">
        <f t="shared" si="7"/>
        <v>25021</v>
      </c>
      <c r="K28" s="453">
        <f t="shared" si="2"/>
        <v>25051</v>
      </c>
      <c r="L28" s="451">
        <f t="shared" si="8"/>
        <v>43678</v>
      </c>
    </row>
    <row r="29" spans="2:12" ht="13.5" thickBot="1" x14ac:dyDescent="0.25">
      <c r="B29" s="449">
        <f t="shared" si="3"/>
        <v>23225</v>
      </c>
      <c r="C29" s="453">
        <f t="shared" si="0"/>
        <v>23255</v>
      </c>
      <c r="D29" s="451">
        <f t="shared" si="4"/>
        <v>43617</v>
      </c>
      <c r="F29" s="449">
        <f t="shared" si="5"/>
        <v>21399</v>
      </c>
      <c r="G29" s="453">
        <f t="shared" si="1"/>
        <v>21429</v>
      </c>
      <c r="H29" s="451">
        <f t="shared" si="6"/>
        <v>43617</v>
      </c>
      <c r="J29" s="449">
        <f t="shared" si="7"/>
        <v>25052</v>
      </c>
      <c r="K29" s="453">
        <f t="shared" si="2"/>
        <v>25082</v>
      </c>
      <c r="L29" s="451">
        <f t="shared" si="8"/>
        <v>43617</v>
      </c>
    </row>
    <row r="30" spans="2:12" ht="13.5" thickBot="1" x14ac:dyDescent="0.25">
      <c r="B30" s="449">
        <f t="shared" si="3"/>
        <v>23256</v>
      </c>
      <c r="C30" s="453">
        <f t="shared" si="0"/>
        <v>23285</v>
      </c>
      <c r="D30" s="451">
        <f t="shared" si="4"/>
        <v>43556</v>
      </c>
      <c r="F30" s="449">
        <f t="shared" si="5"/>
        <v>21430</v>
      </c>
      <c r="G30" s="453">
        <f t="shared" si="1"/>
        <v>21459</v>
      </c>
      <c r="H30" s="451">
        <f t="shared" si="6"/>
        <v>43556</v>
      </c>
      <c r="J30" s="449">
        <f t="shared" si="7"/>
        <v>25083</v>
      </c>
      <c r="K30" s="453">
        <f t="shared" si="2"/>
        <v>25112</v>
      </c>
      <c r="L30" s="451">
        <f t="shared" si="8"/>
        <v>43556</v>
      </c>
    </row>
    <row r="31" spans="2:12" ht="13.5" thickBot="1" x14ac:dyDescent="0.25">
      <c r="B31" s="449">
        <f t="shared" si="3"/>
        <v>23286</v>
      </c>
      <c r="C31" s="453">
        <f t="shared" si="0"/>
        <v>23316</v>
      </c>
      <c r="D31" s="451">
        <f t="shared" si="4"/>
        <v>43497</v>
      </c>
      <c r="F31" s="449">
        <f t="shared" si="5"/>
        <v>21460</v>
      </c>
      <c r="G31" s="453">
        <f t="shared" si="1"/>
        <v>21490</v>
      </c>
      <c r="H31" s="451">
        <f t="shared" si="6"/>
        <v>43497</v>
      </c>
      <c r="J31" s="449">
        <f t="shared" si="7"/>
        <v>25113</v>
      </c>
      <c r="K31" s="453">
        <f t="shared" si="2"/>
        <v>25143</v>
      </c>
      <c r="L31" s="451">
        <f t="shared" si="8"/>
        <v>43497</v>
      </c>
    </row>
    <row r="32" spans="2:12" ht="13.5" thickBot="1" x14ac:dyDescent="0.25">
      <c r="B32" s="449">
        <f t="shared" si="3"/>
        <v>23317</v>
      </c>
      <c r="C32" s="453">
        <f t="shared" si="0"/>
        <v>23346</v>
      </c>
      <c r="D32" s="451">
        <f t="shared" si="4"/>
        <v>43435</v>
      </c>
      <c r="F32" s="449">
        <f t="shared" si="5"/>
        <v>21491</v>
      </c>
      <c r="G32" s="453">
        <f t="shared" si="1"/>
        <v>21520</v>
      </c>
      <c r="H32" s="451">
        <f t="shared" si="6"/>
        <v>43435</v>
      </c>
      <c r="J32" s="449">
        <f t="shared" si="7"/>
        <v>25144</v>
      </c>
      <c r="K32" s="453">
        <f t="shared" si="2"/>
        <v>25173</v>
      </c>
      <c r="L32" s="451">
        <f t="shared" si="8"/>
        <v>43435</v>
      </c>
    </row>
    <row r="33" spans="2:12" ht="13.5" thickBot="1" x14ac:dyDescent="0.25">
      <c r="B33" s="449">
        <f t="shared" si="3"/>
        <v>23347</v>
      </c>
      <c r="C33" s="453">
        <f t="shared" si="0"/>
        <v>23377</v>
      </c>
      <c r="D33" s="451">
        <f t="shared" si="4"/>
        <v>43374</v>
      </c>
      <c r="F33" s="449">
        <f t="shared" si="5"/>
        <v>21521</v>
      </c>
      <c r="G33" s="453">
        <f t="shared" si="1"/>
        <v>21551</v>
      </c>
      <c r="H33" s="451">
        <f t="shared" si="6"/>
        <v>43374</v>
      </c>
      <c r="J33" s="449">
        <f t="shared" si="7"/>
        <v>25174</v>
      </c>
      <c r="K33" s="453">
        <f t="shared" si="2"/>
        <v>25204</v>
      </c>
      <c r="L33" s="451">
        <f t="shared" si="8"/>
        <v>43374</v>
      </c>
    </row>
    <row r="34" spans="2:12" ht="13.5" thickBot="1" x14ac:dyDescent="0.25">
      <c r="B34" s="449">
        <f t="shared" si="3"/>
        <v>23378</v>
      </c>
      <c r="C34" s="453">
        <f t="shared" si="0"/>
        <v>23408</v>
      </c>
      <c r="D34" s="451">
        <f t="shared" si="4"/>
        <v>43313</v>
      </c>
      <c r="F34" s="449">
        <f t="shared" si="5"/>
        <v>21552</v>
      </c>
      <c r="G34" s="453">
        <f t="shared" si="1"/>
        <v>21582</v>
      </c>
      <c r="H34" s="451">
        <f t="shared" si="6"/>
        <v>43313</v>
      </c>
      <c r="J34" s="449">
        <f t="shared" si="7"/>
        <v>25205</v>
      </c>
      <c r="K34" s="453">
        <f t="shared" si="2"/>
        <v>25235</v>
      </c>
      <c r="L34" s="451">
        <f t="shared" si="8"/>
        <v>43313</v>
      </c>
    </row>
    <row r="35" spans="2:12" ht="13.5" thickBot="1" x14ac:dyDescent="0.25">
      <c r="B35" s="449">
        <f t="shared" si="3"/>
        <v>23409</v>
      </c>
      <c r="C35" s="453">
        <f t="shared" si="0"/>
        <v>23437</v>
      </c>
      <c r="D35" s="451">
        <f t="shared" si="4"/>
        <v>43252</v>
      </c>
      <c r="F35" s="449">
        <f t="shared" si="5"/>
        <v>21583</v>
      </c>
      <c r="G35" s="453">
        <f t="shared" si="1"/>
        <v>21610</v>
      </c>
      <c r="H35" s="451">
        <f t="shared" si="6"/>
        <v>43252</v>
      </c>
      <c r="J35" s="449">
        <f t="shared" si="7"/>
        <v>25236</v>
      </c>
      <c r="K35" s="453">
        <f t="shared" si="2"/>
        <v>25263</v>
      </c>
      <c r="L35" s="451">
        <f t="shared" si="8"/>
        <v>43252</v>
      </c>
    </row>
    <row r="36" spans="2:12" ht="13.5" thickBot="1" x14ac:dyDescent="0.25">
      <c r="B36" s="449">
        <f t="shared" si="3"/>
        <v>23438</v>
      </c>
      <c r="C36" s="453">
        <f t="shared" si="0"/>
        <v>23468</v>
      </c>
      <c r="D36" s="451">
        <f t="shared" si="4"/>
        <v>43191</v>
      </c>
      <c r="F36" s="449">
        <f t="shared" si="5"/>
        <v>21611</v>
      </c>
      <c r="G36" s="453">
        <f t="shared" si="1"/>
        <v>21641</v>
      </c>
      <c r="H36" s="451">
        <f t="shared" si="6"/>
        <v>43191</v>
      </c>
      <c r="J36" s="449">
        <f t="shared" si="7"/>
        <v>25264</v>
      </c>
      <c r="K36" s="453">
        <f t="shared" si="2"/>
        <v>25294</v>
      </c>
      <c r="L36" s="451">
        <f t="shared" si="8"/>
        <v>43191</v>
      </c>
    </row>
    <row r="37" spans="2:12" ht="13.5" thickBot="1" x14ac:dyDescent="0.25">
      <c r="B37" s="449">
        <f t="shared" si="3"/>
        <v>23469</v>
      </c>
      <c r="C37" s="453">
        <f t="shared" si="0"/>
        <v>23498</v>
      </c>
      <c r="D37" s="451">
        <f t="shared" si="4"/>
        <v>43132</v>
      </c>
      <c r="F37" s="449">
        <f t="shared" si="5"/>
        <v>21642</v>
      </c>
      <c r="G37" s="453">
        <f t="shared" si="1"/>
        <v>21671</v>
      </c>
      <c r="H37" s="451">
        <f t="shared" si="6"/>
        <v>43132</v>
      </c>
      <c r="J37" s="449">
        <f t="shared" si="7"/>
        <v>25295</v>
      </c>
      <c r="K37" s="453">
        <f t="shared" si="2"/>
        <v>25324</v>
      </c>
      <c r="L37" s="451">
        <f t="shared" si="8"/>
        <v>43132</v>
      </c>
    </row>
    <row r="38" spans="2:12" ht="13.5" thickBot="1" x14ac:dyDescent="0.25">
      <c r="B38" s="449">
        <f t="shared" si="3"/>
        <v>23499</v>
      </c>
      <c r="C38" s="453">
        <f t="shared" si="0"/>
        <v>23529</v>
      </c>
      <c r="D38" s="451">
        <f t="shared" si="4"/>
        <v>43070</v>
      </c>
      <c r="F38" s="449">
        <f t="shared" si="5"/>
        <v>21672</v>
      </c>
      <c r="G38" s="453">
        <f t="shared" si="1"/>
        <v>21702</v>
      </c>
      <c r="H38" s="451">
        <f t="shared" si="6"/>
        <v>43070</v>
      </c>
      <c r="J38" s="449">
        <f t="shared" si="7"/>
        <v>25325</v>
      </c>
      <c r="K38" s="453">
        <f t="shared" si="2"/>
        <v>25355</v>
      </c>
      <c r="L38" s="451">
        <f t="shared" si="8"/>
        <v>43070</v>
      </c>
    </row>
    <row r="39" spans="2:12" ht="13.5" thickBot="1" x14ac:dyDescent="0.25">
      <c r="B39" s="449">
        <f t="shared" si="3"/>
        <v>23530</v>
      </c>
      <c r="C39" s="453">
        <f t="shared" si="0"/>
        <v>23559</v>
      </c>
      <c r="D39" s="451">
        <f t="shared" si="4"/>
        <v>43009</v>
      </c>
      <c r="F39" s="449">
        <f t="shared" si="5"/>
        <v>21703</v>
      </c>
      <c r="G39" s="453">
        <f t="shared" si="1"/>
        <v>21732</v>
      </c>
      <c r="H39" s="451">
        <f t="shared" si="6"/>
        <v>43009</v>
      </c>
      <c r="J39" s="449">
        <f t="shared" si="7"/>
        <v>25356</v>
      </c>
      <c r="K39" s="453">
        <f t="shared" si="2"/>
        <v>25385</v>
      </c>
      <c r="L39" s="451">
        <f t="shared" si="8"/>
        <v>43009</v>
      </c>
    </row>
    <row r="40" spans="2:12" ht="13.5" thickBot="1" x14ac:dyDescent="0.25">
      <c r="B40" s="449">
        <f t="shared" si="3"/>
        <v>23560</v>
      </c>
      <c r="C40" s="453">
        <f t="shared" si="0"/>
        <v>23590</v>
      </c>
      <c r="D40" s="451">
        <f t="shared" si="4"/>
        <v>42948</v>
      </c>
      <c r="F40" s="449">
        <f t="shared" si="5"/>
        <v>21733</v>
      </c>
      <c r="G40" s="453">
        <f t="shared" si="1"/>
        <v>21763</v>
      </c>
      <c r="H40" s="451">
        <f t="shared" si="6"/>
        <v>42948</v>
      </c>
      <c r="J40" s="449">
        <f t="shared" si="7"/>
        <v>25386</v>
      </c>
      <c r="K40" s="453">
        <f t="shared" si="2"/>
        <v>25416</v>
      </c>
      <c r="L40" s="451">
        <f t="shared" si="8"/>
        <v>42948</v>
      </c>
    </row>
    <row r="41" spans="2:12" ht="13.5" thickBot="1" x14ac:dyDescent="0.25">
      <c r="B41" s="449">
        <f t="shared" si="3"/>
        <v>23591</v>
      </c>
      <c r="C41" s="453">
        <f t="shared" si="0"/>
        <v>23621</v>
      </c>
      <c r="D41" s="451">
        <f t="shared" si="4"/>
        <v>42887</v>
      </c>
      <c r="F41" s="449">
        <f t="shared" si="5"/>
        <v>21764</v>
      </c>
      <c r="G41" s="453">
        <f t="shared" si="1"/>
        <v>21794</v>
      </c>
      <c r="H41" s="451">
        <f t="shared" si="6"/>
        <v>42887</v>
      </c>
      <c r="J41" s="449">
        <f t="shared" si="7"/>
        <v>25417</v>
      </c>
      <c r="K41" s="453">
        <f t="shared" si="2"/>
        <v>25447</v>
      </c>
      <c r="L41" s="451">
        <f t="shared" si="8"/>
        <v>42887</v>
      </c>
    </row>
    <row r="42" spans="2:12" ht="13.5" thickBot="1" x14ac:dyDescent="0.25">
      <c r="B42" s="449">
        <f t="shared" si="3"/>
        <v>23622</v>
      </c>
      <c r="C42" s="453">
        <f t="shared" si="0"/>
        <v>23651</v>
      </c>
      <c r="D42" s="451">
        <f t="shared" si="4"/>
        <v>42826</v>
      </c>
      <c r="F42" s="449">
        <f t="shared" si="5"/>
        <v>21795</v>
      </c>
      <c r="G42" s="453">
        <f t="shared" si="1"/>
        <v>21824</v>
      </c>
      <c r="H42" s="451">
        <f t="shared" si="6"/>
        <v>42826</v>
      </c>
      <c r="J42" s="449">
        <f t="shared" si="7"/>
        <v>25448</v>
      </c>
      <c r="K42" s="453">
        <f t="shared" si="2"/>
        <v>25477</v>
      </c>
      <c r="L42" s="451">
        <f t="shared" si="8"/>
        <v>42826</v>
      </c>
    </row>
    <row r="43" spans="2:12" ht="13.5" thickBot="1" x14ac:dyDescent="0.25">
      <c r="B43" s="449">
        <f t="shared" si="3"/>
        <v>23652</v>
      </c>
      <c r="C43" s="453">
        <f t="shared" si="0"/>
        <v>23682</v>
      </c>
      <c r="D43" s="451">
        <f t="shared" si="4"/>
        <v>42767</v>
      </c>
      <c r="F43" s="449">
        <f t="shared" si="5"/>
        <v>21825</v>
      </c>
      <c r="G43" s="453">
        <f t="shared" si="1"/>
        <v>21855</v>
      </c>
      <c r="H43" s="451">
        <f t="shared" si="6"/>
        <v>42767</v>
      </c>
      <c r="J43" s="449">
        <f t="shared" si="7"/>
        <v>25478</v>
      </c>
      <c r="K43" s="453">
        <f t="shared" si="2"/>
        <v>25508</v>
      </c>
      <c r="L43" s="451">
        <f t="shared" si="8"/>
        <v>42767</v>
      </c>
    </row>
    <row r="44" spans="2:12" ht="13.5" thickBot="1" x14ac:dyDescent="0.25">
      <c r="B44" s="449">
        <f t="shared" si="3"/>
        <v>23683</v>
      </c>
      <c r="C44" s="453">
        <f t="shared" si="0"/>
        <v>23712</v>
      </c>
      <c r="D44" s="451">
        <f t="shared" si="4"/>
        <v>42705</v>
      </c>
      <c r="F44" s="449">
        <f t="shared" si="5"/>
        <v>21856</v>
      </c>
      <c r="G44" s="453">
        <f t="shared" si="1"/>
        <v>21885</v>
      </c>
      <c r="H44" s="451">
        <f t="shared" si="6"/>
        <v>42705</v>
      </c>
      <c r="J44" s="449">
        <f t="shared" si="7"/>
        <v>25509</v>
      </c>
      <c r="K44" s="453">
        <f t="shared" si="2"/>
        <v>25538</v>
      </c>
      <c r="L44" s="451">
        <f t="shared" si="8"/>
        <v>42705</v>
      </c>
    </row>
    <row r="45" spans="2:12" ht="13.5" thickBot="1" x14ac:dyDescent="0.25">
      <c r="B45" s="449">
        <f t="shared" si="3"/>
        <v>23713</v>
      </c>
      <c r="C45" s="453">
        <f t="shared" si="0"/>
        <v>23743</v>
      </c>
      <c r="D45" s="451">
        <f t="shared" si="4"/>
        <v>42644</v>
      </c>
      <c r="F45" s="449">
        <f t="shared" si="5"/>
        <v>21886</v>
      </c>
      <c r="G45" s="453">
        <f t="shared" si="1"/>
        <v>21916</v>
      </c>
      <c r="H45" s="451">
        <f t="shared" si="6"/>
        <v>42644</v>
      </c>
      <c r="J45" s="449">
        <f t="shared" si="7"/>
        <v>25539</v>
      </c>
      <c r="K45" s="453">
        <f t="shared" si="2"/>
        <v>25569</v>
      </c>
      <c r="L45" s="451">
        <f t="shared" si="8"/>
        <v>42644</v>
      </c>
    </row>
    <row r="46" spans="2:12" ht="13.5" thickBot="1" x14ac:dyDescent="0.25">
      <c r="B46" s="449">
        <f t="shared" si="3"/>
        <v>23744</v>
      </c>
      <c r="C46" s="453">
        <f t="shared" si="0"/>
        <v>23774</v>
      </c>
      <c r="D46" s="451">
        <f t="shared" si="4"/>
        <v>42583</v>
      </c>
      <c r="F46" s="449">
        <f t="shared" si="5"/>
        <v>21917</v>
      </c>
      <c r="G46" s="453">
        <f t="shared" si="1"/>
        <v>21947</v>
      </c>
      <c r="H46" s="451">
        <f t="shared" si="6"/>
        <v>42583</v>
      </c>
      <c r="J46" s="449">
        <f t="shared" si="7"/>
        <v>25570</v>
      </c>
      <c r="K46" s="453">
        <f t="shared" si="2"/>
        <v>25600</v>
      </c>
      <c r="L46" s="451">
        <f t="shared" si="8"/>
        <v>42583</v>
      </c>
    </row>
    <row r="47" spans="2:12" ht="13.5" thickBot="1" x14ac:dyDescent="0.25">
      <c r="B47" s="449">
        <f t="shared" si="3"/>
        <v>23775</v>
      </c>
      <c r="C47" s="453">
        <f t="shared" si="0"/>
        <v>23802</v>
      </c>
      <c r="D47" s="451">
        <f t="shared" si="4"/>
        <v>42522</v>
      </c>
      <c r="F47" s="449">
        <f t="shared" si="5"/>
        <v>21948</v>
      </c>
      <c r="G47" s="453">
        <f t="shared" si="1"/>
        <v>21976</v>
      </c>
      <c r="H47" s="451">
        <f t="shared" si="6"/>
        <v>42522</v>
      </c>
      <c r="J47" s="449">
        <f t="shared" si="7"/>
        <v>25601</v>
      </c>
      <c r="K47" s="453">
        <f t="shared" si="2"/>
        <v>25628</v>
      </c>
      <c r="L47" s="451">
        <f t="shared" si="8"/>
        <v>42522</v>
      </c>
    </row>
    <row r="48" spans="2:12" ht="13.5" thickBot="1" x14ac:dyDescent="0.25">
      <c r="B48" s="449">
        <f t="shared" si="3"/>
        <v>23803</v>
      </c>
      <c r="C48" s="453">
        <f t="shared" si="0"/>
        <v>23833</v>
      </c>
      <c r="D48" s="451">
        <f t="shared" si="4"/>
        <v>42461</v>
      </c>
      <c r="F48" s="449">
        <f t="shared" si="5"/>
        <v>21977</v>
      </c>
      <c r="G48" s="453">
        <f t="shared" si="1"/>
        <v>22007</v>
      </c>
      <c r="H48" s="451">
        <f t="shared" si="6"/>
        <v>42461</v>
      </c>
      <c r="J48" s="449">
        <f t="shared" si="7"/>
        <v>25629</v>
      </c>
      <c r="K48" s="453">
        <f t="shared" si="2"/>
        <v>25659</v>
      </c>
      <c r="L48" s="451">
        <f t="shared" si="8"/>
        <v>42461</v>
      </c>
    </row>
    <row r="49" spans="2:13" ht="13.5" thickBot="1" x14ac:dyDescent="0.25">
      <c r="B49" s="449">
        <f t="shared" si="3"/>
        <v>23834</v>
      </c>
      <c r="C49" s="453">
        <f t="shared" si="0"/>
        <v>23863</v>
      </c>
      <c r="D49" s="451">
        <f t="shared" si="4"/>
        <v>42401</v>
      </c>
      <c r="F49" s="449">
        <f t="shared" si="5"/>
        <v>22008</v>
      </c>
      <c r="G49" s="453">
        <f t="shared" si="1"/>
        <v>22037</v>
      </c>
      <c r="H49" s="451">
        <f t="shared" si="6"/>
        <v>42401</v>
      </c>
      <c r="J49" s="449">
        <f t="shared" si="7"/>
        <v>25660</v>
      </c>
      <c r="K49" s="453">
        <f t="shared" si="2"/>
        <v>25689</v>
      </c>
      <c r="L49" s="451">
        <f t="shared" si="8"/>
        <v>42401</v>
      </c>
    </row>
    <row r="50" spans="2:13" ht="13.5" thickBot="1" x14ac:dyDescent="0.25">
      <c r="B50" s="449">
        <f t="shared" si="3"/>
        <v>23864</v>
      </c>
      <c r="C50" s="453">
        <f t="shared" si="0"/>
        <v>23894</v>
      </c>
      <c r="D50" s="451">
        <f t="shared" si="4"/>
        <v>42339</v>
      </c>
      <c r="F50" s="449">
        <f t="shared" si="5"/>
        <v>22038</v>
      </c>
      <c r="G50" s="453">
        <f t="shared" si="1"/>
        <v>22068</v>
      </c>
      <c r="H50" s="451">
        <f t="shared" si="6"/>
        <v>42339</v>
      </c>
      <c r="J50" s="449">
        <f t="shared" si="7"/>
        <v>25690</v>
      </c>
      <c r="K50" s="453">
        <f t="shared" si="2"/>
        <v>25720</v>
      </c>
      <c r="L50" s="451">
        <f t="shared" si="8"/>
        <v>42339</v>
      </c>
    </row>
    <row r="51" spans="2:13" ht="13.5" thickBot="1" x14ac:dyDescent="0.25">
      <c r="B51" s="449">
        <f t="shared" si="3"/>
        <v>23895</v>
      </c>
      <c r="C51" s="453">
        <f t="shared" si="0"/>
        <v>23924</v>
      </c>
      <c r="D51" s="451">
        <f t="shared" si="4"/>
        <v>42278</v>
      </c>
      <c r="F51" s="449">
        <f t="shared" si="5"/>
        <v>22069</v>
      </c>
      <c r="G51" s="453">
        <f t="shared" si="1"/>
        <v>22098</v>
      </c>
      <c r="H51" s="451">
        <f t="shared" si="6"/>
        <v>42278</v>
      </c>
      <c r="J51" s="449">
        <f t="shared" si="7"/>
        <v>25721</v>
      </c>
      <c r="K51" s="453">
        <f t="shared" si="2"/>
        <v>25750</v>
      </c>
      <c r="L51" s="451">
        <f t="shared" si="8"/>
        <v>42278</v>
      </c>
    </row>
    <row r="52" spans="2:13" ht="13.5" thickBot="1" x14ac:dyDescent="0.25">
      <c r="B52" s="449">
        <f t="shared" si="3"/>
        <v>23925</v>
      </c>
      <c r="C52" s="453">
        <f t="shared" si="0"/>
        <v>23955</v>
      </c>
      <c r="D52" s="451">
        <f t="shared" si="4"/>
        <v>42217</v>
      </c>
      <c r="F52" s="449">
        <f t="shared" si="5"/>
        <v>22099</v>
      </c>
      <c r="G52" s="453">
        <f t="shared" si="1"/>
        <v>22129</v>
      </c>
      <c r="H52" s="451">
        <f t="shared" si="6"/>
        <v>42217</v>
      </c>
      <c r="J52" s="449">
        <f t="shared" si="7"/>
        <v>25751</v>
      </c>
      <c r="K52" s="453">
        <f t="shared" si="2"/>
        <v>25781</v>
      </c>
      <c r="L52" s="451">
        <f t="shared" si="8"/>
        <v>42217</v>
      </c>
    </row>
    <row r="53" spans="2:13" ht="13.5" thickBot="1" x14ac:dyDescent="0.25">
      <c r="B53" s="449">
        <f t="shared" si="3"/>
        <v>23956</v>
      </c>
      <c r="C53" s="453">
        <v>23985</v>
      </c>
      <c r="D53" s="451">
        <f t="shared" si="4"/>
        <v>42156</v>
      </c>
      <c r="F53" s="449">
        <f t="shared" si="5"/>
        <v>22130</v>
      </c>
      <c r="G53" s="576">
        <v>22159</v>
      </c>
      <c r="H53" s="451">
        <f t="shared" si="6"/>
        <v>42156</v>
      </c>
      <c r="I53" s="577" t="s">
        <v>703</v>
      </c>
      <c r="J53" s="449">
        <f t="shared" si="7"/>
        <v>25782</v>
      </c>
      <c r="K53" s="576">
        <v>25811</v>
      </c>
      <c r="L53" s="451">
        <f t="shared" si="8"/>
        <v>42156</v>
      </c>
      <c r="M53" s="577" t="s">
        <v>703</v>
      </c>
    </row>
    <row r="54" spans="2:13" ht="13.5" thickBot="1" x14ac:dyDescent="0.25">
      <c r="B54" s="449"/>
      <c r="C54" s="454"/>
      <c r="D54" s="451"/>
      <c r="F54" s="278"/>
      <c r="G54" s="274"/>
      <c r="H54" s="274"/>
      <c r="J54" s="278"/>
      <c r="K54" s="274"/>
      <c r="L54" s="274"/>
    </row>
    <row r="55" spans="2:13" ht="13.5" thickBot="1" x14ac:dyDescent="0.25">
      <c r="B55" s="449"/>
      <c r="C55" s="450"/>
      <c r="D55" s="451"/>
      <c r="F55" s="278"/>
      <c r="G55" s="274"/>
      <c r="H55" s="274"/>
      <c r="J55" s="278"/>
      <c r="K55" s="274"/>
      <c r="L55" s="274"/>
    </row>
    <row r="56" spans="2:13" ht="13.5" thickBot="1" x14ac:dyDescent="0.25">
      <c r="B56" s="278"/>
      <c r="C56" s="274"/>
      <c r="D56" s="274"/>
      <c r="F56" s="278"/>
      <c r="G56" s="274"/>
      <c r="H56" s="274"/>
      <c r="J56" s="278"/>
      <c r="K56" s="274"/>
      <c r="L56" s="274"/>
    </row>
    <row r="57" spans="2:13" ht="13.5" thickBot="1" x14ac:dyDescent="0.25">
      <c r="B57" s="278"/>
      <c r="C57" s="274"/>
      <c r="D57" s="274"/>
      <c r="F57" s="278"/>
      <c r="G57" s="274"/>
      <c r="H57" s="274"/>
      <c r="J57" s="278"/>
      <c r="K57" s="274"/>
      <c r="L57" s="274"/>
    </row>
    <row r="58" spans="2:13" ht="13.5" thickBot="1" x14ac:dyDescent="0.25">
      <c r="B58" s="278"/>
      <c r="C58" s="274"/>
      <c r="D58" s="274"/>
      <c r="F58" s="278"/>
      <c r="G58" s="274"/>
      <c r="H58" s="274"/>
      <c r="J58" s="278"/>
      <c r="K58" s="274"/>
      <c r="L58" s="274"/>
    </row>
    <row r="59" spans="2:13" ht="13.5" thickBot="1" x14ac:dyDescent="0.25">
      <c r="B59" s="278"/>
      <c r="C59" s="274"/>
      <c r="D59" s="274"/>
      <c r="F59" s="278"/>
      <c r="G59" s="274"/>
      <c r="H59" s="274"/>
      <c r="J59" s="278"/>
      <c r="K59" s="274"/>
      <c r="L59" s="274"/>
    </row>
    <row r="60" spans="2:13" x14ac:dyDescent="0.2">
      <c r="B60" s="278"/>
      <c r="C60" s="274"/>
      <c r="D60" s="274"/>
      <c r="F60" s="278"/>
      <c r="G60" s="274"/>
      <c r="H60" s="274"/>
      <c r="J60" s="278"/>
      <c r="K60" s="274"/>
      <c r="L60" s="274"/>
    </row>
  </sheetData>
  <sortState ref="R13:T60">
    <sortCondition ref="T13:T60"/>
  </sortState>
  <mergeCells count="3">
    <mergeCell ref="B11:C11"/>
    <mergeCell ref="F11:G11"/>
    <mergeCell ref="J11:K11"/>
  </mergeCells>
  <phoneticPr fontId="30" type="noConversion"/>
  <hyperlinks>
    <hyperlink ref="C6" r:id="rId1"/>
  </hyperlinks>
  <pageMargins left="0.70866141732283472" right="0.70866141732283472" top="0.74803149606299213" bottom="0.74803149606299213" header="0.31496062992125984" footer="0.31496062992125984"/>
  <pageSetup paperSize="9" scale="72" orientation="portrait" r:id="rId2"/>
  <headerFooter>
    <oddHeader>&amp;CPROTECT - SCHEME MANAGEMENT&amp;L_x000D_&amp;Z&amp;F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P73"/>
  <sheetViews>
    <sheetView workbookViewId="0">
      <selection activeCell="B133" sqref="B133"/>
    </sheetView>
  </sheetViews>
  <sheetFormatPr defaultRowHeight="12.75" x14ac:dyDescent="0.2"/>
  <cols>
    <col min="2" max="2" width="20.5703125" customWidth="1"/>
    <col min="3" max="3" width="20" bestFit="1" customWidth="1"/>
  </cols>
  <sheetData>
    <row r="1" spans="1:14" ht="20.25" x14ac:dyDescent="0.3">
      <c r="A1" s="13" t="s">
        <v>19</v>
      </c>
      <c r="B1" s="12"/>
      <c r="C1" s="12"/>
      <c r="D1" s="12"/>
      <c r="E1" s="12"/>
      <c r="F1" s="12"/>
      <c r="G1" s="12"/>
      <c r="H1" s="12"/>
      <c r="I1" s="12"/>
    </row>
    <row r="2" spans="1:14" ht="15.75" x14ac:dyDescent="0.25">
      <c r="A2" s="27" t="str">
        <f>IF(title="&gt; Enter workbook title here","Enter workbook title in Cover sheet",title)</f>
        <v>Scottish Fire pension  projection calculator</v>
      </c>
      <c r="B2" s="11"/>
      <c r="C2" s="11"/>
      <c r="D2" s="11"/>
      <c r="E2" s="11"/>
      <c r="F2" s="11"/>
      <c r="G2" s="11"/>
      <c r="H2" s="11"/>
      <c r="I2" s="11"/>
    </row>
    <row r="3" spans="1:14" ht="15.75" x14ac:dyDescent="0.25">
      <c r="A3" s="14" t="s">
        <v>252</v>
      </c>
      <c r="B3" s="11"/>
      <c r="C3" s="11"/>
      <c r="D3" s="11"/>
      <c r="E3" s="11"/>
      <c r="F3" s="11"/>
      <c r="G3" s="11"/>
      <c r="H3" s="11"/>
      <c r="I3" s="11"/>
    </row>
    <row r="4" spans="1:14" x14ac:dyDescent="0.2">
      <c r="A4" s="7" t="str">
        <f ca="1">CELL("filename",A1)</f>
        <v>C:\Users\u205538\Downloads\[NHS_Pension_Calculator_v2.3 22 Dec 2020 (6).xlsx]Commutation Factors</v>
      </c>
    </row>
    <row r="7" spans="1:14" x14ac:dyDescent="0.2">
      <c r="B7" s="1" t="s">
        <v>262</v>
      </c>
      <c r="F7" s="79">
        <v>12</v>
      </c>
    </row>
    <row r="8" spans="1:14" x14ac:dyDescent="0.2">
      <c r="B8" s="1" t="s">
        <v>556</v>
      </c>
      <c r="F8" s="232">
        <v>12</v>
      </c>
    </row>
    <row r="9" spans="1:14" x14ac:dyDescent="0.2">
      <c r="B9" s="1" t="s">
        <v>558</v>
      </c>
      <c r="F9" s="232">
        <v>12</v>
      </c>
      <c r="H9" s="35"/>
    </row>
    <row r="10" spans="1:14" x14ac:dyDescent="0.2">
      <c r="B10" s="1" t="s">
        <v>657</v>
      </c>
      <c r="F10" s="232">
        <v>3</v>
      </c>
      <c r="H10" s="35"/>
    </row>
    <row r="11" spans="1:14" x14ac:dyDescent="0.2">
      <c r="B11" s="1"/>
      <c r="F11" s="232"/>
      <c r="H11" s="35"/>
    </row>
    <row r="12" spans="1:14" ht="13.5" thickBot="1" x14ac:dyDescent="0.25">
      <c r="B12" s="382" t="s">
        <v>557</v>
      </c>
      <c r="C12" s="383"/>
      <c r="D12" s="382"/>
      <c r="E12" s="383"/>
      <c r="F12" s="386"/>
      <c r="G12" s="383"/>
      <c r="H12" s="386"/>
      <c r="I12" s="383"/>
      <c r="J12" s="383"/>
      <c r="K12" s="383"/>
      <c r="L12" s="383"/>
      <c r="M12" s="383"/>
      <c r="N12" s="383"/>
    </row>
    <row r="13" spans="1:14" ht="13.5" thickBot="1" x14ac:dyDescent="0.25">
      <c r="B13" s="745" t="s">
        <v>256</v>
      </c>
      <c r="C13" s="747" t="s">
        <v>260</v>
      </c>
      <c r="D13" s="748"/>
      <c r="E13" s="748"/>
      <c r="F13" s="748"/>
      <c r="G13" s="748"/>
      <c r="H13" s="748"/>
      <c r="I13" s="748"/>
      <c r="J13" s="748"/>
      <c r="K13" s="748"/>
      <c r="L13" s="748"/>
      <c r="M13" s="748"/>
      <c r="N13" s="749"/>
    </row>
    <row r="14" spans="1:14" ht="13.5" thickBot="1" x14ac:dyDescent="0.25">
      <c r="B14" s="746"/>
      <c r="C14" s="387">
        <v>0</v>
      </c>
      <c r="D14" s="388">
        <v>1</v>
      </c>
      <c r="E14" s="388">
        <v>2</v>
      </c>
      <c r="F14" s="388">
        <v>3</v>
      </c>
      <c r="G14" s="388">
        <v>4</v>
      </c>
      <c r="H14" s="388">
        <v>5</v>
      </c>
      <c r="I14" s="388">
        <v>6</v>
      </c>
      <c r="J14" s="388">
        <v>7</v>
      </c>
      <c r="K14" s="388">
        <v>8</v>
      </c>
      <c r="L14" s="388">
        <v>9</v>
      </c>
      <c r="M14" s="388">
        <v>10</v>
      </c>
      <c r="N14" s="388">
        <v>11</v>
      </c>
    </row>
    <row r="15" spans="1:14" ht="13.5" thickBot="1" x14ac:dyDescent="0.25">
      <c r="B15" s="389" t="s">
        <v>465</v>
      </c>
      <c r="C15" s="390">
        <v>22.3</v>
      </c>
      <c r="D15" s="391"/>
      <c r="E15" s="391"/>
      <c r="F15" s="391"/>
      <c r="G15" s="391"/>
      <c r="H15" s="391"/>
      <c r="I15" s="391"/>
      <c r="J15" s="391"/>
      <c r="K15" s="391"/>
      <c r="L15" s="391"/>
      <c r="M15" s="391"/>
      <c r="N15" s="392"/>
    </row>
    <row r="16" spans="1:14" ht="13.5" thickBot="1" x14ac:dyDescent="0.25">
      <c r="B16" s="389">
        <v>50</v>
      </c>
      <c r="C16" s="393">
        <v>21.9</v>
      </c>
      <c r="D16" s="394">
        <v>21.8</v>
      </c>
      <c r="E16" s="394">
        <v>21.8</v>
      </c>
      <c r="F16" s="394">
        <v>21.8</v>
      </c>
      <c r="G16" s="394">
        <v>21.8</v>
      </c>
      <c r="H16" s="394">
        <v>21.7</v>
      </c>
      <c r="I16" s="394">
        <v>21.7</v>
      </c>
      <c r="J16" s="394">
        <v>21.7</v>
      </c>
      <c r="K16" s="394">
        <v>21.7</v>
      </c>
      <c r="L16" s="393">
        <v>21.6</v>
      </c>
      <c r="M16" s="394">
        <v>21.6</v>
      </c>
      <c r="N16" s="394">
        <v>21.6</v>
      </c>
    </row>
    <row r="17" spans="2:14" ht="13.5" thickBot="1" x14ac:dyDescent="0.25">
      <c r="B17" s="389">
        <v>51</v>
      </c>
      <c r="C17" s="393">
        <v>21.6</v>
      </c>
      <c r="D17" s="394">
        <v>21.5</v>
      </c>
      <c r="E17" s="394">
        <v>21.5</v>
      </c>
      <c r="F17" s="394">
        <v>21.5</v>
      </c>
      <c r="G17" s="394">
        <v>21.4</v>
      </c>
      <c r="H17" s="394">
        <v>21.4</v>
      </c>
      <c r="I17" s="394">
        <v>21.4</v>
      </c>
      <c r="J17" s="394">
        <v>21.4</v>
      </c>
      <c r="K17" s="394">
        <v>21.3</v>
      </c>
      <c r="L17" s="393">
        <v>21.3</v>
      </c>
      <c r="M17" s="394">
        <v>21.3</v>
      </c>
      <c r="N17" s="394">
        <v>21.2</v>
      </c>
    </row>
    <row r="18" spans="2:14" ht="13.5" thickBot="1" x14ac:dyDescent="0.25">
      <c r="B18" s="389">
        <v>52</v>
      </c>
      <c r="C18" s="393">
        <v>21.2</v>
      </c>
      <c r="D18" s="394">
        <v>21.2</v>
      </c>
      <c r="E18" s="394">
        <v>21.2</v>
      </c>
      <c r="F18" s="394">
        <v>21.1</v>
      </c>
      <c r="G18" s="394">
        <v>21.1</v>
      </c>
      <c r="H18" s="394">
        <v>21.1</v>
      </c>
      <c r="I18" s="394">
        <v>21</v>
      </c>
      <c r="J18" s="394">
        <v>21</v>
      </c>
      <c r="K18" s="394">
        <v>21</v>
      </c>
      <c r="L18" s="393">
        <v>20.9</v>
      </c>
      <c r="M18" s="394">
        <v>20.9</v>
      </c>
      <c r="N18" s="394">
        <v>20.9</v>
      </c>
    </row>
    <row r="19" spans="2:14" ht="13.5" thickBot="1" x14ac:dyDescent="0.25">
      <c r="B19" s="389">
        <v>53</v>
      </c>
      <c r="C19" s="393">
        <v>20.9</v>
      </c>
      <c r="D19" s="394">
        <v>20.8</v>
      </c>
      <c r="E19" s="394">
        <v>20.8</v>
      </c>
      <c r="F19" s="394">
        <v>20.8</v>
      </c>
      <c r="G19" s="394">
        <v>20.7</v>
      </c>
      <c r="H19" s="394">
        <v>20.7</v>
      </c>
      <c r="I19" s="394">
        <v>20.7</v>
      </c>
      <c r="J19" s="394">
        <v>20.6</v>
      </c>
      <c r="K19" s="394">
        <v>20.6</v>
      </c>
      <c r="L19" s="393">
        <v>20.6</v>
      </c>
      <c r="M19" s="394">
        <v>20.5</v>
      </c>
      <c r="N19" s="394">
        <v>20.5</v>
      </c>
    </row>
    <row r="20" spans="2:14" ht="13.5" thickBot="1" x14ac:dyDescent="0.25">
      <c r="B20" s="389">
        <v>54</v>
      </c>
      <c r="C20" s="393">
        <v>20.5</v>
      </c>
      <c r="D20" s="394">
        <v>20.399999999999999</v>
      </c>
      <c r="E20" s="394">
        <v>20.399999999999999</v>
      </c>
      <c r="F20" s="394">
        <v>20.399999999999999</v>
      </c>
      <c r="G20" s="394">
        <v>20.3</v>
      </c>
      <c r="H20" s="394">
        <v>20.3</v>
      </c>
      <c r="I20" s="394">
        <v>20.3</v>
      </c>
      <c r="J20" s="394">
        <v>20.2</v>
      </c>
      <c r="K20" s="394">
        <v>20.2</v>
      </c>
      <c r="L20" s="393">
        <v>20.2</v>
      </c>
      <c r="M20" s="394">
        <v>20.100000000000001</v>
      </c>
      <c r="N20" s="394">
        <v>20.100000000000001</v>
      </c>
    </row>
    <row r="21" spans="2:14" ht="13.5" thickBot="1" x14ac:dyDescent="0.25">
      <c r="B21" s="389">
        <v>55</v>
      </c>
      <c r="C21" s="393">
        <v>20.100000000000001</v>
      </c>
      <c r="D21" s="394">
        <v>20</v>
      </c>
      <c r="E21" s="394">
        <v>20</v>
      </c>
      <c r="F21" s="394">
        <v>20</v>
      </c>
      <c r="G21" s="394">
        <v>19.899999999999999</v>
      </c>
      <c r="H21" s="394">
        <v>19.899999999999999</v>
      </c>
      <c r="I21" s="394">
        <v>19.899999999999999</v>
      </c>
      <c r="J21" s="394">
        <v>19.8</v>
      </c>
      <c r="K21" s="394">
        <v>19.8</v>
      </c>
      <c r="L21" s="393">
        <v>19.8</v>
      </c>
      <c r="M21" s="394">
        <v>19.7</v>
      </c>
      <c r="N21" s="394">
        <v>19.7</v>
      </c>
    </row>
    <row r="22" spans="2:14" ht="13.5" thickBot="1" x14ac:dyDescent="0.25">
      <c r="B22" s="389">
        <v>56</v>
      </c>
      <c r="C22" s="393">
        <v>19.600000000000001</v>
      </c>
      <c r="D22" s="394">
        <v>19.600000000000001</v>
      </c>
      <c r="E22" s="394">
        <v>19.600000000000001</v>
      </c>
      <c r="F22" s="394">
        <v>19.5</v>
      </c>
      <c r="G22" s="394">
        <v>19.5</v>
      </c>
      <c r="H22" s="394">
        <v>19.5</v>
      </c>
      <c r="I22" s="394">
        <v>19.399999999999999</v>
      </c>
      <c r="J22" s="394">
        <v>19.399999999999999</v>
      </c>
      <c r="K22" s="394">
        <v>19.399999999999999</v>
      </c>
      <c r="L22" s="393">
        <v>19.3</v>
      </c>
      <c r="M22" s="394">
        <v>19.3</v>
      </c>
      <c r="N22" s="394">
        <v>19.2</v>
      </c>
    </row>
    <row r="23" spans="2:14" ht="13.5" thickBot="1" x14ac:dyDescent="0.25">
      <c r="B23" s="389">
        <v>57</v>
      </c>
      <c r="C23" s="393">
        <v>19.2</v>
      </c>
      <c r="D23" s="394">
        <v>19.2</v>
      </c>
      <c r="E23" s="394">
        <v>19.100000000000001</v>
      </c>
      <c r="F23" s="394">
        <v>19.100000000000001</v>
      </c>
      <c r="G23" s="394">
        <v>19.100000000000001</v>
      </c>
      <c r="H23" s="394">
        <v>19</v>
      </c>
      <c r="I23" s="394">
        <v>19</v>
      </c>
      <c r="J23" s="394">
        <v>18.899999999999999</v>
      </c>
      <c r="K23" s="394">
        <v>18.899999999999999</v>
      </c>
      <c r="L23" s="393">
        <v>18.899999999999999</v>
      </c>
      <c r="M23" s="394">
        <v>18.8</v>
      </c>
      <c r="N23" s="394">
        <v>18.8</v>
      </c>
    </row>
    <row r="24" spans="2:14" ht="13.5" thickBot="1" x14ac:dyDescent="0.25">
      <c r="B24" s="389">
        <v>58</v>
      </c>
      <c r="C24" s="393">
        <v>18.8</v>
      </c>
      <c r="D24" s="394">
        <v>18.7</v>
      </c>
      <c r="E24" s="394">
        <v>18.7</v>
      </c>
      <c r="F24" s="394">
        <v>18.600000000000001</v>
      </c>
      <c r="G24" s="394">
        <v>18.600000000000001</v>
      </c>
      <c r="H24" s="394">
        <v>18.600000000000001</v>
      </c>
      <c r="I24" s="394">
        <v>18.5</v>
      </c>
      <c r="J24" s="394">
        <v>18.5</v>
      </c>
      <c r="K24" s="394">
        <v>18.5</v>
      </c>
      <c r="L24" s="393">
        <v>18.399999999999999</v>
      </c>
      <c r="M24" s="394">
        <v>18.399999999999999</v>
      </c>
      <c r="N24" s="394">
        <v>18.3</v>
      </c>
    </row>
    <row r="25" spans="2:14" ht="13.5" thickBot="1" x14ac:dyDescent="0.25">
      <c r="B25" s="389">
        <v>59</v>
      </c>
      <c r="C25" s="393">
        <v>18.3</v>
      </c>
      <c r="D25" s="394">
        <v>18.3</v>
      </c>
      <c r="E25" s="394">
        <v>18.2</v>
      </c>
      <c r="F25" s="394">
        <v>18.2</v>
      </c>
      <c r="G25" s="394">
        <v>18.2</v>
      </c>
      <c r="H25" s="394">
        <v>18.100000000000001</v>
      </c>
      <c r="I25" s="394">
        <v>18.100000000000001</v>
      </c>
      <c r="J25" s="394">
        <v>18</v>
      </c>
      <c r="K25" s="394">
        <v>18</v>
      </c>
      <c r="L25" s="393">
        <v>18</v>
      </c>
      <c r="M25" s="394">
        <v>17.899999999999999</v>
      </c>
      <c r="N25" s="394">
        <v>17.899999999999999</v>
      </c>
    </row>
    <row r="26" spans="2:14" ht="13.5" thickBot="1" x14ac:dyDescent="0.25">
      <c r="B26" s="389">
        <v>60</v>
      </c>
      <c r="C26" s="393">
        <v>17.8</v>
      </c>
      <c r="D26" s="394">
        <v>17.8</v>
      </c>
      <c r="E26" s="394">
        <v>17.8</v>
      </c>
      <c r="F26" s="394">
        <v>17.7</v>
      </c>
      <c r="G26" s="394">
        <v>17.7</v>
      </c>
      <c r="H26" s="394">
        <v>17.600000000000001</v>
      </c>
      <c r="I26" s="394">
        <v>17.600000000000001</v>
      </c>
      <c r="J26" s="394">
        <v>17.600000000000001</v>
      </c>
      <c r="K26" s="394">
        <v>17.5</v>
      </c>
      <c r="L26" s="393">
        <v>17.5</v>
      </c>
      <c r="M26" s="394">
        <v>17.399999999999999</v>
      </c>
      <c r="N26" s="394">
        <v>17.399999999999999</v>
      </c>
    </row>
    <row r="27" spans="2:14" ht="13.5" thickBot="1" x14ac:dyDescent="0.25">
      <c r="B27" s="389">
        <v>61</v>
      </c>
      <c r="C27" s="393">
        <v>17.399999999999999</v>
      </c>
      <c r="D27" s="394">
        <v>17.3</v>
      </c>
      <c r="E27" s="394">
        <v>17.3</v>
      </c>
      <c r="F27" s="394">
        <v>17.2</v>
      </c>
      <c r="G27" s="394">
        <v>17.2</v>
      </c>
      <c r="H27" s="394">
        <v>17.2</v>
      </c>
      <c r="I27" s="394">
        <v>17.100000000000001</v>
      </c>
      <c r="J27" s="394">
        <v>17.100000000000001</v>
      </c>
      <c r="K27" s="394">
        <v>17</v>
      </c>
      <c r="L27" s="393">
        <v>17</v>
      </c>
      <c r="M27" s="394">
        <v>17</v>
      </c>
      <c r="N27" s="394">
        <v>16.899999999999999</v>
      </c>
    </row>
    <row r="28" spans="2:14" ht="13.5" thickBot="1" x14ac:dyDescent="0.25">
      <c r="B28" s="389">
        <v>62</v>
      </c>
      <c r="C28" s="393">
        <v>16.899999999999999</v>
      </c>
      <c r="D28" s="394">
        <v>16.8</v>
      </c>
      <c r="E28" s="394">
        <v>16.8</v>
      </c>
      <c r="F28" s="394">
        <v>16.8</v>
      </c>
      <c r="G28" s="394">
        <v>16.7</v>
      </c>
      <c r="H28" s="394">
        <v>16.7</v>
      </c>
      <c r="I28" s="394">
        <v>16.600000000000001</v>
      </c>
      <c r="J28" s="394">
        <v>16.600000000000001</v>
      </c>
      <c r="K28" s="394">
        <v>16.600000000000001</v>
      </c>
      <c r="L28" s="393">
        <v>16.5</v>
      </c>
      <c r="M28" s="394">
        <v>16.5</v>
      </c>
      <c r="N28" s="394">
        <v>16.399999999999999</v>
      </c>
    </row>
    <row r="29" spans="2:14" ht="13.5" thickBot="1" x14ac:dyDescent="0.25">
      <c r="B29" s="389">
        <v>63</v>
      </c>
      <c r="C29" s="393">
        <v>16.399999999999999</v>
      </c>
      <c r="D29" s="394">
        <v>16.399999999999999</v>
      </c>
      <c r="E29" s="394">
        <v>16.3</v>
      </c>
      <c r="F29" s="394">
        <v>16.3</v>
      </c>
      <c r="G29" s="394">
        <v>16.2</v>
      </c>
      <c r="H29" s="394">
        <v>16.2</v>
      </c>
      <c r="I29" s="394">
        <v>16.100000000000001</v>
      </c>
      <c r="J29" s="394">
        <v>16.100000000000001</v>
      </c>
      <c r="K29" s="394">
        <v>16.100000000000001</v>
      </c>
      <c r="L29" s="393">
        <v>16</v>
      </c>
      <c r="M29" s="394">
        <v>16</v>
      </c>
      <c r="N29" s="394">
        <v>15.9</v>
      </c>
    </row>
    <row r="30" spans="2:14" ht="13.5" thickBot="1" x14ac:dyDescent="0.25">
      <c r="B30" s="389">
        <v>64</v>
      </c>
      <c r="C30" s="393">
        <v>15.9</v>
      </c>
      <c r="D30" s="394">
        <v>15.9</v>
      </c>
      <c r="E30" s="394">
        <v>15.8</v>
      </c>
      <c r="F30" s="394">
        <v>15.8</v>
      </c>
      <c r="G30" s="394">
        <v>15.7</v>
      </c>
      <c r="H30" s="394">
        <v>15.7</v>
      </c>
      <c r="I30" s="394">
        <v>15.6</v>
      </c>
      <c r="J30" s="394">
        <v>15.6</v>
      </c>
      <c r="K30" s="394">
        <v>15.6</v>
      </c>
      <c r="L30" s="393">
        <v>15.5</v>
      </c>
      <c r="M30" s="394">
        <v>15.5</v>
      </c>
      <c r="N30" s="394">
        <v>15.4</v>
      </c>
    </row>
    <row r="31" spans="2:14" ht="13.5" thickBot="1" x14ac:dyDescent="0.25">
      <c r="B31" s="389">
        <v>65</v>
      </c>
      <c r="C31" s="393">
        <v>15.4</v>
      </c>
      <c r="D31" s="394">
        <v>15.3</v>
      </c>
      <c r="E31" s="394">
        <v>15.3</v>
      </c>
      <c r="F31" s="394">
        <v>15.3</v>
      </c>
      <c r="G31" s="394">
        <v>15.2</v>
      </c>
      <c r="H31" s="394">
        <v>15.2</v>
      </c>
      <c r="I31" s="394">
        <v>15.1</v>
      </c>
      <c r="J31" s="394">
        <v>15.1</v>
      </c>
      <c r="K31" s="394">
        <v>15.1</v>
      </c>
      <c r="L31" s="393">
        <v>15</v>
      </c>
      <c r="M31" s="394">
        <v>15</v>
      </c>
      <c r="N31" s="394">
        <v>14.9</v>
      </c>
    </row>
    <row r="32" spans="2:14" ht="13.5" thickBot="1" x14ac:dyDescent="0.25">
      <c r="B32" s="389">
        <v>66</v>
      </c>
      <c r="C32" s="393">
        <v>14.9</v>
      </c>
      <c r="D32" s="394">
        <v>14.8</v>
      </c>
      <c r="E32" s="394">
        <v>14.8</v>
      </c>
      <c r="F32" s="394">
        <v>14.7</v>
      </c>
      <c r="G32" s="394">
        <v>14.7</v>
      </c>
      <c r="H32" s="394">
        <v>14.7</v>
      </c>
      <c r="I32" s="394">
        <v>14.6</v>
      </c>
      <c r="J32" s="394">
        <v>14.6</v>
      </c>
      <c r="K32" s="394">
        <v>14.5</v>
      </c>
      <c r="L32" s="393">
        <v>14.5</v>
      </c>
      <c r="M32" s="394">
        <v>14.4</v>
      </c>
      <c r="N32" s="394">
        <v>14.4</v>
      </c>
    </row>
    <row r="33" spans="2:16" ht="13.5" thickBot="1" x14ac:dyDescent="0.25">
      <c r="B33" s="389">
        <v>67</v>
      </c>
      <c r="C33" s="393">
        <v>14.4</v>
      </c>
      <c r="D33" s="394">
        <v>14.3</v>
      </c>
      <c r="E33" s="394">
        <v>14.3</v>
      </c>
      <c r="F33" s="394">
        <v>14.2</v>
      </c>
      <c r="G33" s="394">
        <v>14.2</v>
      </c>
      <c r="H33" s="394">
        <v>14.1</v>
      </c>
      <c r="I33" s="394">
        <v>14.1</v>
      </c>
      <c r="J33" s="394">
        <v>14.1</v>
      </c>
      <c r="K33" s="394">
        <v>14</v>
      </c>
      <c r="L33" s="393">
        <v>14</v>
      </c>
      <c r="M33" s="394">
        <v>13.9</v>
      </c>
      <c r="N33" s="394">
        <v>13.9</v>
      </c>
    </row>
    <row r="34" spans="2:16" ht="13.5" thickBot="1" x14ac:dyDescent="0.25">
      <c r="B34" s="389">
        <v>68</v>
      </c>
      <c r="C34" s="393">
        <v>13.8</v>
      </c>
      <c r="D34" s="394">
        <v>13.8</v>
      </c>
      <c r="E34" s="394">
        <v>13.7</v>
      </c>
      <c r="F34" s="394">
        <v>13.7</v>
      </c>
      <c r="G34" s="394">
        <v>13.7</v>
      </c>
      <c r="H34" s="394">
        <v>13.6</v>
      </c>
      <c r="I34" s="394">
        <v>13.6</v>
      </c>
      <c r="J34" s="394">
        <v>13.5</v>
      </c>
      <c r="K34" s="394">
        <v>13.5</v>
      </c>
      <c r="L34" s="393">
        <v>13.4</v>
      </c>
      <c r="M34" s="394">
        <v>13.4</v>
      </c>
      <c r="N34" s="394">
        <v>13.3</v>
      </c>
    </row>
    <row r="35" spans="2:16" ht="13.5" thickBot="1" x14ac:dyDescent="0.25">
      <c r="B35" s="389">
        <v>69</v>
      </c>
      <c r="C35" s="393">
        <v>13.3</v>
      </c>
      <c r="D35" s="394">
        <v>13.3</v>
      </c>
      <c r="E35" s="394">
        <v>13.2</v>
      </c>
      <c r="F35" s="394">
        <v>13.2</v>
      </c>
      <c r="G35" s="394">
        <v>13.1</v>
      </c>
      <c r="H35" s="394">
        <v>13.1</v>
      </c>
      <c r="I35" s="394">
        <v>13</v>
      </c>
      <c r="J35" s="394">
        <v>13</v>
      </c>
      <c r="K35" s="394">
        <v>12.9</v>
      </c>
      <c r="L35" s="393">
        <v>12.9</v>
      </c>
      <c r="M35" s="394">
        <v>12.9</v>
      </c>
      <c r="N35" s="394">
        <v>12.8</v>
      </c>
    </row>
    <row r="36" spans="2:16" ht="13.5" thickBot="1" x14ac:dyDescent="0.25">
      <c r="B36" s="389">
        <v>70</v>
      </c>
      <c r="C36" s="393">
        <v>12.8</v>
      </c>
      <c r="D36" s="394">
        <v>12.7</v>
      </c>
      <c r="E36" s="394">
        <v>12.7</v>
      </c>
      <c r="F36" s="394">
        <v>12.6</v>
      </c>
      <c r="G36" s="394">
        <v>12.6</v>
      </c>
      <c r="H36" s="394">
        <v>12.5</v>
      </c>
      <c r="I36" s="394">
        <v>12.5</v>
      </c>
      <c r="J36" s="394">
        <v>12.4</v>
      </c>
      <c r="K36" s="394">
        <v>12.4</v>
      </c>
      <c r="L36" s="393">
        <v>12.4</v>
      </c>
      <c r="M36" s="394">
        <v>12.3</v>
      </c>
      <c r="N36" s="394">
        <v>12.3</v>
      </c>
    </row>
    <row r="37" spans="2:16" ht="13.5" thickBot="1" x14ac:dyDescent="0.25">
      <c r="B37" s="389">
        <v>71</v>
      </c>
      <c r="C37" s="393">
        <v>12.2</v>
      </c>
      <c r="D37" s="394">
        <v>12.2</v>
      </c>
      <c r="E37" s="394">
        <v>12.1</v>
      </c>
      <c r="F37" s="394">
        <v>12.1</v>
      </c>
      <c r="G37" s="394">
        <v>12</v>
      </c>
      <c r="H37" s="394">
        <v>12</v>
      </c>
      <c r="I37" s="394">
        <v>12</v>
      </c>
      <c r="J37" s="394">
        <v>11.9</v>
      </c>
      <c r="K37" s="394">
        <v>11.9</v>
      </c>
      <c r="L37" s="393">
        <v>11.8</v>
      </c>
      <c r="M37" s="394">
        <v>11.8</v>
      </c>
      <c r="N37" s="394">
        <v>11.7</v>
      </c>
    </row>
    <row r="38" spans="2:16" ht="13.5" thickBot="1" x14ac:dyDescent="0.25">
      <c r="B38" s="389">
        <v>72</v>
      </c>
      <c r="C38" s="393">
        <v>11.7</v>
      </c>
      <c r="D38" s="394">
        <v>11.6</v>
      </c>
      <c r="E38" s="394">
        <v>11.6</v>
      </c>
      <c r="F38" s="394">
        <v>11.5</v>
      </c>
      <c r="G38" s="394">
        <v>11.5</v>
      </c>
      <c r="H38" s="394">
        <v>11.5</v>
      </c>
      <c r="I38" s="394">
        <v>11.4</v>
      </c>
      <c r="J38" s="394">
        <v>11.4</v>
      </c>
      <c r="K38" s="394">
        <v>11.3</v>
      </c>
      <c r="L38" s="393">
        <v>11.3</v>
      </c>
      <c r="M38" s="394">
        <v>11.2</v>
      </c>
      <c r="N38" s="394">
        <v>11.2</v>
      </c>
    </row>
    <row r="39" spans="2:16" ht="13.5" thickBot="1" x14ac:dyDescent="0.25">
      <c r="B39" s="389">
        <v>73</v>
      </c>
      <c r="C39" s="393">
        <v>11.1</v>
      </c>
      <c r="D39" s="394">
        <v>11.1</v>
      </c>
      <c r="E39" s="394">
        <v>11</v>
      </c>
      <c r="F39" s="394">
        <v>11</v>
      </c>
      <c r="G39" s="394">
        <v>11</v>
      </c>
      <c r="H39" s="394">
        <v>10.9</v>
      </c>
      <c r="I39" s="394">
        <v>10.9</v>
      </c>
      <c r="J39" s="394">
        <v>10.8</v>
      </c>
      <c r="K39" s="394">
        <v>10.8</v>
      </c>
      <c r="L39" s="393">
        <v>10.7</v>
      </c>
      <c r="M39" s="394">
        <v>10.7</v>
      </c>
      <c r="N39" s="394">
        <v>10.6</v>
      </c>
    </row>
    <row r="40" spans="2:16" ht="13.5" thickBot="1" x14ac:dyDescent="0.25">
      <c r="B40" s="389">
        <v>74</v>
      </c>
      <c r="C40" s="393">
        <v>10.6</v>
      </c>
      <c r="D40" s="394">
        <v>10.6</v>
      </c>
      <c r="E40" s="394">
        <v>10.5</v>
      </c>
      <c r="F40" s="394">
        <v>10.5</v>
      </c>
      <c r="G40" s="394">
        <v>10.4</v>
      </c>
      <c r="H40" s="394">
        <v>10.4</v>
      </c>
      <c r="I40" s="394">
        <v>10.3</v>
      </c>
      <c r="J40" s="394">
        <v>10.3</v>
      </c>
      <c r="K40" s="394">
        <v>10.199999999999999</v>
      </c>
      <c r="L40" s="393">
        <v>10.199999999999999</v>
      </c>
      <c r="M40" s="394">
        <v>10.199999999999999</v>
      </c>
      <c r="N40" s="394">
        <v>10.1</v>
      </c>
    </row>
    <row r="41" spans="2:16" ht="13.5" thickBot="1" x14ac:dyDescent="0.25">
      <c r="B41" s="389">
        <v>75</v>
      </c>
      <c r="C41" s="393">
        <v>10.1</v>
      </c>
      <c r="D41" s="383"/>
      <c r="E41" s="383"/>
      <c r="F41" s="383"/>
      <c r="G41" s="383"/>
      <c r="H41" s="383"/>
      <c r="I41" s="383"/>
      <c r="J41" s="383"/>
      <c r="K41" s="383"/>
      <c r="L41" s="383"/>
      <c r="M41" s="383"/>
      <c r="N41" s="383"/>
    </row>
    <row r="42" spans="2:16" x14ac:dyDescent="0.2">
      <c r="B42" s="382"/>
      <c r="C42" s="383"/>
      <c r="D42" s="383"/>
      <c r="E42" s="383"/>
      <c r="F42" s="395"/>
      <c r="G42" s="383"/>
      <c r="H42" s="383"/>
      <c r="I42" s="383"/>
      <c r="J42" s="383"/>
      <c r="K42" s="383"/>
      <c r="L42" s="383"/>
      <c r="M42" s="383"/>
      <c r="N42" s="383"/>
    </row>
    <row r="43" spans="2:16" x14ac:dyDescent="0.2">
      <c r="B43" s="383"/>
      <c r="C43" s="383"/>
      <c r="D43" s="383"/>
      <c r="E43" s="383"/>
      <c r="F43" s="383"/>
      <c r="G43" s="383"/>
      <c r="H43" s="386" t="s">
        <v>466</v>
      </c>
      <c r="I43" s="383"/>
      <c r="J43" s="383"/>
      <c r="K43" s="383"/>
      <c r="L43" s="383"/>
      <c r="M43" s="383"/>
      <c r="N43" s="383"/>
    </row>
    <row r="44" spans="2:16" ht="13.5" thickBot="1" x14ac:dyDescent="0.25">
      <c r="B44" s="382" t="s">
        <v>468</v>
      </c>
      <c r="C44" s="383"/>
      <c r="D44" s="383"/>
      <c r="E44" s="383"/>
      <c r="F44" s="383"/>
      <c r="G44" s="383"/>
      <c r="H44" s="386" t="s">
        <v>467</v>
      </c>
      <c r="I44" s="383"/>
      <c r="J44" s="383"/>
      <c r="K44" s="383"/>
      <c r="L44" s="383"/>
      <c r="M44" s="383"/>
      <c r="N44" s="383"/>
    </row>
    <row r="45" spans="2:16" ht="13.5" thickBot="1" x14ac:dyDescent="0.25">
      <c r="B45" s="745" t="s">
        <v>256</v>
      </c>
      <c r="C45" s="747" t="s">
        <v>260</v>
      </c>
      <c r="D45" s="748"/>
      <c r="E45" s="748"/>
      <c r="F45" s="748"/>
      <c r="G45" s="748"/>
      <c r="H45" s="748"/>
      <c r="I45" s="748"/>
      <c r="J45" s="748"/>
      <c r="K45" s="748"/>
      <c r="L45" s="748"/>
      <c r="M45" s="748"/>
      <c r="N45" s="749"/>
    </row>
    <row r="46" spans="2:16" ht="13.5" thickBot="1" x14ac:dyDescent="0.25">
      <c r="B46" s="746"/>
      <c r="C46" s="387">
        <v>0</v>
      </c>
      <c r="D46" s="388">
        <v>1</v>
      </c>
      <c r="E46" s="388">
        <v>2</v>
      </c>
      <c r="F46" s="388">
        <v>3</v>
      </c>
      <c r="G46" s="388">
        <v>4</v>
      </c>
      <c r="H46" s="388">
        <v>5</v>
      </c>
      <c r="I46" s="388">
        <v>6</v>
      </c>
      <c r="J46" s="388">
        <v>7</v>
      </c>
      <c r="K46" s="388">
        <v>8</v>
      </c>
      <c r="L46" s="388">
        <v>9</v>
      </c>
      <c r="M46" s="388">
        <v>10</v>
      </c>
      <c r="N46" s="388">
        <v>11</v>
      </c>
      <c r="P46" t="s">
        <v>483</v>
      </c>
    </row>
    <row r="47" spans="2:16" ht="13.5" thickBot="1" x14ac:dyDescent="0.25">
      <c r="B47" s="389" t="s">
        <v>465</v>
      </c>
      <c r="C47" s="393">
        <v>22.5</v>
      </c>
      <c r="D47" s="396"/>
      <c r="E47" s="391"/>
      <c r="F47" s="391"/>
      <c r="G47" s="391"/>
      <c r="H47" s="391"/>
      <c r="I47" s="391"/>
      <c r="J47" s="391"/>
      <c r="K47" s="391"/>
      <c r="L47" s="391"/>
      <c r="M47" s="391"/>
      <c r="N47" s="392"/>
    </row>
    <row r="48" spans="2:16" ht="13.5" thickBot="1" x14ac:dyDescent="0.25">
      <c r="B48" s="389">
        <v>50</v>
      </c>
      <c r="C48" s="393">
        <v>22.5</v>
      </c>
      <c r="D48" s="394">
        <v>22.5</v>
      </c>
      <c r="E48" s="394">
        <v>22.4</v>
      </c>
      <c r="F48" s="394">
        <v>22.4</v>
      </c>
      <c r="G48" s="394">
        <v>22.4</v>
      </c>
      <c r="H48" s="394">
        <v>22.4</v>
      </c>
      <c r="I48" s="394">
        <v>22.3</v>
      </c>
      <c r="J48" s="394">
        <v>22.3</v>
      </c>
      <c r="K48" s="394">
        <v>22.3</v>
      </c>
      <c r="L48" s="393">
        <v>22.3</v>
      </c>
      <c r="M48" s="394">
        <v>22.2</v>
      </c>
      <c r="N48" s="394">
        <v>22.2</v>
      </c>
    </row>
    <row r="49" spans="2:14" ht="13.5" thickBot="1" x14ac:dyDescent="0.25">
      <c r="B49" s="389">
        <v>51</v>
      </c>
      <c r="C49" s="393">
        <v>22.2</v>
      </c>
      <c r="D49" s="394">
        <v>22.2</v>
      </c>
      <c r="E49" s="394">
        <v>22.1</v>
      </c>
      <c r="F49" s="394">
        <v>22.1</v>
      </c>
      <c r="G49" s="394">
        <v>22.1</v>
      </c>
      <c r="H49" s="394">
        <v>22.1</v>
      </c>
      <c r="I49" s="394">
        <v>22</v>
      </c>
      <c r="J49" s="394">
        <v>22</v>
      </c>
      <c r="K49" s="394">
        <v>22</v>
      </c>
      <c r="L49" s="393">
        <v>21.9</v>
      </c>
      <c r="M49" s="394">
        <v>21.9</v>
      </c>
      <c r="N49" s="394">
        <v>21.9</v>
      </c>
    </row>
    <row r="50" spans="2:14" ht="13.5" thickBot="1" x14ac:dyDescent="0.25">
      <c r="B50" s="389">
        <v>52</v>
      </c>
      <c r="C50" s="393">
        <v>21.9</v>
      </c>
      <c r="D50" s="394">
        <v>21.8</v>
      </c>
      <c r="E50" s="394">
        <v>21.8</v>
      </c>
      <c r="F50" s="394">
        <v>21.8</v>
      </c>
      <c r="G50" s="394">
        <v>21.7</v>
      </c>
      <c r="H50" s="394">
        <v>21.7</v>
      </c>
      <c r="I50" s="394">
        <v>21.7</v>
      </c>
      <c r="J50" s="394">
        <v>21.7</v>
      </c>
      <c r="K50" s="394">
        <v>21.6</v>
      </c>
      <c r="L50" s="393">
        <v>21.6</v>
      </c>
      <c r="M50" s="394">
        <v>21.6</v>
      </c>
      <c r="N50" s="394">
        <v>21.5</v>
      </c>
    </row>
    <row r="51" spans="2:14" ht="13.5" thickBot="1" x14ac:dyDescent="0.25">
      <c r="B51" s="389">
        <v>53</v>
      </c>
      <c r="C51" s="393">
        <v>21.5</v>
      </c>
      <c r="D51" s="394">
        <v>21.5</v>
      </c>
      <c r="E51" s="394">
        <v>21.5</v>
      </c>
      <c r="F51" s="394">
        <v>21.4</v>
      </c>
      <c r="G51" s="394">
        <v>21.4</v>
      </c>
      <c r="H51" s="394">
        <v>21.4</v>
      </c>
      <c r="I51" s="394">
        <v>21.3</v>
      </c>
      <c r="J51" s="394">
        <v>21.3</v>
      </c>
      <c r="K51" s="394">
        <v>21.3</v>
      </c>
      <c r="L51" s="393">
        <v>21.2</v>
      </c>
      <c r="M51" s="394">
        <v>21.2</v>
      </c>
      <c r="N51" s="394">
        <v>21.2</v>
      </c>
    </row>
    <row r="52" spans="2:14" ht="13.5" thickBot="1" x14ac:dyDescent="0.25">
      <c r="B52" s="389">
        <v>54</v>
      </c>
      <c r="C52" s="393">
        <v>21.1</v>
      </c>
      <c r="D52" s="394">
        <v>21.1</v>
      </c>
      <c r="E52" s="394">
        <v>21.1</v>
      </c>
      <c r="F52" s="394">
        <v>21</v>
      </c>
      <c r="G52" s="394">
        <v>21</v>
      </c>
      <c r="H52" s="394">
        <v>21</v>
      </c>
      <c r="I52" s="394">
        <v>21</v>
      </c>
      <c r="J52" s="394">
        <v>20.9</v>
      </c>
      <c r="K52" s="394">
        <v>20.9</v>
      </c>
      <c r="L52" s="393">
        <v>20.9</v>
      </c>
      <c r="M52" s="394">
        <v>20.8</v>
      </c>
      <c r="N52" s="394">
        <v>20.8</v>
      </c>
    </row>
    <row r="53" spans="2:14" ht="13.5" thickBot="1" x14ac:dyDescent="0.25">
      <c r="B53" s="389">
        <v>55</v>
      </c>
      <c r="C53" s="393">
        <v>20.8</v>
      </c>
      <c r="D53" s="394">
        <v>20.7</v>
      </c>
      <c r="E53" s="394">
        <v>20.7</v>
      </c>
      <c r="F53" s="394">
        <v>20.7</v>
      </c>
      <c r="G53" s="394">
        <v>20.6</v>
      </c>
      <c r="H53" s="394">
        <v>20.6</v>
      </c>
      <c r="I53" s="394">
        <v>20.6</v>
      </c>
      <c r="J53" s="394">
        <v>20.5</v>
      </c>
      <c r="K53" s="394">
        <v>20.5</v>
      </c>
      <c r="L53" s="393">
        <v>20.5</v>
      </c>
      <c r="M53" s="394">
        <v>20.399999999999999</v>
      </c>
      <c r="N53" s="394">
        <v>20.399999999999999</v>
      </c>
    </row>
    <row r="54" spans="2:14" ht="13.5" thickBot="1" x14ac:dyDescent="0.25">
      <c r="B54" s="389">
        <v>56</v>
      </c>
      <c r="C54" s="393">
        <v>20.3</v>
      </c>
      <c r="D54" s="394">
        <v>20.3</v>
      </c>
      <c r="E54" s="394">
        <v>20.3</v>
      </c>
      <c r="F54" s="394">
        <v>20.2</v>
      </c>
      <c r="G54" s="394">
        <v>20.2</v>
      </c>
      <c r="H54" s="394">
        <v>20.2</v>
      </c>
      <c r="I54" s="394">
        <v>20.100000000000001</v>
      </c>
      <c r="J54" s="394">
        <v>20.100000000000001</v>
      </c>
      <c r="K54" s="394">
        <v>20.100000000000001</v>
      </c>
      <c r="L54" s="393">
        <v>20</v>
      </c>
      <c r="M54" s="394">
        <v>20</v>
      </c>
      <c r="N54" s="394">
        <v>20</v>
      </c>
    </row>
    <row r="55" spans="2:14" ht="13.5" thickBot="1" x14ac:dyDescent="0.25">
      <c r="B55" s="389">
        <v>57</v>
      </c>
      <c r="C55" s="393">
        <v>19.899999999999999</v>
      </c>
      <c r="D55" s="394">
        <v>19.899999999999999</v>
      </c>
      <c r="E55" s="394">
        <v>19.8</v>
      </c>
      <c r="F55" s="394">
        <v>19.8</v>
      </c>
      <c r="G55" s="394">
        <v>19.8</v>
      </c>
      <c r="H55" s="394">
        <v>19.7</v>
      </c>
      <c r="I55" s="394">
        <v>19.7</v>
      </c>
      <c r="J55" s="394">
        <v>19.7</v>
      </c>
      <c r="K55" s="394">
        <v>19.600000000000001</v>
      </c>
      <c r="L55" s="393">
        <v>19.600000000000001</v>
      </c>
      <c r="M55" s="394">
        <v>19.600000000000001</v>
      </c>
      <c r="N55" s="394">
        <v>19.5</v>
      </c>
    </row>
    <row r="56" spans="2:14" ht="13.5" thickBot="1" x14ac:dyDescent="0.25">
      <c r="B56" s="389">
        <v>58</v>
      </c>
      <c r="C56" s="393">
        <v>19.5</v>
      </c>
      <c r="D56" s="394">
        <v>19.399999999999999</v>
      </c>
      <c r="E56" s="394">
        <v>19.399999999999999</v>
      </c>
      <c r="F56" s="394">
        <v>19.399999999999999</v>
      </c>
      <c r="G56" s="394">
        <v>19.3</v>
      </c>
      <c r="H56" s="394">
        <v>19.3</v>
      </c>
      <c r="I56" s="394">
        <v>19.3</v>
      </c>
      <c r="J56" s="394">
        <v>19.2</v>
      </c>
      <c r="K56" s="394">
        <v>19.2</v>
      </c>
      <c r="L56" s="393">
        <v>19.100000000000001</v>
      </c>
      <c r="M56" s="394">
        <v>19.100000000000001</v>
      </c>
      <c r="N56" s="394">
        <v>19.100000000000001</v>
      </c>
    </row>
    <row r="57" spans="2:14" ht="13.5" thickBot="1" x14ac:dyDescent="0.25">
      <c r="B57" s="389">
        <v>59</v>
      </c>
      <c r="C57" s="393">
        <v>19</v>
      </c>
      <c r="D57" s="394">
        <v>19</v>
      </c>
      <c r="E57" s="394">
        <v>19</v>
      </c>
      <c r="F57" s="394">
        <v>18.899999999999999</v>
      </c>
      <c r="G57" s="394">
        <v>18.899999999999999</v>
      </c>
      <c r="H57" s="394">
        <v>18.8</v>
      </c>
      <c r="I57" s="394">
        <v>18.8</v>
      </c>
      <c r="J57" s="394">
        <v>18.8</v>
      </c>
      <c r="K57" s="394">
        <v>18.7</v>
      </c>
      <c r="L57" s="393">
        <v>18.7</v>
      </c>
      <c r="M57" s="394">
        <v>18.7</v>
      </c>
      <c r="N57" s="394">
        <v>18.600000000000001</v>
      </c>
    </row>
    <row r="58" spans="2:14" ht="13.5" thickBot="1" x14ac:dyDescent="0.25">
      <c r="B58" s="389">
        <v>60</v>
      </c>
      <c r="C58" s="393">
        <v>18.600000000000001</v>
      </c>
      <c r="D58" s="394">
        <v>18.5</v>
      </c>
      <c r="E58" s="394">
        <v>18.5</v>
      </c>
      <c r="F58" s="394">
        <v>18.5</v>
      </c>
      <c r="G58" s="394">
        <v>18.399999999999999</v>
      </c>
      <c r="H58" s="394">
        <v>18.399999999999999</v>
      </c>
      <c r="I58" s="394">
        <v>18.3</v>
      </c>
      <c r="J58" s="394">
        <v>18.3</v>
      </c>
      <c r="K58" s="394">
        <v>18.3</v>
      </c>
      <c r="L58" s="393">
        <v>18.2</v>
      </c>
      <c r="M58" s="394">
        <v>18.2</v>
      </c>
      <c r="N58" s="394">
        <v>18.2</v>
      </c>
    </row>
    <row r="59" spans="2:14" ht="13.5" thickBot="1" x14ac:dyDescent="0.25">
      <c r="B59" s="389">
        <v>61</v>
      </c>
      <c r="C59" s="393">
        <v>18.100000000000001</v>
      </c>
      <c r="D59" s="394">
        <v>18.100000000000001</v>
      </c>
      <c r="E59" s="394">
        <v>18</v>
      </c>
      <c r="F59" s="394">
        <v>18</v>
      </c>
      <c r="G59" s="394">
        <v>18</v>
      </c>
      <c r="H59" s="394">
        <v>17.899999999999999</v>
      </c>
      <c r="I59" s="394">
        <v>17.899999999999999</v>
      </c>
      <c r="J59" s="394">
        <v>17.8</v>
      </c>
      <c r="K59" s="394">
        <v>17.8</v>
      </c>
      <c r="L59" s="393">
        <v>17.8</v>
      </c>
      <c r="M59" s="394">
        <v>17.7</v>
      </c>
      <c r="N59" s="394">
        <v>17.7</v>
      </c>
    </row>
    <row r="60" spans="2:14" ht="13.5" thickBot="1" x14ac:dyDescent="0.25">
      <c r="B60" s="389">
        <v>62</v>
      </c>
      <c r="C60" s="393">
        <v>17.600000000000001</v>
      </c>
      <c r="D60" s="394">
        <v>17.600000000000001</v>
      </c>
      <c r="E60" s="394">
        <v>17.600000000000001</v>
      </c>
      <c r="F60" s="394">
        <v>17.5</v>
      </c>
      <c r="G60" s="394">
        <v>17.5</v>
      </c>
      <c r="H60" s="394">
        <v>17.399999999999999</v>
      </c>
      <c r="I60" s="394">
        <v>17.399999999999999</v>
      </c>
      <c r="J60" s="394">
        <v>17.399999999999999</v>
      </c>
      <c r="K60" s="394">
        <v>17.3</v>
      </c>
      <c r="L60" s="393">
        <v>17.3</v>
      </c>
      <c r="M60" s="394">
        <v>17.2</v>
      </c>
      <c r="N60" s="394">
        <v>17.2</v>
      </c>
    </row>
    <row r="61" spans="2:14" ht="13.5" thickBot="1" x14ac:dyDescent="0.25">
      <c r="B61" s="389">
        <v>63</v>
      </c>
      <c r="C61" s="393">
        <v>17.2</v>
      </c>
      <c r="D61" s="394">
        <v>17.100000000000001</v>
      </c>
      <c r="E61" s="394">
        <v>17.100000000000001</v>
      </c>
      <c r="F61" s="394">
        <v>17</v>
      </c>
      <c r="G61" s="394">
        <v>17</v>
      </c>
      <c r="H61" s="394">
        <v>17</v>
      </c>
      <c r="I61" s="394">
        <v>16.899999999999999</v>
      </c>
      <c r="J61" s="394">
        <v>16.899999999999999</v>
      </c>
      <c r="K61" s="394">
        <v>16.8</v>
      </c>
      <c r="L61" s="393">
        <v>16.8</v>
      </c>
      <c r="M61" s="394">
        <v>16.8</v>
      </c>
      <c r="N61" s="394">
        <v>16.7</v>
      </c>
    </row>
    <row r="62" spans="2:14" ht="13.5" thickBot="1" x14ac:dyDescent="0.25">
      <c r="B62" s="389">
        <v>64</v>
      </c>
      <c r="C62" s="393">
        <v>16.7</v>
      </c>
      <c r="D62" s="394">
        <v>16.600000000000001</v>
      </c>
      <c r="E62" s="394">
        <v>16.600000000000001</v>
      </c>
      <c r="F62" s="394">
        <v>16.5</v>
      </c>
      <c r="G62" s="394">
        <v>16.5</v>
      </c>
      <c r="H62" s="394">
        <v>16.5</v>
      </c>
      <c r="I62" s="394">
        <v>16.399999999999999</v>
      </c>
      <c r="J62" s="394">
        <v>16.399999999999999</v>
      </c>
      <c r="K62" s="394">
        <v>16.3</v>
      </c>
      <c r="L62" s="393">
        <v>16.3</v>
      </c>
      <c r="M62" s="394">
        <v>16.3</v>
      </c>
      <c r="N62" s="394">
        <v>16.2</v>
      </c>
    </row>
    <row r="63" spans="2:14" ht="13.5" thickBot="1" x14ac:dyDescent="0.25">
      <c r="B63" s="389">
        <v>65</v>
      </c>
      <c r="C63" s="393">
        <v>16.2</v>
      </c>
      <c r="D63" s="394">
        <v>16.100000000000001</v>
      </c>
      <c r="E63" s="394">
        <v>16.100000000000001</v>
      </c>
      <c r="F63" s="394">
        <v>16</v>
      </c>
      <c r="G63" s="394">
        <v>16</v>
      </c>
      <c r="H63" s="394">
        <v>16</v>
      </c>
      <c r="I63" s="394">
        <v>15.9</v>
      </c>
      <c r="J63" s="394">
        <v>15.9</v>
      </c>
      <c r="K63" s="394">
        <v>15.8</v>
      </c>
      <c r="L63" s="393">
        <v>15.8</v>
      </c>
      <c r="M63" s="394">
        <v>15.8</v>
      </c>
      <c r="N63" s="394">
        <v>15.7</v>
      </c>
    </row>
    <row r="64" spans="2:14" ht="13.5" thickBot="1" x14ac:dyDescent="0.25">
      <c r="B64" s="389">
        <v>66</v>
      </c>
      <c r="C64" s="393">
        <v>15.7</v>
      </c>
      <c r="D64" s="394">
        <v>15.6</v>
      </c>
      <c r="E64" s="394">
        <v>15.6</v>
      </c>
      <c r="F64" s="394">
        <v>15.5</v>
      </c>
      <c r="G64" s="394">
        <v>15.5</v>
      </c>
      <c r="H64" s="394">
        <v>15.5</v>
      </c>
      <c r="I64" s="394">
        <v>15.4</v>
      </c>
      <c r="J64" s="394">
        <v>15.4</v>
      </c>
      <c r="K64" s="394">
        <v>15.3</v>
      </c>
      <c r="L64" s="393">
        <v>15.3</v>
      </c>
      <c r="M64" s="394">
        <v>15.2</v>
      </c>
      <c r="N64" s="394">
        <v>15.2</v>
      </c>
    </row>
    <row r="65" spans="2:14" ht="13.5" thickBot="1" x14ac:dyDescent="0.25">
      <c r="B65" s="389">
        <v>67</v>
      </c>
      <c r="C65" s="393">
        <v>15.2</v>
      </c>
      <c r="D65" s="394">
        <v>15.1</v>
      </c>
      <c r="E65" s="394">
        <v>15.1</v>
      </c>
      <c r="F65" s="394">
        <v>15</v>
      </c>
      <c r="G65" s="394">
        <v>15</v>
      </c>
      <c r="H65" s="394">
        <v>14.9</v>
      </c>
      <c r="I65" s="394">
        <v>14.9</v>
      </c>
      <c r="J65" s="394">
        <v>14.9</v>
      </c>
      <c r="K65" s="394">
        <v>14.8</v>
      </c>
      <c r="L65" s="393">
        <v>14.8</v>
      </c>
      <c r="M65" s="394">
        <v>14.7</v>
      </c>
      <c r="N65" s="394">
        <v>14.7</v>
      </c>
    </row>
    <row r="66" spans="2:14" ht="13.5" thickBot="1" x14ac:dyDescent="0.25">
      <c r="B66" s="389">
        <v>68</v>
      </c>
      <c r="C66" s="393">
        <v>14.6</v>
      </c>
      <c r="D66" s="394">
        <v>14.6</v>
      </c>
      <c r="E66" s="394">
        <v>14.5</v>
      </c>
      <c r="F66" s="394">
        <v>14.5</v>
      </c>
      <c r="G66" s="394">
        <v>14.5</v>
      </c>
      <c r="H66" s="394">
        <v>14.4</v>
      </c>
      <c r="I66" s="394">
        <v>14.4</v>
      </c>
      <c r="J66" s="394">
        <v>14.3</v>
      </c>
      <c r="K66" s="394">
        <v>14.3</v>
      </c>
      <c r="L66" s="393">
        <v>14.2</v>
      </c>
      <c r="M66" s="394">
        <v>14.2</v>
      </c>
      <c r="N66" s="394">
        <v>14.1</v>
      </c>
    </row>
    <row r="67" spans="2:14" ht="13.5" thickBot="1" x14ac:dyDescent="0.25">
      <c r="B67" s="389">
        <v>69</v>
      </c>
      <c r="C67" s="393">
        <v>14.1</v>
      </c>
      <c r="D67" s="394">
        <v>14.1</v>
      </c>
      <c r="E67" s="394">
        <v>14</v>
      </c>
      <c r="F67" s="394">
        <v>14</v>
      </c>
      <c r="G67" s="394">
        <v>13.9</v>
      </c>
      <c r="H67" s="394">
        <v>13.9</v>
      </c>
      <c r="I67" s="394">
        <v>13.8</v>
      </c>
      <c r="J67" s="394">
        <v>13.8</v>
      </c>
      <c r="K67" s="394">
        <v>13.7</v>
      </c>
      <c r="L67" s="393">
        <v>13.7</v>
      </c>
      <c r="M67" s="394">
        <v>13.7</v>
      </c>
      <c r="N67" s="394">
        <v>13.6</v>
      </c>
    </row>
    <row r="68" spans="2:14" ht="13.5" thickBot="1" x14ac:dyDescent="0.25">
      <c r="B68" s="389">
        <v>70</v>
      </c>
      <c r="C68" s="393">
        <v>13.6</v>
      </c>
      <c r="D68" s="394">
        <v>13.5</v>
      </c>
      <c r="E68" s="394">
        <v>13.5</v>
      </c>
      <c r="F68" s="394">
        <v>13.4</v>
      </c>
      <c r="G68" s="394">
        <v>13.4</v>
      </c>
      <c r="H68" s="394">
        <v>13.3</v>
      </c>
      <c r="I68" s="394">
        <v>13.3</v>
      </c>
      <c r="J68" s="394">
        <v>13.3</v>
      </c>
      <c r="K68" s="394">
        <v>13.2</v>
      </c>
      <c r="L68" s="393">
        <v>13.2</v>
      </c>
      <c r="M68" s="394">
        <v>13.1</v>
      </c>
      <c r="N68" s="394">
        <v>13.1</v>
      </c>
    </row>
    <row r="69" spans="2:14" ht="13.5" thickBot="1" x14ac:dyDescent="0.25">
      <c r="B69" s="389">
        <v>71</v>
      </c>
      <c r="C69" s="393">
        <v>13</v>
      </c>
      <c r="D69" s="394">
        <v>13</v>
      </c>
      <c r="E69" s="394">
        <v>12.9</v>
      </c>
      <c r="F69" s="394">
        <v>12.9</v>
      </c>
      <c r="G69" s="394">
        <v>12.9</v>
      </c>
      <c r="H69" s="394">
        <v>12.8</v>
      </c>
      <c r="I69" s="394">
        <v>12.8</v>
      </c>
      <c r="J69" s="394">
        <v>12.7</v>
      </c>
      <c r="K69" s="394">
        <v>12.7</v>
      </c>
      <c r="L69" s="393">
        <v>12.6</v>
      </c>
      <c r="M69" s="394">
        <v>12.6</v>
      </c>
      <c r="N69" s="394">
        <v>12.5</v>
      </c>
    </row>
    <row r="70" spans="2:14" ht="13.5" thickBot="1" x14ac:dyDescent="0.25">
      <c r="B70" s="389">
        <v>72</v>
      </c>
      <c r="C70" s="393">
        <v>12.5</v>
      </c>
      <c r="D70" s="394">
        <v>12.4</v>
      </c>
      <c r="E70" s="394">
        <v>12.4</v>
      </c>
      <c r="F70" s="394">
        <v>12.4</v>
      </c>
      <c r="G70" s="394">
        <v>12.3</v>
      </c>
      <c r="H70" s="394">
        <v>12.3</v>
      </c>
      <c r="I70" s="394">
        <v>12.2</v>
      </c>
      <c r="J70" s="394">
        <v>12.2</v>
      </c>
      <c r="K70" s="394">
        <v>12.1</v>
      </c>
      <c r="L70" s="393">
        <v>12.1</v>
      </c>
      <c r="M70" s="394">
        <v>12</v>
      </c>
      <c r="N70" s="394">
        <v>12</v>
      </c>
    </row>
    <row r="71" spans="2:14" ht="13.5" thickBot="1" x14ac:dyDescent="0.25">
      <c r="B71" s="389">
        <v>73</v>
      </c>
      <c r="C71" s="393">
        <v>11.9</v>
      </c>
      <c r="D71" s="394">
        <v>11.9</v>
      </c>
      <c r="E71" s="394">
        <v>11.9</v>
      </c>
      <c r="F71" s="394">
        <v>11.8</v>
      </c>
      <c r="G71" s="394">
        <v>11.8</v>
      </c>
      <c r="H71" s="394">
        <v>11.7</v>
      </c>
      <c r="I71" s="394">
        <v>11.7</v>
      </c>
      <c r="J71" s="394">
        <v>11.6</v>
      </c>
      <c r="K71" s="394">
        <v>11.6</v>
      </c>
      <c r="L71" s="393">
        <v>11.5</v>
      </c>
      <c r="M71" s="394">
        <v>11.5</v>
      </c>
      <c r="N71" s="394">
        <v>11.5</v>
      </c>
    </row>
    <row r="72" spans="2:14" ht="13.5" thickBot="1" x14ac:dyDescent="0.25">
      <c r="B72" s="389">
        <v>74</v>
      </c>
      <c r="C72" s="393">
        <v>11.4</v>
      </c>
      <c r="D72" s="394">
        <v>11.4</v>
      </c>
      <c r="E72" s="394">
        <v>11.3</v>
      </c>
      <c r="F72" s="394">
        <v>11.3</v>
      </c>
      <c r="G72" s="394">
        <v>11.2</v>
      </c>
      <c r="H72" s="394">
        <v>11.2</v>
      </c>
      <c r="I72" s="394">
        <v>11.1</v>
      </c>
      <c r="J72" s="394">
        <v>11.1</v>
      </c>
      <c r="K72" s="394">
        <v>11</v>
      </c>
      <c r="L72" s="393">
        <v>11</v>
      </c>
      <c r="M72" s="394">
        <v>11</v>
      </c>
      <c r="N72" s="394">
        <v>10.9</v>
      </c>
    </row>
    <row r="73" spans="2:14" ht="13.5" thickBot="1" x14ac:dyDescent="0.25">
      <c r="B73" s="389">
        <v>75</v>
      </c>
      <c r="C73" s="393">
        <v>10.9</v>
      </c>
      <c r="D73" s="383"/>
      <c r="E73" s="383"/>
      <c r="F73" s="383"/>
      <c r="G73" s="383"/>
      <c r="H73" s="383"/>
      <c r="I73" s="383"/>
      <c r="J73" s="383"/>
      <c r="K73" s="383"/>
      <c r="L73" s="383"/>
      <c r="M73" s="383"/>
      <c r="N73" s="383"/>
    </row>
  </sheetData>
  <mergeCells count="4">
    <mergeCell ref="B13:B14"/>
    <mergeCell ref="C13:N13"/>
    <mergeCell ref="B45:B46"/>
    <mergeCell ref="C45:N45"/>
  </mergeCells>
  <hyperlinks>
    <hyperlink ref="H44" r:id="rId1"/>
    <hyperlink ref="H43" r:id="rId2"/>
  </hyperlinks>
  <pageMargins left="0.7" right="0.7" top="0.75" bottom="0.75" header="0.3" footer="0.3"/>
  <pageSetup paperSize="9" orientation="portrait" r:id="rId3"/>
  <headerFooter>
    <oddHeader>&amp;CPROTECT - SCHEME MANAGEMENT&amp;L_x000D_&amp;Z&amp;F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N89"/>
  <sheetViews>
    <sheetView topLeftCell="A10" workbookViewId="0">
      <selection activeCell="B133" sqref="B133"/>
    </sheetView>
  </sheetViews>
  <sheetFormatPr defaultRowHeight="12.75" x14ac:dyDescent="0.2"/>
  <sheetData>
    <row r="1" spans="1:14" ht="20.25" x14ac:dyDescent="0.3">
      <c r="A1" s="13" t="s">
        <v>19</v>
      </c>
      <c r="B1" s="12"/>
      <c r="C1" s="12"/>
      <c r="D1" s="12"/>
      <c r="E1" s="12"/>
      <c r="F1" s="12"/>
      <c r="G1" s="12"/>
      <c r="H1" s="12"/>
      <c r="I1" s="12"/>
    </row>
    <row r="2" spans="1:14" ht="15.75" x14ac:dyDescent="0.25">
      <c r="A2" s="27" t="str">
        <f>IF(title="&gt; Enter workbook title here","Enter workbook title in Cover sheet",title)</f>
        <v>Scottish Fire pension  projection calculator</v>
      </c>
      <c r="B2" s="11"/>
      <c r="C2" s="11"/>
      <c r="D2" s="11"/>
      <c r="E2" s="11"/>
      <c r="F2" s="11"/>
      <c r="G2" s="11"/>
      <c r="H2" s="11"/>
      <c r="I2" s="11"/>
    </row>
    <row r="3" spans="1:14" ht="15.75" x14ac:dyDescent="0.25">
      <c r="A3" s="14" t="s">
        <v>252</v>
      </c>
      <c r="B3" s="11"/>
      <c r="C3" s="11"/>
      <c r="D3" s="11"/>
      <c r="E3" s="11"/>
      <c r="F3" s="11"/>
      <c r="G3" s="11"/>
      <c r="H3" s="11"/>
      <c r="I3" s="11"/>
    </row>
    <row r="4" spans="1:14" x14ac:dyDescent="0.2">
      <c r="A4" s="7" t="str">
        <f ca="1">CELL("filename",A1)</f>
        <v>C:\Users\u205538\Downloads\[NHS_Pension_Calculator_v2.3 22 Dec 2020 (6).xlsx]LRF</v>
      </c>
    </row>
    <row r="6" spans="1:14" x14ac:dyDescent="0.2">
      <c r="B6" s="35" t="s">
        <v>632</v>
      </c>
    </row>
    <row r="10" spans="1:14" x14ac:dyDescent="0.2">
      <c r="B10" s="397" t="s">
        <v>573</v>
      </c>
      <c r="C10" s="398"/>
      <c r="D10" s="398"/>
      <c r="E10" s="398"/>
      <c r="F10" s="398"/>
      <c r="G10" s="398"/>
      <c r="H10" s="398"/>
      <c r="I10" s="398"/>
      <c r="J10" s="398"/>
      <c r="K10" s="398"/>
      <c r="L10" s="398"/>
      <c r="M10" s="398"/>
      <c r="N10" s="398"/>
    </row>
    <row r="11" spans="1:14" x14ac:dyDescent="0.2">
      <c r="B11" s="1" t="s">
        <v>633</v>
      </c>
      <c r="C11" s="398"/>
      <c r="D11" s="398"/>
      <c r="E11" s="398"/>
      <c r="F11" s="398"/>
      <c r="G11" s="398"/>
      <c r="H11" s="398"/>
      <c r="I11" s="398"/>
      <c r="J11" s="398"/>
      <c r="K11" s="398"/>
      <c r="L11" s="398"/>
      <c r="M11" s="398"/>
      <c r="N11" s="398"/>
    </row>
    <row r="12" spans="1:14" x14ac:dyDescent="0.2">
      <c r="B12" s="397" t="s">
        <v>574</v>
      </c>
      <c r="C12" s="398"/>
      <c r="D12" s="398"/>
      <c r="E12" s="398"/>
      <c r="F12" s="398"/>
      <c r="G12" s="398"/>
      <c r="H12" s="398"/>
      <c r="I12" s="398"/>
      <c r="J12" s="398"/>
      <c r="K12" s="398"/>
      <c r="L12" s="398"/>
      <c r="M12" s="398"/>
      <c r="N12" s="398"/>
    </row>
    <row r="13" spans="1:14" x14ac:dyDescent="0.2">
      <c r="B13" s="397" t="s">
        <v>575</v>
      </c>
      <c r="C13" s="398"/>
      <c r="D13" s="398"/>
      <c r="E13" s="398"/>
      <c r="F13" s="398"/>
      <c r="G13" s="398"/>
      <c r="H13" s="398"/>
      <c r="I13" s="398"/>
      <c r="J13" s="398"/>
      <c r="K13" s="398"/>
      <c r="L13" s="398"/>
      <c r="M13" s="398"/>
      <c r="N13" s="398"/>
    </row>
    <row r="14" spans="1:14" ht="13.5" thickBot="1" x14ac:dyDescent="0.25">
      <c r="B14" s="398"/>
      <c r="C14" s="398"/>
      <c r="D14" s="398"/>
      <c r="E14" s="398"/>
      <c r="F14" s="398"/>
      <c r="G14" s="398"/>
      <c r="H14" s="398"/>
      <c r="I14" s="398"/>
      <c r="J14" s="398"/>
      <c r="K14" s="398"/>
      <c r="L14" s="398"/>
      <c r="M14" s="398"/>
      <c r="N14" s="398"/>
    </row>
    <row r="15" spans="1:14" ht="13.5" thickBot="1" x14ac:dyDescent="0.25">
      <c r="B15" s="410" t="s">
        <v>569</v>
      </c>
      <c r="C15" s="401">
        <v>0</v>
      </c>
      <c r="D15" s="401">
        <v>1</v>
      </c>
      <c r="E15" s="401">
        <v>2</v>
      </c>
      <c r="F15" s="401">
        <v>3</v>
      </c>
      <c r="G15" s="401">
        <v>4</v>
      </c>
      <c r="H15" s="401">
        <v>5</v>
      </c>
      <c r="I15" s="401">
        <v>6</v>
      </c>
      <c r="J15" s="401">
        <v>7</v>
      </c>
      <c r="K15" s="401">
        <v>8</v>
      </c>
      <c r="L15" s="401">
        <v>9</v>
      </c>
      <c r="M15" s="401">
        <v>10</v>
      </c>
      <c r="N15" s="401">
        <v>11</v>
      </c>
    </row>
    <row r="16" spans="1:14" ht="13.5" thickBot="1" x14ac:dyDescent="0.25">
      <c r="B16" s="750" t="s">
        <v>563</v>
      </c>
      <c r="C16" s="751"/>
      <c r="D16" s="751"/>
      <c r="E16" s="751"/>
      <c r="F16" s="751"/>
      <c r="G16" s="751"/>
      <c r="H16" s="751"/>
      <c r="I16" s="751"/>
      <c r="J16" s="751"/>
      <c r="K16" s="751"/>
      <c r="L16" s="751"/>
      <c r="M16" s="751"/>
      <c r="N16" s="752"/>
    </row>
    <row r="17" spans="2:14" ht="13.5" thickBot="1" x14ac:dyDescent="0.25">
      <c r="B17" s="411" t="s">
        <v>572</v>
      </c>
      <c r="C17" s="404"/>
      <c r="D17" s="404"/>
      <c r="E17" s="404"/>
      <c r="F17" s="404"/>
      <c r="G17" s="404"/>
      <c r="H17" s="404"/>
      <c r="I17" s="404"/>
      <c r="J17" s="404"/>
      <c r="K17" s="404"/>
      <c r="L17" s="404"/>
      <c r="M17" s="404"/>
      <c r="N17" s="404"/>
    </row>
    <row r="18" spans="2:14" ht="13.5" thickBot="1" x14ac:dyDescent="0.25">
      <c r="B18" s="402">
        <v>65</v>
      </c>
      <c r="C18" s="404">
        <v>1</v>
      </c>
      <c r="D18" s="404">
        <v>1.004</v>
      </c>
      <c r="E18" s="404">
        <v>1.006</v>
      </c>
      <c r="F18" s="404">
        <v>1.0089999999999999</v>
      </c>
      <c r="G18" s="404">
        <v>1.012</v>
      </c>
      <c r="H18" s="404">
        <v>1.014</v>
      </c>
      <c r="I18" s="404">
        <v>1.0169999999999999</v>
      </c>
      <c r="J18" s="404">
        <v>1.0189999999999999</v>
      </c>
      <c r="K18" s="404">
        <v>1.022</v>
      </c>
      <c r="L18" s="404">
        <v>1.0249999999999999</v>
      </c>
      <c r="M18" s="404">
        <v>1.0269999999999999</v>
      </c>
      <c r="N18" s="404">
        <v>1.03</v>
      </c>
    </row>
    <row r="19" spans="2:14" ht="13.5" thickBot="1" x14ac:dyDescent="0.25">
      <c r="B19" s="402">
        <v>66</v>
      </c>
      <c r="C19" s="404">
        <v>1.032</v>
      </c>
      <c r="D19" s="404">
        <v>1.0349999999999999</v>
      </c>
      <c r="E19" s="404">
        <v>1.038</v>
      </c>
      <c r="F19" s="404">
        <v>1.0409999999999999</v>
      </c>
      <c r="G19" s="404">
        <v>1.0429999999999999</v>
      </c>
      <c r="H19" s="404">
        <v>1.046</v>
      </c>
      <c r="I19" s="404">
        <v>1.0489999999999999</v>
      </c>
      <c r="J19" s="404">
        <v>1.052</v>
      </c>
      <c r="K19" s="404">
        <v>1.054</v>
      </c>
      <c r="L19" s="404">
        <v>1.0569999999999999</v>
      </c>
      <c r="M19" s="404">
        <v>1.06</v>
      </c>
      <c r="N19" s="404">
        <v>1.0629999999999999</v>
      </c>
    </row>
    <row r="20" spans="2:14" ht="13.5" thickBot="1" x14ac:dyDescent="0.25">
      <c r="B20" s="402">
        <v>67</v>
      </c>
      <c r="C20" s="404">
        <v>1.0660000000000001</v>
      </c>
      <c r="D20" s="404">
        <v>1.069</v>
      </c>
      <c r="E20" s="404">
        <v>1.071</v>
      </c>
      <c r="F20" s="404">
        <v>1.0740000000000001</v>
      </c>
      <c r="G20" s="404">
        <v>1.077</v>
      </c>
      <c r="H20" s="404">
        <v>1.08</v>
      </c>
      <c r="I20" s="404">
        <v>1.083</v>
      </c>
      <c r="J20" s="404">
        <v>1.0860000000000001</v>
      </c>
      <c r="K20" s="404">
        <v>1.089</v>
      </c>
      <c r="L20" s="404">
        <v>1.0920000000000001</v>
      </c>
      <c r="M20" s="404">
        <v>1.095</v>
      </c>
      <c r="N20" s="404">
        <v>1.0980000000000001</v>
      </c>
    </row>
    <row r="21" spans="2:14" ht="13.5" thickBot="1" x14ac:dyDescent="0.25">
      <c r="B21" s="402">
        <v>68</v>
      </c>
      <c r="C21" s="404">
        <v>1.101</v>
      </c>
      <c r="D21" s="404">
        <v>1.1040000000000001</v>
      </c>
      <c r="E21" s="404">
        <v>1.1080000000000001</v>
      </c>
      <c r="F21" s="404">
        <v>1.111</v>
      </c>
      <c r="G21" s="404">
        <v>1.1140000000000001</v>
      </c>
      <c r="H21" s="404">
        <v>1.117</v>
      </c>
      <c r="I21" s="404">
        <v>1.1200000000000001</v>
      </c>
      <c r="J21" s="404">
        <v>1.123</v>
      </c>
      <c r="K21" s="404">
        <v>1.127</v>
      </c>
      <c r="L21" s="404">
        <v>1.1299999999999999</v>
      </c>
      <c r="M21" s="404">
        <v>1.133</v>
      </c>
      <c r="N21" s="404">
        <v>1.1359999999999999</v>
      </c>
    </row>
    <row r="22" spans="2:14" ht="13.5" thickBot="1" x14ac:dyDescent="0.25">
      <c r="B22" s="402">
        <v>69</v>
      </c>
      <c r="C22" s="404">
        <v>1.139</v>
      </c>
      <c r="D22" s="404">
        <v>1.143</v>
      </c>
      <c r="E22" s="404">
        <v>1.1459999999999999</v>
      </c>
      <c r="F22" s="404">
        <v>1.1499999999999999</v>
      </c>
      <c r="G22" s="404">
        <v>1.153</v>
      </c>
      <c r="H22" s="404">
        <v>1.1559999999999999</v>
      </c>
      <c r="I22" s="404">
        <v>1.1599999999999999</v>
      </c>
      <c r="J22" s="404">
        <v>1.163</v>
      </c>
      <c r="K22" s="404">
        <v>1.167</v>
      </c>
      <c r="L22" s="404">
        <v>1.17</v>
      </c>
      <c r="M22" s="404">
        <v>1.173</v>
      </c>
      <c r="N22" s="404">
        <v>1.177</v>
      </c>
    </row>
    <row r="23" spans="2:14" ht="13.5" thickBot="1" x14ac:dyDescent="0.25">
      <c r="B23" s="402">
        <v>70</v>
      </c>
      <c r="C23" s="404">
        <v>1.18</v>
      </c>
      <c r="D23" s="404">
        <v>1.1839999999999999</v>
      </c>
      <c r="E23" s="404">
        <v>1.1879999999999999</v>
      </c>
      <c r="F23" s="404">
        <v>1.1910000000000001</v>
      </c>
      <c r="G23" s="404">
        <v>1.1950000000000001</v>
      </c>
      <c r="H23" s="404">
        <v>1.1990000000000001</v>
      </c>
      <c r="I23" s="404">
        <v>1.202</v>
      </c>
      <c r="J23" s="404">
        <v>1.206</v>
      </c>
      <c r="K23" s="404">
        <v>1.21</v>
      </c>
      <c r="L23" s="404">
        <v>1.2130000000000001</v>
      </c>
      <c r="M23" s="404">
        <v>1.2170000000000001</v>
      </c>
      <c r="N23" s="404">
        <v>1.2210000000000001</v>
      </c>
    </row>
    <row r="24" spans="2:14" ht="13.5" thickBot="1" x14ac:dyDescent="0.25">
      <c r="B24" s="402">
        <v>71</v>
      </c>
      <c r="C24" s="404">
        <v>1.2250000000000001</v>
      </c>
      <c r="D24" s="404">
        <v>1.2290000000000001</v>
      </c>
      <c r="E24" s="404">
        <v>1.232</v>
      </c>
      <c r="F24" s="404">
        <v>1.236</v>
      </c>
      <c r="G24" s="404">
        <v>1.24</v>
      </c>
      <c r="H24" s="404">
        <v>1.244</v>
      </c>
      <c r="I24" s="404">
        <v>1.248</v>
      </c>
      <c r="J24" s="404">
        <v>1.252</v>
      </c>
      <c r="K24" s="404">
        <v>1.256</v>
      </c>
      <c r="L24" s="404">
        <v>1.26</v>
      </c>
      <c r="M24" s="404">
        <v>1.264</v>
      </c>
      <c r="N24" s="404">
        <v>1.268</v>
      </c>
    </row>
    <row r="25" spans="2:14" ht="13.5" thickBot="1" x14ac:dyDescent="0.25">
      <c r="B25" s="402">
        <v>72</v>
      </c>
      <c r="C25" s="404">
        <v>1.272</v>
      </c>
      <c r="D25" s="404">
        <v>1.276</v>
      </c>
      <c r="E25" s="404">
        <v>1.2809999999999999</v>
      </c>
      <c r="F25" s="404">
        <v>1.2849999999999999</v>
      </c>
      <c r="G25" s="404">
        <v>1.2889999999999999</v>
      </c>
      <c r="H25" s="404">
        <v>1.2929999999999999</v>
      </c>
      <c r="I25" s="404">
        <v>1.298</v>
      </c>
      <c r="J25" s="404">
        <v>1.302</v>
      </c>
      <c r="K25" s="404">
        <v>1.306</v>
      </c>
      <c r="L25" s="404">
        <v>1.3109999999999999</v>
      </c>
      <c r="M25" s="404">
        <v>1.3149999999999999</v>
      </c>
      <c r="N25" s="404">
        <v>1.319</v>
      </c>
    </row>
    <row r="26" spans="2:14" ht="13.5" thickBot="1" x14ac:dyDescent="0.25">
      <c r="B26" s="402">
        <v>73</v>
      </c>
      <c r="C26" s="404">
        <v>1.323</v>
      </c>
      <c r="D26" s="404">
        <v>1.3280000000000001</v>
      </c>
      <c r="E26" s="404">
        <v>1.333</v>
      </c>
      <c r="F26" s="404">
        <v>1.337</v>
      </c>
      <c r="G26" s="404">
        <v>1.3420000000000001</v>
      </c>
      <c r="H26" s="404">
        <v>1.3460000000000001</v>
      </c>
      <c r="I26" s="404">
        <v>1.351</v>
      </c>
      <c r="J26" s="404">
        <v>1.3560000000000001</v>
      </c>
      <c r="K26" s="404">
        <v>1.36</v>
      </c>
      <c r="L26" s="404">
        <v>1.365</v>
      </c>
      <c r="M26" s="404">
        <v>1.369</v>
      </c>
      <c r="N26" s="404">
        <v>1.3740000000000001</v>
      </c>
    </row>
    <row r="27" spans="2:14" ht="13.5" thickBot="1" x14ac:dyDescent="0.25">
      <c r="B27" s="402">
        <v>74</v>
      </c>
      <c r="C27" s="404">
        <v>1.379</v>
      </c>
      <c r="D27" s="404">
        <v>1.3839999999999999</v>
      </c>
      <c r="E27" s="404">
        <v>1.389</v>
      </c>
      <c r="F27" s="404">
        <v>1.3939999999999999</v>
      </c>
      <c r="G27" s="404">
        <v>1.399</v>
      </c>
      <c r="H27" s="404">
        <v>1.4039999999999999</v>
      </c>
      <c r="I27" s="404">
        <v>1.409</v>
      </c>
      <c r="J27" s="404">
        <v>1.4139999999999999</v>
      </c>
      <c r="K27" s="404">
        <v>1.419</v>
      </c>
      <c r="L27" s="404">
        <v>1.4239999999999999</v>
      </c>
      <c r="M27" s="404">
        <v>1.429</v>
      </c>
      <c r="N27" s="404">
        <v>1.4330000000000001</v>
      </c>
    </row>
    <row r="28" spans="2:14" ht="14.25" x14ac:dyDescent="0.2">
      <c r="B28" s="408"/>
      <c r="C28" s="398"/>
      <c r="D28" s="398"/>
      <c r="E28" s="398"/>
      <c r="F28" s="398"/>
      <c r="G28" s="398"/>
      <c r="H28" s="398"/>
      <c r="I28" s="398"/>
      <c r="J28" s="398"/>
      <c r="K28" s="398"/>
      <c r="L28" s="398"/>
      <c r="M28" s="398"/>
      <c r="N28" s="398"/>
    </row>
    <row r="30" spans="2:14" x14ac:dyDescent="0.2">
      <c r="B30" s="397" t="s">
        <v>576</v>
      </c>
      <c r="C30" s="398"/>
      <c r="D30" s="398"/>
      <c r="E30" s="398"/>
      <c r="F30" s="398"/>
      <c r="G30" s="398"/>
      <c r="H30" s="398"/>
      <c r="I30" s="398"/>
      <c r="J30" s="398"/>
      <c r="K30" s="398"/>
      <c r="L30" s="398"/>
      <c r="M30" s="398"/>
      <c r="N30" s="398"/>
    </row>
    <row r="31" spans="2:14" x14ac:dyDescent="0.2">
      <c r="B31" s="1" t="s">
        <v>633</v>
      </c>
      <c r="C31" s="398"/>
      <c r="D31" s="398"/>
      <c r="E31" s="398"/>
      <c r="F31" s="398"/>
      <c r="G31" s="398"/>
      <c r="H31" s="398"/>
      <c r="I31" s="398"/>
      <c r="J31" s="398"/>
      <c r="K31" s="398"/>
      <c r="L31" s="398"/>
      <c r="M31" s="398"/>
      <c r="N31" s="398"/>
    </row>
    <row r="32" spans="2:14" x14ac:dyDescent="0.2">
      <c r="B32" s="397" t="s">
        <v>574</v>
      </c>
      <c r="C32" s="398"/>
      <c r="D32" s="398"/>
      <c r="E32" s="398"/>
      <c r="F32" s="398"/>
      <c r="G32" s="398"/>
      <c r="H32" s="398"/>
      <c r="I32" s="398"/>
      <c r="J32" s="398"/>
      <c r="K32" s="398"/>
      <c r="L32" s="398"/>
      <c r="M32" s="398"/>
      <c r="N32" s="398"/>
    </row>
    <row r="33" spans="2:14" x14ac:dyDescent="0.2">
      <c r="B33" s="397" t="s">
        <v>577</v>
      </c>
      <c r="C33" s="398"/>
      <c r="D33" s="398"/>
      <c r="E33" s="398"/>
      <c r="F33" s="398"/>
      <c r="G33" s="398"/>
      <c r="H33" s="398"/>
      <c r="I33" s="398"/>
      <c r="J33" s="398"/>
      <c r="K33" s="398"/>
      <c r="L33" s="398"/>
      <c r="M33" s="398"/>
      <c r="N33" s="398"/>
    </row>
    <row r="34" spans="2:14" ht="13.5" thickBot="1" x14ac:dyDescent="0.25">
      <c r="B34" s="398"/>
      <c r="C34" s="398"/>
      <c r="D34" s="398"/>
      <c r="E34" s="398"/>
      <c r="F34" s="398"/>
      <c r="G34" s="398"/>
      <c r="H34" s="398"/>
      <c r="I34" s="398"/>
      <c r="J34" s="398"/>
      <c r="K34" s="398"/>
      <c r="L34" s="398"/>
      <c r="M34" s="398"/>
      <c r="N34" s="398"/>
    </row>
    <row r="35" spans="2:14" ht="13.5" thickBot="1" x14ac:dyDescent="0.25">
      <c r="B35" s="410" t="s">
        <v>569</v>
      </c>
      <c r="C35" s="401">
        <v>0</v>
      </c>
      <c r="D35" s="401">
        <v>1</v>
      </c>
      <c r="E35" s="401">
        <v>2</v>
      </c>
      <c r="F35" s="401">
        <v>3</v>
      </c>
      <c r="G35" s="401">
        <v>4</v>
      </c>
      <c r="H35" s="401">
        <v>5</v>
      </c>
      <c r="I35" s="401">
        <v>6</v>
      </c>
      <c r="J35" s="401">
        <v>7</v>
      </c>
      <c r="K35" s="401">
        <v>8</v>
      </c>
      <c r="L35" s="401">
        <v>9</v>
      </c>
      <c r="M35" s="401">
        <v>10</v>
      </c>
      <c r="N35" s="401">
        <v>11</v>
      </c>
    </row>
    <row r="36" spans="2:14" ht="13.5" thickBot="1" x14ac:dyDescent="0.25">
      <c r="B36" s="750" t="s">
        <v>563</v>
      </c>
      <c r="C36" s="751"/>
      <c r="D36" s="751"/>
      <c r="E36" s="751"/>
      <c r="F36" s="751"/>
      <c r="G36" s="751"/>
      <c r="H36" s="751"/>
      <c r="I36" s="751"/>
      <c r="J36" s="751"/>
      <c r="K36" s="751"/>
      <c r="L36" s="751"/>
      <c r="M36" s="751"/>
      <c r="N36" s="752"/>
    </row>
    <row r="37" spans="2:14" ht="13.5" thickBot="1" x14ac:dyDescent="0.25">
      <c r="B37" s="411" t="s">
        <v>571</v>
      </c>
      <c r="C37" s="404"/>
      <c r="D37" s="404"/>
      <c r="E37" s="404"/>
      <c r="F37" s="404"/>
      <c r="G37" s="404"/>
      <c r="H37" s="404"/>
      <c r="I37" s="404"/>
      <c r="J37" s="404"/>
      <c r="K37" s="404"/>
      <c r="L37" s="404"/>
      <c r="M37" s="404"/>
      <c r="N37" s="404"/>
    </row>
    <row r="38" spans="2:14" ht="13.5" thickBot="1" x14ac:dyDescent="0.25">
      <c r="B38" s="402">
        <v>65</v>
      </c>
      <c r="C38" s="404">
        <v>1</v>
      </c>
      <c r="D38" s="404">
        <v>1.006</v>
      </c>
      <c r="E38" s="404">
        <v>1.01</v>
      </c>
      <c r="F38" s="404">
        <v>1.014</v>
      </c>
      <c r="G38" s="404">
        <v>1.018</v>
      </c>
      <c r="H38" s="404">
        <v>1.0209999999999999</v>
      </c>
      <c r="I38" s="404">
        <v>1.0249999999999999</v>
      </c>
      <c r="J38" s="404">
        <v>1.0289999999999999</v>
      </c>
      <c r="K38" s="404">
        <v>1.0329999999999999</v>
      </c>
      <c r="L38" s="404">
        <v>1.0369999999999999</v>
      </c>
      <c r="M38" s="404">
        <v>1.0409999999999999</v>
      </c>
      <c r="N38" s="404">
        <v>1.0449999999999999</v>
      </c>
    </row>
    <row r="39" spans="2:14" ht="13.5" thickBot="1" x14ac:dyDescent="0.25">
      <c r="B39" s="402">
        <v>66</v>
      </c>
      <c r="C39" s="404">
        <v>1.0489999999999999</v>
      </c>
      <c r="D39" s="404">
        <v>1.0529999999999999</v>
      </c>
      <c r="E39" s="404">
        <v>1.0569999999999999</v>
      </c>
      <c r="F39" s="404">
        <v>1.0620000000000001</v>
      </c>
      <c r="G39" s="404">
        <v>1.0660000000000001</v>
      </c>
      <c r="H39" s="404">
        <v>1.07</v>
      </c>
      <c r="I39" s="404">
        <v>1.0740000000000001</v>
      </c>
      <c r="J39" s="404">
        <v>1.0780000000000001</v>
      </c>
      <c r="K39" s="404">
        <v>1.083</v>
      </c>
      <c r="L39" s="404">
        <v>1.087</v>
      </c>
      <c r="M39" s="404">
        <v>1.091</v>
      </c>
      <c r="N39" s="404">
        <v>1.095</v>
      </c>
    </row>
    <row r="40" spans="2:14" ht="13.5" thickBot="1" x14ac:dyDescent="0.25">
      <c r="B40" s="402">
        <v>67</v>
      </c>
      <c r="C40" s="404">
        <v>1.099</v>
      </c>
      <c r="D40" s="404">
        <v>1.1040000000000001</v>
      </c>
      <c r="E40" s="404">
        <v>1.109</v>
      </c>
      <c r="F40" s="404">
        <v>1.113</v>
      </c>
      <c r="G40" s="404">
        <v>1.1180000000000001</v>
      </c>
      <c r="H40" s="404">
        <v>1.1220000000000001</v>
      </c>
      <c r="I40" s="404">
        <v>1.127</v>
      </c>
      <c r="J40" s="404">
        <v>1.131</v>
      </c>
      <c r="K40" s="404">
        <v>1.1359999999999999</v>
      </c>
      <c r="L40" s="404">
        <v>1.1399999999999999</v>
      </c>
      <c r="M40" s="404">
        <v>1.145</v>
      </c>
      <c r="N40" s="404">
        <v>1.149</v>
      </c>
    </row>
    <row r="41" spans="2:14" ht="13.5" thickBot="1" x14ac:dyDescent="0.25">
      <c r="B41" s="402">
        <v>68</v>
      </c>
      <c r="C41" s="404">
        <v>1.1539999999999999</v>
      </c>
      <c r="D41" s="404">
        <v>1.159</v>
      </c>
      <c r="E41" s="404">
        <v>1.1639999999999999</v>
      </c>
      <c r="F41" s="404">
        <v>1.1679999999999999</v>
      </c>
      <c r="G41" s="404">
        <v>1.173</v>
      </c>
      <c r="H41" s="404">
        <v>1.1779999999999999</v>
      </c>
      <c r="I41" s="404">
        <v>1.1830000000000001</v>
      </c>
      <c r="J41" s="404">
        <v>1.1879999999999999</v>
      </c>
      <c r="K41" s="404">
        <v>1.1930000000000001</v>
      </c>
      <c r="L41" s="404">
        <v>1.198</v>
      </c>
      <c r="M41" s="404">
        <v>1.202</v>
      </c>
      <c r="N41" s="404">
        <v>1.2070000000000001</v>
      </c>
    </row>
    <row r="42" spans="2:14" ht="13.5" thickBot="1" x14ac:dyDescent="0.25">
      <c r="B42" s="402">
        <v>69</v>
      </c>
      <c r="C42" s="404">
        <v>1.212</v>
      </c>
      <c r="D42" s="404">
        <v>1.218</v>
      </c>
      <c r="E42" s="404">
        <v>1.2230000000000001</v>
      </c>
      <c r="F42" s="404">
        <v>1.228</v>
      </c>
      <c r="G42" s="404">
        <v>1.2330000000000001</v>
      </c>
      <c r="H42" s="404">
        <v>1.238</v>
      </c>
      <c r="I42" s="404">
        <v>1.244</v>
      </c>
      <c r="J42" s="404">
        <v>1.2490000000000001</v>
      </c>
      <c r="K42" s="404">
        <v>1.254</v>
      </c>
      <c r="L42" s="404">
        <v>1.2589999999999999</v>
      </c>
      <c r="M42" s="404">
        <v>1.2649999999999999</v>
      </c>
      <c r="N42" s="404">
        <v>1.27</v>
      </c>
    </row>
    <row r="43" spans="2:14" ht="13.5" thickBot="1" x14ac:dyDescent="0.25">
      <c r="B43" s="402">
        <v>70</v>
      </c>
      <c r="C43" s="404">
        <v>1.2749999999999999</v>
      </c>
      <c r="D43" s="404">
        <v>1.2809999999999999</v>
      </c>
      <c r="E43" s="404">
        <v>1.2869999999999999</v>
      </c>
      <c r="F43" s="404">
        <v>1.292</v>
      </c>
      <c r="G43" s="404">
        <v>1.298</v>
      </c>
      <c r="H43" s="404">
        <v>1.304</v>
      </c>
      <c r="I43" s="404">
        <v>1.3089999999999999</v>
      </c>
      <c r="J43" s="404">
        <v>1.3149999999999999</v>
      </c>
      <c r="K43" s="404">
        <v>1.321</v>
      </c>
      <c r="L43" s="404">
        <v>1.3260000000000001</v>
      </c>
      <c r="M43" s="404">
        <v>1.3320000000000001</v>
      </c>
      <c r="N43" s="404">
        <v>1.3380000000000001</v>
      </c>
    </row>
    <row r="44" spans="2:14" ht="13.5" thickBot="1" x14ac:dyDescent="0.25">
      <c r="B44" s="402">
        <v>71</v>
      </c>
      <c r="C44" s="404">
        <v>1.3440000000000001</v>
      </c>
      <c r="D44" s="404">
        <v>1.35</v>
      </c>
      <c r="E44" s="404">
        <v>1.3560000000000001</v>
      </c>
      <c r="F44" s="404">
        <v>1.3620000000000001</v>
      </c>
      <c r="G44" s="404">
        <v>1.3680000000000001</v>
      </c>
      <c r="H44" s="404">
        <v>1.3740000000000001</v>
      </c>
      <c r="I44" s="404">
        <v>1.38</v>
      </c>
      <c r="J44" s="404">
        <v>1.3859999999999999</v>
      </c>
      <c r="K44" s="404">
        <v>1.393</v>
      </c>
      <c r="L44" s="404">
        <v>1.399</v>
      </c>
      <c r="M44" s="404">
        <v>1.405</v>
      </c>
      <c r="N44" s="404">
        <v>1.411</v>
      </c>
    </row>
    <row r="45" spans="2:14" ht="13.5" thickBot="1" x14ac:dyDescent="0.25">
      <c r="B45" s="402">
        <v>72</v>
      </c>
      <c r="C45" s="404">
        <v>1.417</v>
      </c>
      <c r="D45" s="404">
        <v>1.4239999999999999</v>
      </c>
      <c r="E45" s="404">
        <v>1.431</v>
      </c>
      <c r="F45" s="404">
        <v>1.4370000000000001</v>
      </c>
      <c r="G45" s="404">
        <v>1.444</v>
      </c>
      <c r="H45" s="404">
        <v>1.45</v>
      </c>
      <c r="I45" s="404">
        <v>1.4570000000000001</v>
      </c>
      <c r="J45" s="404">
        <v>1.464</v>
      </c>
      <c r="K45" s="404">
        <v>1.47</v>
      </c>
      <c r="L45" s="404">
        <v>1.4770000000000001</v>
      </c>
      <c r="M45" s="404">
        <v>1.484</v>
      </c>
      <c r="N45" s="404">
        <v>1.49</v>
      </c>
    </row>
    <row r="46" spans="2:14" ht="13.5" thickBot="1" x14ac:dyDescent="0.25">
      <c r="B46" s="402">
        <v>73</v>
      </c>
      <c r="C46" s="404">
        <v>1.4970000000000001</v>
      </c>
      <c r="D46" s="404">
        <v>1.504</v>
      </c>
      <c r="E46" s="404">
        <v>1.512</v>
      </c>
      <c r="F46" s="404">
        <v>1.5189999999999999</v>
      </c>
      <c r="G46" s="404">
        <v>1.526</v>
      </c>
      <c r="H46" s="404">
        <v>1.5329999999999999</v>
      </c>
      <c r="I46" s="404">
        <v>1.54</v>
      </c>
      <c r="J46" s="404">
        <v>1.548</v>
      </c>
      <c r="K46" s="404">
        <v>1.5549999999999999</v>
      </c>
      <c r="L46" s="404">
        <v>1.5620000000000001</v>
      </c>
      <c r="M46" s="404">
        <v>1.569</v>
      </c>
      <c r="N46" s="404">
        <v>1.5760000000000001</v>
      </c>
    </row>
    <row r="47" spans="2:14" ht="13.5" thickBot="1" x14ac:dyDescent="0.25">
      <c r="B47" s="402">
        <v>74</v>
      </c>
      <c r="C47" s="404">
        <v>1.5840000000000001</v>
      </c>
      <c r="D47" s="404">
        <v>1.5920000000000001</v>
      </c>
      <c r="E47" s="404">
        <v>1.6</v>
      </c>
      <c r="F47" s="404">
        <v>1.607</v>
      </c>
      <c r="G47" s="404">
        <v>1.615</v>
      </c>
      <c r="H47" s="404">
        <v>1.623</v>
      </c>
      <c r="I47" s="404">
        <v>1.631</v>
      </c>
      <c r="J47" s="404">
        <v>1.639</v>
      </c>
      <c r="K47" s="404">
        <v>1.647</v>
      </c>
      <c r="L47" s="404">
        <v>1.6539999999999999</v>
      </c>
      <c r="M47" s="404">
        <v>1.6619999999999999</v>
      </c>
      <c r="N47" s="404">
        <v>1.67</v>
      </c>
    </row>
    <row r="48" spans="2:14" x14ac:dyDescent="0.2">
      <c r="B48" s="405"/>
      <c r="C48" s="398"/>
      <c r="D48" s="398"/>
      <c r="E48" s="398"/>
      <c r="F48" s="398"/>
      <c r="G48" s="398"/>
      <c r="H48" s="398"/>
      <c r="I48" s="398"/>
      <c r="J48" s="398"/>
      <c r="K48" s="398"/>
      <c r="L48" s="398"/>
      <c r="M48" s="398"/>
      <c r="N48" s="398"/>
    </row>
    <row r="50" spans="2:14" s="9" customFormat="1" x14ac:dyDescent="0.2">
      <c r="B50" s="545"/>
      <c r="C50" s="252"/>
      <c r="D50" s="252"/>
      <c r="E50" s="252"/>
      <c r="F50" s="252"/>
      <c r="G50" s="252"/>
      <c r="H50" s="252"/>
      <c r="I50" s="252"/>
      <c r="J50" s="252"/>
      <c r="K50" s="252"/>
      <c r="L50" s="252"/>
      <c r="M50" s="252"/>
      <c r="N50" s="252"/>
    </row>
    <row r="51" spans="2:14" s="9" customFormat="1" x14ac:dyDescent="0.2">
      <c r="B51" s="16"/>
      <c r="C51" s="252"/>
      <c r="D51" s="252"/>
      <c r="E51" s="252"/>
      <c r="F51" s="252"/>
      <c r="G51" s="252"/>
      <c r="H51" s="252"/>
      <c r="I51" s="252"/>
      <c r="J51" s="252"/>
      <c r="K51" s="252"/>
      <c r="L51" s="252"/>
      <c r="M51" s="252"/>
      <c r="N51" s="252"/>
    </row>
    <row r="52" spans="2:14" s="9" customFormat="1" x14ac:dyDescent="0.2">
      <c r="B52" s="545"/>
      <c r="C52" s="252"/>
      <c r="D52" s="252"/>
      <c r="E52" s="252"/>
      <c r="F52" s="252"/>
      <c r="G52" s="252"/>
      <c r="H52" s="252"/>
      <c r="I52" s="252"/>
      <c r="J52" s="252"/>
      <c r="K52" s="252"/>
      <c r="L52" s="252"/>
      <c r="M52" s="252"/>
      <c r="N52" s="252"/>
    </row>
    <row r="53" spans="2:14" s="9" customFormat="1" x14ac:dyDescent="0.2">
      <c r="B53" s="545"/>
      <c r="C53" s="252"/>
      <c r="D53" s="252"/>
      <c r="E53" s="252"/>
      <c r="F53" s="252"/>
      <c r="G53" s="252"/>
      <c r="H53" s="252"/>
      <c r="I53" s="252"/>
      <c r="J53" s="252"/>
      <c r="K53" s="252"/>
      <c r="L53" s="252"/>
      <c r="M53" s="252"/>
      <c r="N53" s="252"/>
    </row>
    <row r="54" spans="2:14" s="9" customFormat="1" x14ac:dyDescent="0.2">
      <c r="B54" s="252"/>
      <c r="C54" s="252"/>
      <c r="D54" s="252"/>
      <c r="E54" s="252"/>
      <c r="F54" s="252"/>
      <c r="G54" s="252"/>
      <c r="H54" s="252"/>
      <c r="I54" s="252"/>
      <c r="J54" s="252"/>
      <c r="K54" s="252"/>
      <c r="L54" s="252"/>
      <c r="M54" s="252"/>
      <c r="N54" s="252"/>
    </row>
    <row r="55" spans="2:14" s="9" customFormat="1" x14ac:dyDescent="0.2">
      <c r="B55" s="556"/>
      <c r="C55" s="548"/>
      <c r="D55" s="548"/>
      <c r="E55" s="548"/>
      <c r="F55" s="548"/>
      <c r="G55" s="548"/>
      <c r="H55" s="548"/>
      <c r="I55" s="548"/>
      <c r="J55" s="548"/>
      <c r="K55" s="548"/>
      <c r="L55" s="548"/>
      <c r="M55" s="548"/>
      <c r="N55" s="548"/>
    </row>
    <row r="56" spans="2:14" s="9" customFormat="1" x14ac:dyDescent="0.2">
      <c r="B56" s="753"/>
      <c r="C56" s="753"/>
      <c r="D56" s="753"/>
      <c r="E56" s="753"/>
      <c r="F56" s="753"/>
      <c r="G56" s="753"/>
      <c r="H56" s="753"/>
      <c r="I56" s="753"/>
      <c r="J56" s="753"/>
      <c r="K56" s="753"/>
      <c r="L56" s="753"/>
      <c r="M56" s="753"/>
      <c r="N56" s="753"/>
    </row>
    <row r="57" spans="2:14" s="9" customFormat="1" x14ac:dyDescent="0.2">
      <c r="B57" s="556"/>
      <c r="C57" s="550"/>
      <c r="D57" s="550"/>
      <c r="E57" s="550"/>
      <c r="F57" s="550"/>
      <c r="G57" s="550"/>
      <c r="H57" s="550"/>
      <c r="I57" s="550"/>
      <c r="J57" s="550"/>
      <c r="K57" s="550"/>
      <c r="L57" s="550"/>
      <c r="M57" s="550"/>
      <c r="N57" s="550"/>
    </row>
    <row r="58" spans="2:14" s="9" customFormat="1" x14ac:dyDescent="0.2">
      <c r="B58" s="548"/>
      <c r="C58" s="550"/>
      <c r="D58" s="550"/>
      <c r="E58" s="550"/>
      <c r="F58" s="550"/>
      <c r="G58" s="550"/>
      <c r="H58" s="550"/>
      <c r="I58" s="550"/>
      <c r="J58" s="550"/>
      <c r="K58" s="550"/>
      <c r="L58" s="550"/>
      <c r="M58" s="550"/>
      <c r="N58" s="550"/>
    </row>
    <row r="59" spans="2:14" s="9" customFormat="1" x14ac:dyDescent="0.2">
      <c r="B59" s="548"/>
      <c r="C59" s="550"/>
      <c r="D59" s="550"/>
      <c r="E59" s="550"/>
      <c r="F59" s="550"/>
      <c r="G59" s="550"/>
      <c r="H59" s="550"/>
      <c r="I59" s="550"/>
      <c r="J59" s="550"/>
      <c r="K59" s="550"/>
      <c r="L59" s="550"/>
      <c r="M59" s="550"/>
      <c r="N59" s="550"/>
    </row>
    <row r="60" spans="2:14" s="9" customFormat="1" x14ac:dyDescent="0.2">
      <c r="B60" s="548"/>
      <c r="C60" s="550"/>
      <c r="D60" s="550"/>
      <c r="E60" s="550"/>
      <c r="F60" s="550"/>
      <c r="G60" s="550"/>
      <c r="H60" s="550"/>
      <c r="I60" s="550"/>
      <c r="J60" s="550"/>
      <c r="K60" s="550"/>
      <c r="L60" s="550"/>
      <c r="M60" s="550"/>
      <c r="N60" s="550"/>
    </row>
    <row r="61" spans="2:14" s="9" customFormat="1" x14ac:dyDescent="0.2">
      <c r="B61" s="548"/>
      <c r="C61" s="550"/>
      <c r="D61" s="550"/>
      <c r="E61" s="550"/>
      <c r="F61" s="550"/>
      <c r="G61" s="550"/>
      <c r="H61" s="550"/>
      <c r="I61" s="550"/>
      <c r="J61" s="550"/>
      <c r="K61" s="550"/>
      <c r="L61" s="550"/>
      <c r="M61" s="550"/>
      <c r="N61" s="550"/>
    </row>
    <row r="62" spans="2:14" s="9" customFormat="1" x14ac:dyDescent="0.2">
      <c r="B62" s="548"/>
      <c r="C62" s="550"/>
      <c r="D62" s="550"/>
      <c r="E62" s="550"/>
      <c r="F62" s="550"/>
      <c r="G62" s="550"/>
      <c r="H62" s="550"/>
      <c r="I62" s="550"/>
      <c r="J62" s="550"/>
      <c r="K62" s="550"/>
      <c r="L62" s="550"/>
      <c r="M62" s="550"/>
      <c r="N62" s="550"/>
    </row>
    <row r="63" spans="2:14" s="9" customFormat="1" x14ac:dyDescent="0.2">
      <c r="B63" s="548"/>
      <c r="C63" s="550"/>
      <c r="D63" s="550"/>
      <c r="E63" s="550"/>
      <c r="F63" s="550"/>
      <c r="G63" s="550"/>
      <c r="H63" s="550"/>
      <c r="I63" s="550"/>
      <c r="J63" s="550"/>
      <c r="K63" s="550"/>
      <c r="L63" s="550"/>
      <c r="M63" s="550"/>
      <c r="N63" s="550"/>
    </row>
    <row r="64" spans="2:14" s="9" customFormat="1" x14ac:dyDescent="0.2">
      <c r="B64" s="548"/>
      <c r="C64" s="550"/>
      <c r="D64" s="550"/>
      <c r="E64" s="550"/>
      <c r="F64" s="550"/>
      <c r="G64" s="550"/>
      <c r="H64" s="550"/>
      <c r="I64" s="550"/>
      <c r="J64" s="550"/>
      <c r="K64" s="550"/>
      <c r="L64" s="550"/>
      <c r="M64" s="550"/>
      <c r="N64" s="550"/>
    </row>
    <row r="65" spans="2:14" s="9" customFormat="1" x14ac:dyDescent="0.2">
      <c r="B65" s="548"/>
      <c r="C65" s="550"/>
      <c r="D65" s="550"/>
      <c r="E65" s="550"/>
      <c r="F65" s="550"/>
      <c r="G65" s="550"/>
      <c r="H65" s="550"/>
      <c r="I65" s="550"/>
      <c r="J65" s="550"/>
      <c r="K65" s="550"/>
      <c r="L65" s="550"/>
      <c r="M65" s="550"/>
      <c r="N65" s="550"/>
    </row>
    <row r="66" spans="2:14" s="9" customFormat="1" x14ac:dyDescent="0.2">
      <c r="B66" s="548"/>
      <c r="C66" s="550"/>
      <c r="D66" s="550"/>
      <c r="E66" s="550"/>
      <c r="F66" s="550"/>
      <c r="G66" s="550"/>
      <c r="H66" s="550"/>
      <c r="I66" s="550"/>
      <c r="J66" s="550"/>
      <c r="K66" s="550"/>
      <c r="L66" s="550"/>
      <c r="M66" s="550"/>
      <c r="N66" s="550"/>
    </row>
    <row r="67" spans="2:14" s="9" customFormat="1" x14ac:dyDescent="0.2">
      <c r="B67" s="548"/>
      <c r="C67" s="550"/>
      <c r="D67" s="550"/>
      <c r="E67" s="550"/>
      <c r="F67" s="550"/>
      <c r="G67" s="550"/>
      <c r="H67" s="550"/>
      <c r="I67" s="550"/>
      <c r="J67" s="550"/>
      <c r="K67" s="550"/>
      <c r="L67" s="550"/>
      <c r="M67" s="550"/>
      <c r="N67" s="550"/>
    </row>
    <row r="68" spans="2:14" s="9" customFormat="1" x14ac:dyDescent="0.2">
      <c r="B68" s="553"/>
      <c r="C68" s="252"/>
      <c r="D68" s="252"/>
      <c r="E68" s="252"/>
      <c r="F68" s="252"/>
      <c r="G68" s="252"/>
      <c r="H68" s="252"/>
      <c r="I68" s="252"/>
      <c r="J68" s="252"/>
      <c r="K68" s="252"/>
      <c r="L68" s="252"/>
      <c r="M68" s="252"/>
      <c r="N68" s="252"/>
    </row>
    <row r="69" spans="2:14" s="9" customFormat="1" x14ac:dyDescent="0.2"/>
    <row r="70" spans="2:14" s="9" customFormat="1" x14ac:dyDescent="0.2">
      <c r="B70" s="545"/>
      <c r="C70" s="252"/>
      <c r="D70" s="252"/>
      <c r="E70" s="252"/>
      <c r="F70" s="252"/>
      <c r="G70" s="252"/>
      <c r="H70" s="252"/>
      <c r="I70" s="252"/>
      <c r="J70" s="252"/>
      <c r="K70" s="252"/>
      <c r="L70" s="252"/>
      <c r="M70" s="252"/>
      <c r="N70" s="252"/>
    </row>
    <row r="71" spans="2:14" s="9" customFormat="1" x14ac:dyDescent="0.2">
      <c r="B71" s="16"/>
      <c r="C71" s="252"/>
      <c r="D71" s="252"/>
      <c r="E71" s="252"/>
      <c r="F71" s="252"/>
      <c r="G71" s="252"/>
      <c r="H71" s="252"/>
      <c r="I71" s="252"/>
      <c r="J71" s="252"/>
      <c r="K71" s="252"/>
      <c r="L71" s="252"/>
      <c r="M71" s="252"/>
      <c r="N71" s="252"/>
    </row>
    <row r="72" spans="2:14" s="9" customFormat="1" x14ac:dyDescent="0.2">
      <c r="B72" s="546"/>
      <c r="C72" s="252"/>
      <c r="D72" s="252"/>
      <c r="E72" s="252"/>
      <c r="F72" s="252"/>
      <c r="G72" s="252"/>
      <c r="H72" s="252"/>
      <c r="I72" s="252"/>
      <c r="J72" s="252"/>
      <c r="K72" s="252"/>
      <c r="L72" s="252"/>
      <c r="M72" s="252"/>
      <c r="N72" s="252"/>
    </row>
    <row r="73" spans="2:14" s="9" customFormat="1" x14ac:dyDescent="0.2">
      <c r="B73" s="546"/>
      <c r="C73" s="252"/>
      <c r="D73" s="252"/>
      <c r="E73" s="252"/>
      <c r="F73" s="252"/>
      <c r="G73" s="252"/>
      <c r="H73" s="252"/>
      <c r="I73" s="252"/>
      <c r="J73" s="252"/>
      <c r="K73" s="252"/>
      <c r="L73" s="252"/>
      <c r="M73" s="252"/>
      <c r="N73" s="252"/>
    </row>
    <row r="74" spans="2:14" s="9" customFormat="1" x14ac:dyDescent="0.2">
      <c r="B74" s="252"/>
      <c r="C74" s="252"/>
      <c r="D74" s="252"/>
      <c r="E74" s="252"/>
      <c r="F74" s="252"/>
      <c r="G74" s="252"/>
      <c r="H74" s="252"/>
      <c r="I74" s="252"/>
      <c r="J74" s="252"/>
      <c r="K74" s="252"/>
      <c r="L74" s="252"/>
      <c r="M74" s="252"/>
      <c r="N74" s="252"/>
    </row>
    <row r="75" spans="2:14" s="9" customFormat="1" x14ac:dyDescent="0.2">
      <c r="B75" s="556"/>
      <c r="C75" s="548"/>
      <c r="D75" s="548"/>
      <c r="E75" s="548"/>
      <c r="F75" s="548"/>
      <c r="G75" s="548"/>
      <c r="H75" s="548"/>
      <c r="I75" s="548"/>
      <c r="J75" s="548"/>
      <c r="K75" s="548"/>
      <c r="L75" s="548"/>
      <c r="M75" s="548"/>
      <c r="N75" s="548"/>
    </row>
    <row r="76" spans="2:14" s="9" customFormat="1" x14ac:dyDescent="0.2">
      <c r="B76" s="753"/>
      <c r="C76" s="753"/>
      <c r="D76" s="753"/>
      <c r="E76" s="753"/>
      <c r="F76" s="753"/>
      <c r="G76" s="753"/>
      <c r="H76" s="753"/>
      <c r="I76" s="753"/>
      <c r="J76" s="753"/>
      <c r="K76" s="753"/>
      <c r="L76" s="753"/>
      <c r="M76" s="753"/>
      <c r="N76" s="753"/>
    </row>
    <row r="77" spans="2:14" s="9" customFormat="1" x14ac:dyDescent="0.2">
      <c r="B77" s="556"/>
      <c r="C77" s="550"/>
      <c r="D77" s="550"/>
      <c r="E77" s="550"/>
      <c r="F77" s="550"/>
      <c r="G77" s="550"/>
      <c r="H77" s="550"/>
      <c r="I77" s="550"/>
      <c r="J77" s="550"/>
      <c r="K77" s="550"/>
      <c r="L77" s="550"/>
      <c r="M77" s="550"/>
      <c r="N77" s="550"/>
    </row>
    <row r="78" spans="2:14" s="9" customFormat="1" x14ac:dyDescent="0.2">
      <c r="B78" s="548"/>
      <c r="C78" s="550"/>
      <c r="D78" s="550"/>
      <c r="E78" s="550"/>
      <c r="F78" s="550"/>
      <c r="G78" s="550"/>
      <c r="H78" s="550"/>
      <c r="I78" s="550"/>
      <c r="J78" s="550"/>
      <c r="K78" s="550"/>
      <c r="L78" s="550"/>
      <c r="M78" s="550"/>
      <c r="N78" s="550"/>
    </row>
    <row r="79" spans="2:14" s="9" customFormat="1" x14ac:dyDescent="0.2">
      <c r="B79" s="548"/>
      <c r="C79" s="550"/>
      <c r="D79" s="550"/>
      <c r="E79" s="550"/>
      <c r="F79" s="550"/>
      <c r="G79" s="550"/>
      <c r="H79" s="550"/>
      <c r="I79" s="550"/>
      <c r="J79" s="550"/>
      <c r="K79" s="550"/>
      <c r="L79" s="550"/>
      <c r="M79" s="550"/>
      <c r="N79" s="550"/>
    </row>
    <row r="80" spans="2:14" s="9" customFormat="1" x14ac:dyDescent="0.2">
      <c r="B80" s="548"/>
      <c r="C80" s="550"/>
      <c r="D80" s="550"/>
      <c r="E80" s="550"/>
      <c r="F80" s="550"/>
      <c r="G80" s="550"/>
      <c r="H80" s="550"/>
      <c r="I80" s="550"/>
      <c r="J80" s="550"/>
      <c r="K80" s="550"/>
      <c r="L80" s="550"/>
      <c r="M80" s="550"/>
      <c r="N80" s="550"/>
    </row>
    <row r="81" spans="2:14" s="9" customFormat="1" x14ac:dyDescent="0.2">
      <c r="B81" s="548"/>
      <c r="C81" s="550"/>
      <c r="D81" s="550"/>
      <c r="E81" s="550"/>
      <c r="F81" s="550"/>
      <c r="G81" s="550"/>
      <c r="H81" s="550"/>
      <c r="I81" s="550"/>
      <c r="J81" s="550"/>
      <c r="K81" s="550"/>
      <c r="L81" s="550"/>
      <c r="M81" s="550"/>
      <c r="N81" s="550"/>
    </row>
    <row r="82" spans="2:14" s="9" customFormat="1" x14ac:dyDescent="0.2">
      <c r="B82" s="548"/>
      <c r="C82" s="550"/>
      <c r="D82" s="550"/>
      <c r="E82" s="550"/>
      <c r="F82" s="550"/>
      <c r="G82" s="550"/>
      <c r="H82" s="550"/>
      <c r="I82" s="550"/>
      <c r="J82" s="550"/>
      <c r="K82" s="550"/>
      <c r="L82" s="550"/>
      <c r="M82" s="550"/>
      <c r="N82" s="550"/>
    </row>
    <row r="83" spans="2:14" s="9" customFormat="1" x14ac:dyDescent="0.2">
      <c r="B83" s="548"/>
      <c r="C83" s="550"/>
      <c r="D83" s="550"/>
      <c r="E83" s="550"/>
      <c r="F83" s="550"/>
      <c r="G83" s="550"/>
      <c r="H83" s="550"/>
      <c r="I83" s="550"/>
      <c r="J83" s="550"/>
      <c r="K83" s="550"/>
      <c r="L83" s="550"/>
      <c r="M83" s="550"/>
      <c r="N83" s="550"/>
    </row>
    <row r="84" spans="2:14" s="9" customFormat="1" x14ac:dyDescent="0.2">
      <c r="B84" s="548"/>
      <c r="C84" s="550"/>
      <c r="D84" s="550"/>
      <c r="E84" s="550"/>
      <c r="F84" s="550"/>
      <c r="G84" s="550"/>
      <c r="H84" s="550"/>
      <c r="I84" s="550"/>
      <c r="J84" s="550"/>
      <c r="K84" s="550"/>
      <c r="L84" s="550"/>
      <c r="M84" s="550"/>
      <c r="N84" s="550"/>
    </row>
    <row r="85" spans="2:14" s="9" customFormat="1" x14ac:dyDescent="0.2">
      <c r="B85" s="548"/>
      <c r="C85" s="550"/>
      <c r="D85" s="550"/>
      <c r="E85" s="550"/>
      <c r="F85" s="550"/>
      <c r="G85" s="550"/>
      <c r="H85" s="550"/>
      <c r="I85" s="550"/>
      <c r="J85" s="550"/>
      <c r="K85" s="550"/>
      <c r="L85" s="550"/>
      <c r="M85" s="550"/>
      <c r="N85" s="550"/>
    </row>
    <row r="86" spans="2:14" s="9" customFormat="1" x14ac:dyDescent="0.2">
      <c r="B86" s="548"/>
      <c r="C86" s="550"/>
      <c r="D86" s="550"/>
      <c r="E86" s="550"/>
      <c r="F86" s="550"/>
      <c r="G86" s="550"/>
      <c r="H86" s="550"/>
      <c r="I86" s="550"/>
      <c r="J86" s="550"/>
      <c r="K86" s="550"/>
      <c r="L86" s="550"/>
      <c r="M86" s="550"/>
      <c r="N86" s="550"/>
    </row>
    <row r="87" spans="2:14" s="9" customFormat="1" x14ac:dyDescent="0.2">
      <c r="B87" s="548"/>
      <c r="C87" s="550"/>
      <c r="D87" s="550"/>
      <c r="E87" s="550"/>
      <c r="F87" s="550"/>
      <c r="G87" s="550"/>
      <c r="H87" s="550"/>
      <c r="I87" s="550"/>
      <c r="J87" s="550"/>
      <c r="K87" s="550"/>
      <c r="L87" s="550"/>
      <c r="M87" s="550"/>
      <c r="N87" s="550"/>
    </row>
    <row r="88" spans="2:14" s="9" customFormat="1" x14ac:dyDescent="0.2">
      <c r="B88" s="551"/>
      <c r="C88" s="252"/>
      <c r="D88" s="252"/>
      <c r="E88" s="252"/>
      <c r="F88" s="252"/>
      <c r="G88" s="252"/>
      <c r="H88" s="252"/>
      <c r="I88" s="252"/>
      <c r="J88" s="252"/>
      <c r="K88" s="252"/>
      <c r="L88" s="252"/>
      <c r="M88" s="252"/>
      <c r="N88" s="252"/>
    </row>
    <row r="89" spans="2:14" s="9" customFormat="1" x14ac:dyDescent="0.2"/>
  </sheetData>
  <mergeCells count="4">
    <mergeCell ref="B16:N16"/>
    <mergeCell ref="B36:N36"/>
    <mergeCell ref="B56:N56"/>
    <mergeCell ref="B76:N76"/>
  </mergeCells>
  <hyperlinks>
    <hyperlink ref="B6"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116</vt:i4>
      </vt:variant>
    </vt:vector>
  </HeadingPairs>
  <TitlesOfParts>
    <vt:vector size="132" baseType="lpstr">
      <vt:lpstr>Cover</vt:lpstr>
      <vt:lpstr>Version control</vt:lpstr>
      <vt:lpstr>Calculator</vt:lpstr>
      <vt:lpstr>Guidance Notes</vt:lpstr>
      <vt:lpstr>Printable Estimate</vt:lpstr>
      <vt:lpstr>Parameters</vt:lpstr>
      <vt:lpstr>Tapers</vt:lpstr>
      <vt:lpstr>Commutation Factors</vt:lpstr>
      <vt:lpstr>LRF</vt:lpstr>
      <vt:lpstr>ERF</vt:lpstr>
      <vt:lpstr>ERF-LRF 2015</vt:lpstr>
      <vt:lpstr>1995 &amp; 2008 calcs</vt:lpstr>
      <vt:lpstr>Lump Sum</vt:lpstr>
      <vt:lpstr>Past Service CARE Calcs</vt:lpstr>
      <vt:lpstr>CARE calcs</vt:lpstr>
      <vt:lpstr>Summary</vt:lpstr>
      <vt:lpstr>ABSEndDate</vt:lpstr>
      <vt:lpstr>ABSEndDate1</vt:lpstr>
      <vt:lpstr>ABSYears</vt:lpstr>
      <vt:lpstr>Acc_1995</vt:lpstr>
      <vt:lpstr>Acc_2008</vt:lpstr>
      <vt:lpstr>Acc_CARE</vt:lpstr>
      <vt:lpstr>Acc_FPS</vt:lpstr>
      <vt:lpstr>Acc_NFPS</vt:lpstr>
      <vt:lpstr>age_exact</vt:lpstr>
      <vt:lpstr>age_lbd</vt:lpstr>
      <vt:lpstr>basis1</vt:lpstr>
      <vt:lpstr>basis2</vt:lpstr>
      <vt:lpstr>basis3</vt:lpstr>
      <vt:lpstr>care_rev</vt:lpstr>
      <vt:lpstr>ChosenRA</vt:lpstr>
      <vt:lpstr>Class_Select</vt:lpstr>
      <vt:lpstr>Classification_Key</vt:lpstr>
      <vt:lpstr>Comm_92_E</vt:lpstr>
      <vt:lpstr>Comm_92_S</vt:lpstr>
      <vt:lpstr>Comm_Factor</vt:lpstr>
      <vt:lpstr>Comm_Factor_1995</vt:lpstr>
      <vt:lpstr>Comm_Factor_2008</vt:lpstr>
      <vt:lpstr>Comm_Factor_CARE</vt:lpstr>
      <vt:lpstr>cpi</vt:lpstr>
      <vt:lpstr>cpi_1</vt:lpstr>
      <vt:lpstr>cpi_2</vt:lpstr>
      <vt:lpstr>cpi_3</vt:lpstr>
      <vt:lpstr>CurrentSal</vt:lpstr>
      <vt:lpstr>CurrentScheme</vt:lpstr>
      <vt:lpstr>Date_curr</vt:lpstr>
      <vt:lpstr>date55</vt:lpstr>
      <vt:lpstr>date60</vt:lpstr>
      <vt:lpstr>DateSPA</vt:lpstr>
      <vt:lpstr>DefDec</vt:lpstr>
      <vt:lpstr>Descriptor_Key</vt:lpstr>
      <vt:lpstr>Descriptor_Select</vt:lpstr>
      <vt:lpstr>DJS</vt:lpstr>
      <vt:lpstr>DJS_Adj</vt:lpstr>
      <vt:lpstr>DoB</vt:lpstr>
      <vt:lpstr>DoProtEnd</vt:lpstr>
      <vt:lpstr>DoR</vt:lpstr>
      <vt:lpstr>DoStartSchYear</vt:lpstr>
      <vt:lpstr>DoUnderpin</vt:lpstr>
      <vt:lpstr>DoY</vt:lpstr>
      <vt:lpstr>ERF_CARE_toapply</vt:lpstr>
      <vt:lpstr>ERF_Months</vt:lpstr>
      <vt:lpstr>ERF_Year</vt:lpstr>
      <vt:lpstr>ERF1_2015_table</vt:lpstr>
      <vt:lpstr>ERF1_table</vt:lpstr>
      <vt:lpstr>ERF10C_table</vt:lpstr>
      <vt:lpstr>ERF10D_table</vt:lpstr>
      <vt:lpstr>ERF11_table</vt:lpstr>
      <vt:lpstr>ERF12_table</vt:lpstr>
      <vt:lpstr>ERF13_table</vt:lpstr>
      <vt:lpstr>ERF14_table</vt:lpstr>
      <vt:lpstr>ERF15E_table</vt:lpstr>
      <vt:lpstr>ERF15F_table</vt:lpstr>
      <vt:lpstr>ERF2_table</vt:lpstr>
      <vt:lpstr>ERF3_table</vt:lpstr>
      <vt:lpstr>ERF4_table</vt:lpstr>
      <vt:lpstr>ERF5_table</vt:lpstr>
      <vt:lpstr>ERF6_table</vt:lpstr>
      <vt:lpstr>ERF7_table</vt:lpstr>
      <vt:lpstr>ERF8_table</vt:lpstr>
      <vt:lpstr>ERF9A_table</vt:lpstr>
      <vt:lpstr>ERF9B_table</vt:lpstr>
      <vt:lpstr>Form_Check</vt:lpstr>
      <vt:lpstr>FPSmax</vt:lpstr>
      <vt:lpstr>future_PTP</vt:lpstr>
      <vt:lpstr>Hide_range</vt:lpstr>
      <vt:lpstr>LRF_CARE_toapply</vt:lpstr>
      <vt:lpstr>LRF_Months</vt:lpstr>
      <vt:lpstr>LRF_Year</vt:lpstr>
      <vt:lpstr>LRF1_2015_table</vt:lpstr>
      <vt:lpstr>LRF1_table</vt:lpstr>
      <vt:lpstr>LRF2_2015_table</vt:lpstr>
      <vt:lpstr>Lump_Sum_1995</vt:lpstr>
      <vt:lpstr>Max_service_1995</vt:lpstr>
      <vt:lpstr>Max_service_2008</vt:lpstr>
      <vt:lpstr>Name_member</vt:lpstr>
      <vt:lpstr>NewSchDate</vt:lpstr>
      <vt:lpstr>NFPS_Comm</vt:lpstr>
      <vt:lpstr>NonUplifted</vt:lpstr>
      <vt:lpstr>Calculator!Print_Area</vt:lpstr>
      <vt:lpstr>'Printable Estimate'!Print_Area</vt:lpstr>
      <vt:lpstr>'Version control'!Print_Titles</vt:lpstr>
      <vt:lpstr>ProtectDate</vt:lpstr>
      <vt:lpstr>ProtStatus</vt:lpstr>
      <vt:lpstr>PT_Status</vt:lpstr>
      <vt:lpstr>RA_day</vt:lpstr>
      <vt:lpstr>RA_month</vt:lpstr>
      <vt:lpstr>RA_month_roundup</vt:lpstr>
      <vt:lpstr>RA_Year</vt:lpstr>
      <vt:lpstr>Reck_Days</vt:lpstr>
      <vt:lpstr>Reck_Years</vt:lpstr>
      <vt:lpstr>sch</vt:lpstr>
      <vt:lpstr>sch_1</vt:lpstr>
      <vt:lpstr>Sch_1995</vt:lpstr>
      <vt:lpstr>sch_2</vt:lpstr>
      <vt:lpstr>Sch_2008</vt:lpstr>
      <vt:lpstr>Scheme_Full</vt:lpstr>
      <vt:lpstr>SPA</vt:lpstr>
      <vt:lpstr>SPA_date</vt:lpstr>
      <vt:lpstr>Special_Class</vt:lpstr>
      <vt:lpstr>Start_date_2008</vt:lpstr>
      <vt:lpstr>tapertab1</vt:lpstr>
      <vt:lpstr>tapertab2</vt:lpstr>
      <vt:lpstr>tapertab3</vt:lpstr>
      <vt:lpstr>tapertab4</vt:lpstr>
      <vt:lpstr>tapertab5</vt:lpstr>
      <vt:lpstr>title</vt:lpstr>
      <vt:lpstr>TVinDays</vt:lpstr>
      <vt:lpstr>TVinYears</vt:lpstr>
      <vt:lpstr>Uplift_factors</vt:lpstr>
      <vt:lpstr>Uplift_Headers</vt:lpstr>
      <vt:lpstr>ValidSchemes</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Crabtree</dc:creator>
  <cp:lastModifiedBy>u205538</cp:lastModifiedBy>
  <cp:lastPrinted>2018-03-23T13:01:33Z</cp:lastPrinted>
  <dcterms:created xsi:type="dcterms:W3CDTF">2007-01-30T12:07:56Z</dcterms:created>
  <dcterms:modified xsi:type="dcterms:W3CDTF">2021-02-16T12:32:52Z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9f9ef96f46b24a1cbbce5b71bb80026f</vt:lpwstr>
  </property>
  <property fmtid="{D5CDD505-2E9C-101B-9397-08002B2CF9AE}" pid="3" name="SW-FINGERPRINT">
    <vt:lpwstr/>
  </property>
</Properties>
</file>