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Gad-ast\ast\Development_Tools\Benefit projection calculators\File sent to client team Feb 2021\"/>
    </mc:Choice>
  </mc:AlternateContent>
  <xr:revisionPtr revIDLastSave="0" documentId="13_ncr:1_{235F6D2E-BDB6-4061-8E2A-D0402B61B28E}" xr6:coauthVersionLast="45" xr6:coauthVersionMax="45" xr10:uidLastSave="{00000000-0000-0000-0000-000000000000}"/>
  <workbookProtection workbookAlgorithmName="SHA-512" workbookHashValue="QrFz1lUNeEmPv0i5Fp2fJOFRdSwJdKDnRgUZnARFhKbwwu5dG1yln8LCqw5tOOtTCTOGIGUO51ypCLy2GF7kbQ==" workbookSaltValue="PrNguFPhGghpcojPXxG13A==" workbookSpinCount="100000" lockStructure="1"/>
  <bookViews>
    <workbookView xWindow="-108" yWindow="-108" windowWidth="23256" windowHeight="12576" firstSheet="3" activeTab="3" xr2:uid="{C69F4B24-8B0C-42EE-9E96-DC418DB943AD}"/>
  </bookViews>
  <sheets>
    <sheet name="Cover" sheetId="1" state="hidden" r:id="rId1"/>
    <sheet name="AnnGenHiddenLists" sheetId="64" state="hidden" r:id="rId2"/>
    <sheet name="Version control" sheetId="4" state="hidden" r:id="rId3"/>
    <sheet name="Guidance Notes" sheetId="63" r:id="rId4"/>
    <sheet name="Calculator" sheetId="50" r:id="rId5"/>
    <sheet name="Printable Estimate" sheetId="62" r:id="rId6"/>
    <sheet name="Parameters" sheetId="51" state="hidden" r:id="rId7"/>
    <sheet name="Tapers" sheetId="53" state="hidden" r:id="rId8"/>
    <sheet name="Commutation Factors" sheetId="58" state="hidden" r:id="rId9"/>
    <sheet name="ERF and LRF" sheetId="60" state="hidden" r:id="rId10"/>
    <sheet name="FPS and NFPS calcs" sheetId="52" state="hidden" r:id="rId11"/>
    <sheet name="Past Service CARE Calcs" sheetId="56" state="hidden" r:id="rId12"/>
    <sheet name="CARE calcs" sheetId="54" state="hidden" r:id="rId13"/>
    <sheet name="CARE calcs ABS" sheetId="59" state="hidden" r:id="rId14"/>
    <sheet name="Lump Sum" sheetId="57" state="hidden" r:id="rId15"/>
    <sheet name="Summary" sheetId="55" state="hidden" r:id="rId16"/>
  </sheets>
  <externalReferences>
    <externalReference r:id="rId17"/>
    <externalReference r:id="rId18"/>
  </externalReferences>
  <definedNames>
    <definedName name="ABSEndDate">Calculator!$J$51</definedName>
    <definedName name="ABSEndDate1">Calculator!$J$43</definedName>
    <definedName name="ABSYears">[1]Parameters!$B$119:$B$128</definedName>
    <definedName name="Acc_CARE">Parameters!$F$21</definedName>
    <definedName name="Acc_FPS">Parameters!$F$19</definedName>
    <definedName name="Acc_NFPS">Parameters!$F$20</definedName>
    <definedName name="age_exact">'FPS and NFPS calcs'!$D$6</definedName>
    <definedName name="age_lbd">'FPS and NFPS calcs'!$D$7</definedName>
    <definedName name="BaseTablesList">AnnGenHiddenLists!$A$4:$A$160</definedName>
    <definedName name="basis1">Parameters!$C$88</definedName>
    <definedName name="basis2">Parameters!$C$89</definedName>
    <definedName name="basis3">Parameters!$C$90</definedName>
    <definedName name="CARE_ERFs">'ERF and LRF'!$B$30:$N$35</definedName>
    <definedName name="CARE_LRF">'ERF and LRF'!$B$44:$L$55</definedName>
    <definedName name="care_rev">Parameters!$G$91</definedName>
    <definedName name="CareComm">'Commutation Factors'!$F$7</definedName>
    <definedName name="ChosenRA">Parameters!$B$118</definedName>
    <definedName name="Class_Select">Cover!$A$54:$A$57</definedName>
    <definedName name="Classification_Key">Cover!$A$66</definedName>
    <definedName name="Comm_92_E">'Commutation Factors'!$B$46:$N$71</definedName>
    <definedName name="Comm_92_S">'Commutation Factors'!$B$14:$N$39</definedName>
    <definedName name="Comm_Factor">'Lump Sum'!$D$20</definedName>
    <definedName name="cpi">Parameters!$G$87</definedName>
    <definedName name="cpi_1">Parameters!$G$88</definedName>
    <definedName name="cpi_2">Parameters!$G$89</definedName>
    <definedName name="cpi_3">Parameters!$G$90</definedName>
    <definedName name="CurrentSal">Calculator!$J$37</definedName>
    <definedName name="CurrentScheme">Parameters!$B$111</definedName>
    <definedName name="Date_curr">Parameters!$D$96</definedName>
    <definedName name="date55">Calculator!$K$159</definedName>
    <definedName name="date60">Parameters!$B$120</definedName>
    <definedName name="DefDec">Parameters!$G$93</definedName>
    <definedName name="Descriptor_Key">Cover!$A$67</definedName>
    <definedName name="Descriptor_Select">Cover!$A$58:$A$65</definedName>
    <definedName name="DJS">Calculator!$J$30</definedName>
    <definedName name="DJS_Adj">'FPS and NFPS calcs'!$F$23</definedName>
    <definedName name="DoB">Calculator!$J$26</definedName>
    <definedName name="DoProtEnd">'FPS and NFPS calcs'!$F$25</definedName>
    <definedName name="DoR">Calculator!$J$39</definedName>
    <definedName name="DoStartSchYear">Parameters!$D$98</definedName>
    <definedName name="DoUnderpin">Parameters!$B$123</definedName>
    <definedName name="DoY">Parameters!$E$14</definedName>
    <definedName name="Factors">'[2]Factor Calculation'!$A$148:$W$207</definedName>
    <definedName name="Form_Check">Parameters!$B$130</definedName>
    <definedName name="Form_Check2">Parameters!$E$126</definedName>
    <definedName name="Form_Check3">Parameters!$J$126</definedName>
    <definedName name="FPSmax">Parameters!$F$16</definedName>
    <definedName name="future_PTP">Calculator!$J$47</definedName>
    <definedName name="Hide_range">'Printable Estimate'!$39:$50,'Printable Estimate'!$51:$51</definedName>
    <definedName name="ImprovementsList">AnnGenHiddenLists!$C$4:$C$38</definedName>
    <definedName name="Name_member">Calculator!$J$28</definedName>
    <definedName name="NewSchDate">Parameters!$E$12</definedName>
    <definedName name="NFPS_Comm">'Commutation Factors'!$F$8</definedName>
    <definedName name="NFPS_ERFs">'ERF and LRF'!$B$14:$N$23</definedName>
    <definedName name="NFPSmax">Parameters!$F$17</definedName>
    <definedName name="NFPSstart">Parameters!$E$34</definedName>
    <definedName name="NonUplifted">Parameters!$G$36</definedName>
    <definedName name="_xlnm.Print_Area" localSheetId="4">Calculator!$A$11:$N$128</definedName>
    <definedName name="_xlnm.Print_Area" localSheetId="5">'Printable Estimate'!$A$1:$H$53</definedName>
    <definedName name="_xlnm.Print_Titles" localSheetId="2">'Version control'!$A:$A</definedName>
    <definedName name="ProtectDate">Parameters!$E$10</definedName>
    <definedName name="ProtStatus">'FPS and NFPS calcs'!$F$24</definedName>
    <definedName name="PT_Status">Calculator!$J$45</definedName>
    <definedName name="RA_day">Parameters!$D$116</definedName>
    <definedName name="RA_month">Parameters!$C$116</definedName>
    <definedName name="RA_month_roundup">Parameters!$I$116</definedName>
    <definedName name="RA_Year">Parameters!$B$116</definedName>
    <definedName name="Reck_Days">Calculator!$J$54</definedName>
    <definedName name="Reck_Years">Calculator!$J$53</definedName>
    <definedName name="Reckonable_service">'Lump Sum'!$D$18</definedName>
    <definedName name="sch">Calculator!$C$143:$C$144</definedName>
    <definedName name="sch_1">Calculator!$C$143</definedName>
    <definedName name="sch_2">Calculator!$C$144</definedName>
    <definedName name="Sch_FPS">Parameters!$E$7</definedName>
    <definedName name="Sch_NFPS">Parameters!$E$8</definedName>
    <definedName name="Scheme_Full">Calculator!$J$32</definedName>
    <definedName name="tapertab1">Tapers!$B$13:$D$60</definedName>
    <definedName name="tapertab2">Tapers!$F$13:$H$60</definedName>
    <definedName name="tapertab3">Tapers!$J$13:$L$60</definedName>
    <definedName name="tapertab4">Tapers!$N$13:$P$60</definedName>
    <definedName name="tapertab5">Tapers!$R$13:$T$60</definedName>
    <definedName name="title">Cover!$A$2</definedName>
    <definedName name="TVinDays">Calculator!$J$35</definedName>
    <definedName name="TVinYears">Calculator!$J$34</definedName>
    <definedName name="Uplift_factors">Parameters!$B$42:$H$85</definedName>
    <definedName name="Uplift_Headers">Parameters!$B$41:$H$41</definedName>
    <definedName name="ValidSchemes">Parameters!$E$7:$E$8</definedName>
    <definedName name="VRA">'Lump Sum'!$D$19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6" i="51" l="1"/>
  <c r="J126" i="51" s="1"/>
  <c r="B130" i="51" l="1"/>
  <c r="E126" i="51"/>
  <c r="K41" i="50"/>
  <c r="B26" i="62" l="1"/>
  <c r="C31" i="56"/>
  <c r="C34" i="56"/>
  <c r="C32" i="56"/>
  <c r="T20" i="56"/>
  <c r="S20" i="56"/>
  <c r="R20" i="56"/>
  <c r="Q20" i="56"/>
  <c r="P20" i="56"/>
  <c r="O20" i="56"/>
  <c r="N20" i="56"/>
  <c r="M20" i="56"/>
  <c r="L20" i="56"/>
  <c r="K20" i="56"/>
  <c r="J20" i="56"/>
  <c r="I20" i="56"/>
  <c r="H20" i="56"/>
  <c r="G20" i="56"/>
  <c r="F20" i="56"/>
  <c r="E20" i="56"/>
  <c r="D20" i="56"/>
  <c r="C20" i="56"/>
  <c r="T19" i="56"/>
  <c r="S19" i="56"/>
  <c r="R19" i="56"/>
  <c r="Q19" i="56"/>
  <c r="P19" i="56"/>
  <c r="O19" i="56"/>
  <c r="N19" i="56"/>
  <c r="M19" i="56"/>
  <c r="L19" i="56"/>
  <c r="K19" i="56"/>
  <c r="J19" i="56"/>
  <c r="I19" i="56"/>
  <c r="H19" i="56"/>
  <c r="G19" i="56"/>
  <c r="F19" i="56"/>
  <c r="E19" i="56"/>
  <c r="D19" i="56"/>
  <c r="C19" i="56"/>
  <c r="C7" i="56"/>
  <c r="G91" i="51" l="1"/>
  <c r="C33" i="56" s="1"/>
  <c r="D169" i="50" l="1"/>
  <c r="N15" i="52"/>
  <c r="M14" i="52"/>
  <c r="M13" i="52"/>
  <c r="K159" i="50"/>
  <c r="D158" i="50" l="1"/>
  <c r="C39" i="50"/>
  <c r="C56" i="50"/>
  <c r="H88" i="51" l="1"/>
  <c r="G88" i="51" s="1"/>
  <c r="D23" i="52" l="1"/>
  <c r="E23" i="52" s="1"/>
  <c r="K18" i="52" l="1"/>
  <c r="K15" i="52"/>
  <c r="J13" i="52" l="1"/>
  <c r="N21" i="53"/>
  <c r="N20" i="53"/>
  <c r="N19" i="53"/>
  <c r="N18" i="53"/>
  <c r="N17" i="53"/>
  <c r="N16" i="53"/>
  <c r="N15" i="53"/>
  <c r="N14" i="53"/>
  <c r="N13" i="53"/>
  <c r="D18" i="57" l="1"/>
  <c r="I21" i="57" s="1"/>
  <c r="I20" i="57" l="1"/>
  <c r="D19" i="57" l="1"/>
  <c r="R23" i="53" l="1"/>
  <c r="R22" i="53"/>
  <c r="R21" i="53"/>
  <c r="R20" i="53"/>
  <c r="R19" i="53"/>
  <c r="R18" i="53"/>
  <c r="R17" i="53"/>
  <c r="R16" i="53"/>
  <c r="R15" i="53"/>
  <c r="R14" i="53"/>
  <c r="R13" i="53"/>
  <c r="R24" i="53"/>
  <c r="R35" i="53"/>
  <c r="R34" i="53"/>
  <c r="R33" i="53"/>
  <c r="R32" i="53"/>
  <c r="R31" i="53"/>
  <c r="R30" i="53"/>
  <c r="R29" i="53"/>
  <c r="R28" i="53"/>
  <c r="R27" i="53"/>
  <c r="R26" i="53"/>
  <c r="R25" i="53"/>
  <c r="R36" i="53"/>
  <c r="R47" i="53"/>
  <c r="R46" i="53"/>
  <c r="R45" i="53"/>
  <c r="R44" i="53"/>
  <c r="R43" i="53"/>
  <c r="R42" i="53"/>
  <c r="R41" i="53"/>
  <c r="R40" i="53"/>
  <c r="R39" i="53"/>
  <c r="R38" i="53"/>
  <c r="R37" i="53"/>
  <c r="R48" i="53"/>
  <c r="R59" i="53"/>
  <c r="R58" i="53"/>
  <c r="R57" i="53"/>
  <c r="R56" i="53"/>
  <c r="R55" i="53"/>
  <c r="R54" i="53"/>
  <c r="R53" i="53"/>
  <c r="R52" i="53"/>
  <c r="R51" i="53"/>
  <c r="R50" i="53"/>
  <c r="R49" i="53"/>
  <c r="R60" i="53"/>
  <c r="N23" i="53"/>
  <c r="N22" i="53"/>
  <c r="N24" i="53"/>
  <c r="N35" i="53"/>
  <c r="N34" i="53"/>
  <c r="N33" i="53"/>
  <c r="N32" i="53"/>
  <c r="N31" i="53"/>
  <c r="N30" i="53"/>
  <c r="N29" i="53"/>
  <c r="N28" i="53"/>
  <c r="N27" i="53"/>
  <c r="N26" i="53"/>
  <c r="N25" i="53"/>
  <c r="N36" i="53"/>
  <c r="N47" i="53"/>
  <c r="N46" i="53"/>
  <c r="N45" i="53"/>
  <c r="N44" i="53"/>
  <c r="N43" i="53"/>
  <c r="N42" i="53"/>
  <c r="N41" i="53"/>
  <c r="N40" i="53"/>
  <c r="N39" i="53"/>
  <c r="N38" i="53"/>
  <c r="N37" i="53"/>
  <c r="N48" i="53"/>
  <c r="N59" i="53"/>
  <c r="N58" i="53"/>
  <c r="N57" i="53"/>
  <c r="N56" i="53"/>
  <c r="N55" i="53"/>
  <c r="N54" i="53"/>
  <c r="N53" i="53"/>
  <c r="N52" i="53"/>
  <c r="N51" i="53"/>
  <c r="N50" i="53"/>
  <c r="N49" i="53"/>
  <c r="N60" i="53"/>
  <c r="J14" i="52"/>
  <c r="F21" i="51" l="1"/>
  <c r="C41" i="52" l="1"/>
  <c r="C42" i="52"/>
  <c r="C43" i="52"/>
  <c r="D9" i="54" l="1"/>
  <c r="E51" i="52" l="1"/>
  <c r="D50" i="52"/>
  <c r="D14" i="52" l="1"/>
  <c r="D13" i="52"/>
  <c r="D15" i="52" s="1"/>
  <c r="E21" i="52"/>
  <c r="D21" i="52"/>
  <c r="F20" i="51" l="1"/>
  <c r="G36" i="51" l="1"/>
  <c r="D11" i="52"/>
  <c r="C28" i="62" l="1"/>
  <c r="E15" i="62" l="1"/>
  <c r="E21" i="62"/>
  <c r="E19" i="62"/>
  <c r="E17" i="62"/>
  <c r="E13" i="62"/>
  <c r="B116" i="51" l="1"/>
  <c r="C116" i="51" s="1"/>
  <c r="C32" i="50" l="1"/>
  <c r="D37" i="55" l="1"/>
  <c r="I67" i="50" l="1"/>
  <c r="D14" i="57" l="1"/>
  <c r="C46" i="55" l="1"/>
  <c r="C45" i="55"/>
  <c r="C40" i="55"/>
  <c r="C39" i="55"/>
  <c r="F36" i="55"/>
  <c r="E36" i="55"/>
  <c r="D36" i="55"/>
  <c r="F37" i="55" l="1"/>
  <c r="E37" i="55"/>
  <c r="D116" i="51" l="1"/>
  <c r="B120" i="51" l="1"/>
  <c r="F116" i="51" l="1"/>
  <c r="G116" i="51" l="1"/>
  <c r="A4" i="60"/>
  <c r="A2" i="60"/>
  <c r="H116" i="51" l="1"/>
  <c r="I116" i="51" s="1"/>
  <c r="B114" i="51"/>
  <c r="E9" i="54"/>
  <c r="F9" i="54" s="1"/>
  <c r="E22" i="52"/>
  <c r="D22" i="52"/>
  <c r="G117" i="51" l="1"/>
  <c r="H117" i="51" s="1"/>
  <c r="B118" i="51"/>
  <c r="D10" i="59"/>
  <c r="D9" i="59"/>
  <c r="A4" i="59"/>
  <c r="A2" i="59"/>
  <c r="D59" i="52"/>
  <c r="E59" i="52"/>
  <c r="D51" i="52"/>
  <c r="E50" i="52"/>
  <c r="C60" i="52"/>
  <c r="E48" i="62" l="1"/>
  <c r="E46" i="62"/>
  <c r="E43" i="62"/>
  <c r="D21" i="54"/>
  <c r="C78" i="50"/>
  <c r="C77" i="50"/>
  <c r="C88" i="50"/>
  <c r="I22" i="57"/>
  <c r="I117" i="51"/>
  <c r="D22" i="54"/>
  <c r="C48" i="62"/>
  <c r="C46" i="62"/>
  <c r="C45" i="62"/>
  <c r="C43" i="62"/>
  <c r="C39" i="62"/>
  <c r="B51" i="62"/>
  <c r="D7" i="57"/>
  <c r="C47" i="55"/>
  <c r="C42" i="55"/>
  <c r="C41" i="55"/>
  <c r="D10" i="54"/>
  <c r="C86" i="50"/>
  <c r="C85" i="50"/>
  <c r="C75" i="50"/>
  <c r="C74" i="50"/>
  <c r="E159" i="50"/>
  <c r="B111" i="51"/>
  <c r="F50" i="52" l="1"/>
  <c r="D12" i="52"/>
  <c r="D16" i="52" s="1"/>
  <c r="F51" i="52"/>
  <c r="F59" i="52"/>
  <c r="F22" i="52"/>
  <c r="F23" i="52"/>
  <c r="C90" i="50"/>
  <c r="C91" i="50"/>
  <c r="C81" i="50"/>
  <c r="C80" i="50"/>
  <c r="D17" i="52" l="1"/>
  <c r="D18" i="52" s="1"/>
  <c r="D96" i="51"/>
  <c r="T21" i="56" l="1"/>
  <c r="P21" i="56"/>
  <c r="L21" i="56"/>
  <c r="H21" i="56"/>
  <c r="D21" i="56"/>
  <c r="Q21" i="56"/>
  <c r="E21" i="56"/>
  <c r="S21" i="56"/>
  <c r="O21" i="56"/>
  <c r="K21" i="56"/>
  <c r="G21" i="56"/>
  <c r="C21" i="56"/>
  <c r="I21" i="56"/>
  <c r="R21" i="56"/>
  <c r="N21" i="56"/>
  <c r="J21" i="56"/>
  <c r="F21" i="56"/>
  <c r="M21" i="56"/>
  <c r="K22" i="52"/>
  <c r="J20" i="52"/>
  <c r="J21" i="52"/>
  <c r="J25" i="52" s="1"/>
  <c r="J17" i="52"/>
  <c r="D19" i="52"/>
  <c r="J9" i="52"/>
  <c r="K160" i="50"/>
  <c r="D53" i="62"/>
  <c r="D18" i="54"/>
  <c r="D15" i="59"/>
  <c r="D31" i="52"/>
  <c r="C138" i="50" l="1"/>
  <c r="F15" i="55"/>
  <c r="E15" i="55"/>
  <c r="C26" i="55"/>
  <c r="D9" i="52"/>
  <c r="F23" i="55"/>
  <c r="E23" i="55"/>
  <c r="D23" i="55"/>
  <c r="D25" i="55"/>
  <c r="E31" i="52"/>
  <c r="F31" i="52" s="1"/>
  <c r="E143" i="50"/>
  <c r="G93" i="51"/>
  <c r="F31" i="57"/>
  <c r="E31" i="57"/>
  <c r="D31" i="57"/>
  <c r="E187" i="50"/>
  <c r="E186" i="50"/>
  <c r="G185" i="50"/>
  <c r="F185" i="50"/>
  <c r="E185" i="50"/>
  <c r="F23" i="57"/>
  <c r="E23" i="57"/>
  <c r="D23" i="57"/>
  <c r="C15" i="56"/>
  <c r="C40" i="52"/>
  <c r="C39" i="52"/>
  <c r="C38" i="52"/>
  <c r="C37" i="52"/>
  <c r="C36" i="52"/>
  <c r="C35" i="52"/>
  <c r="C34" i="52"/>
  <c r="C33" i="52"/>
  <c r="C32" i="52"/>
  <c r="F7" i="55"/>
  <c r="E7" i="55"/>
  <c r="D7" i="55"/>
  <c r="G90" i="51"/>
  <c r="G89" i="51"/>
  <c r="D8" i="57"/>
  <c r="A4" i="58"/>
  <c r="A2" i="58"/>
  <c r="A4" i="57"/>
  <c r="A2" i="57"/>
  <c r="A4" i="56"/>
  <c r="A2" i="56"/>
  <c r="C153" i="50"/>
  <c r="C139" i="50"/>
  <c r="D144" i="50"/>
  <c r="E166" i="50"/>
  <c r="D147" i="50"/>
  <c r="E153" i="50"/>
  <c r="D171" i="50"/>
  <c r="D15" i="55"/>
  <c r="D8" i="55"/>
  <c r="F8" i="55" s="1"/>
  <c r="A4" i="55"/>
  <c r="A2" i="55"/>
  <c r="A4" i="54"/>
  <c r="A2" i="54"/>
  <c r="A4" i="53"/>
  <c r="A2" i="53"/>
  <c r="F19" i="51"/>
  <c r="A4" i="52"/>
  <c r="A2" i="52"/>
  <c r="A4" i="51"/>
  <c r="A2" i="51"/>
  <c r="A2" i="4"/>
  <c r="A4" i="4"/>
  <c r="A4" i="1"/>
  <c r="M7" i="52" l="1"/>
  <c r="D30" i="52"/>
  <c r="D170" i="50"/>
  <c r="D168" i="50"/>
  <c r="D10" i="52"/>
  <c r="K27" i="52" s="1"/>
  <c r="J16" i="52"/>
  <c r="J23" i="52" s="1"/>
  <c r="J7" i="52"/>
  <c r="M15" i="52"/>
  <c r="M10" i="52"/>
  <c r="J8" i="52"/>
  <c r="E52" i="52"/>
  <c r="E53" i="52" s="1"/>
  <c r="D52" i="52"/>
  <c r="D9" i="57"/>
  <c r="D12" i="57" s="1"/>
  <c r="C143" i="50"/>
  <c r="C144" i="50" s="1"/>
  <c r="D153" i="50"/>
  <c r="E10" i="54"/>
  <c r="E24" i="55" s="1"/>
  <c r="D13" i="54"/>
  <c r="D11" i="54"/>
  <c r="D12" i="54" s="1"/>
  <c r="F11" i="54"/>
  <c r="F12" i="54" s="1"/>
  <c r="C16" i="56"/>
  <c r="F13" i="54"/>
  <c r="E25" i="55"/>
  <c r="E8" i="55"/>
  <c r="D11" i="55"/>
  <c r="E11" i="55" s="1"/>
  <c r="D24" i="55"/>
  <c r="E13" i="54"/>
  <c r="E11" i="54"/>
  <c r="E12" i="54" s="1"/>
  <c r="C140" i="50"/>
  <c r="B97" i="51"/>
  <c r="D97" i="51"/>
  <c r="C97" i="51"/>
  <c r="D146" i="50"/>
  <c r="D53" i="52"/>
  <c r="D98" i="51" l="1"/>
  <c r="D172" i="50"/>
  <c r="C158" i="50" s="1"/>
  <c r="E24" i="52"/>
  <c r="J19" i="52"/>
  <c r="J10" i="52"/>
  <c r="J26" i="52"/>
  <c r="J24" i="52"/>
  <c r="D13" i="57"/>
  <c r="F52" i="52"/>
  <c r="F53" i="52"/>
  <c r="F10" i="54"/>
  <c r="F24" i="55" s="1"/>
  <c r="D12" i="55"/>
  <c r="D14" i="55"/>
  <c r="E14" i="55"/>
  <c r="F14" i="55"/>
  <c r="F11" i="55"/>
  <c r="F25" i="55"/>
  <c r="D21" i="57" l="1"/>
  <c r="D15" i="57"/>
  <c r="D20" i="57" s="1"/>
  <c r="D25" i="56"/>
  <c r="D26" i="56" s="1"/>
  <c r="P25" i="56"/>
  <c r="P26" i="56" s="1"/>
  <c r="Q25" i="56"/>
  <c r="Q26" i="56" s="1"/>
  <c r="N25" i="56"/>
  <c r="N26" i="56" s="1"/>
  <c r="O25" i="56"/>
  <c r="O26" i="56" s="1"/>
  <c r="M25" i="56"/>
  <c r="M26" i="56" s="1"/>
  <c r="E25" i="56"/>
  <c r="E26" i="56" s="1"/>
  <c r="T25" i="56"/>
  <c r="T26" i="56" s="1"/>
  <c r="I25" i="56"/>
  <c r="I26" i="56" s="1"/>
  <c r="R25" i="56"/>
  <c r="R26" i="56" s="1"/>
  <c r="S25" i="56"/>
  <c r="S26" i="56" s="1"/>
  <c r="K25" i="56"/>
  <c r="K26" i="56" s="1"/>
  <c r="C25" i="56"/>
  <c r="C26" i="56" s="1"/>
  <c r="H25" i="56"/>
  <c r="H26" i="56" s="1"/>
  <c r="F25" i="56"/>
  <c r="F26" i="56" s="1"/>
  <c r="G25" i="56"/>
  <c r="G26" i="56" s="1"/>
  <c r="L25" i="56"/>
  <c r="L26" i="56" s="1"/>
  <c r="J25" i="56"/>
  <c r="J26" i="56" s="1"/>
  <c r="D167" i="50"/>
  <c r="E25" i="52"/>
  <c r="E27" i="52" s="1"/>
  <c r="J22" i="52"/>
  <c r="J27" i="52"/>
  <c r="J18" i="52"/>
  <c r="J15" i="52"/>
  <c r="D54" i="52"/>
  <c r="E183" i="50"/>
  <c r="D29" i="54"/>
  <c r="D30" i="54" s="1"/>
  <c r="E55" i="52"/>
  <c r="E58" i="52"/>
  <c r="D58" i="52"/>
  <c r="D22" i="59"/>
  <c r="D23" i="59" s="1"/>
  <c r="E54" i="52"/>
  <c r="E30" i="52"/>
  <c r="E184" i="50"/>
  <c r="C141" i="50"/>
  <c r="F12" i="55"/>
  <c r="E12" i="55"/>
  <c r="D6" i="52"/>
  <c r="G159" i="50" s="1"/>
  <c r="G163" i="50" s="1"/>
  <c r="C161" i="50" l="1"/>
  <c r="E161" i="50"/>
  <c r="G160" i="50"/>
  <c r="G158" i="50"/>
  <c r="E26" i="52"/>
  <c r="E28" i="52" s="1"/>
  <c r="E45" i="52" s="1"/>
  <c r="J28" i="52"/>
  <c r="D24" i="52" s="1"/>
  <c r="D29" i="52"/>
  <c r="D34" i="52" s="1"/>
  <c r="J29" i="52"/>
  <c r="F30" i="52"/>
  <c r="F58" i="52"/>
  <c r="F29" i="54"/>
  <c r="D57" i="52"/>
  <c r="E57" i="52"/>
  <c r="E56" i="52"/>
  <c r="E60" i="52" s="1"/>
  <c r="E29" i="52"/>
  <c r="D7" i="52"/>
  <c r="K161" i="50" s="1"/>
  <c r="E30" i="54"/>
  <c r="E29" i="54"/>
  <c r="D8" i="52"/>
  <c r="H158" i="50" l="1"/>
  <c r="G164" i="50"/>
  <c r="G165" i="50" s="1"/>
  <c r="G161" i="50"/>
  <c r="G166" i="50" s="1"/>
  <c r="D25" i="52"/>
  <c r="H159" i="50" s="1"/>
  <c r="H163" i="50" s="1"/>
  <c r="F29" i="52"/>
  <c r="F57" i="52"/>
  <c r="D32" i="52"/>
  <c r="D33" i="52"/>
  <c r="D37" i="52"/>
  <c r="E32" i="52"/>
  <c r="E35" i="52" s="1"/>
  <c r="E38" i="52" s="1"/>
  <c r="E34" i="52"/>
  <c r="E37" i="52" s="1"/>
  <c r="E40" i="52" s="1"/>
  <c r="E33" i="52"/>
  <c r="E36" i="52" s="1"/>
  <c r="E39" i="52" s="1"/>
  <c r="F30" i="54"/>
  <c r="G162" i="50" l="1"/>
  <c r="F24" i="52"/>
  <c r="C63" i="50" s="1"/>
  <c r="F32" i="52"/>
  <c r="D9" i="55" s="1"/>
  <c r="F37" i="52"/>
  <c r="F10" i="55" s="1"/>
  <c r="F33" i="52"/>
  <c r="E9" i="55" s="1"/>
  <c r="F34" i="52"/>
  <c r="F9" i="55" s="1"/>
  <c r="F38" i="55" s="1"/>
  <c r="D36" i="52"/>
  <c r="D35" i="52"/>
  <c r="F35" i="52" s="1"/>
  <c r="D38" i="55" l="1"/>
  <c r="E38" i="55"/>
  <c r="D6" i="54"/>
  <c r="D31" i="54" s="1"/>
  <c r="D26" i="52"/>
  <c r="F26" i="52" s="1"/>
  <c r="H160" i="50"/>
  <c r="H164" i="50" s="1"/>
  <c r="H165" i="50" s="1"/>
  <c r="F25" i="52"/>
  <c r="C6" i="56" s="1"/>
  <c r="C8" i="56" s="1"/>
  <c r="E174" i="50"/>
  <c r="D6" i="59"/>
  <c r="D24" i="59" s="1"/>
  <c r="F36" i="52"/>
  <c r="E10" i="55" s="1"/>
  <c r="D10" i="55"/>
  <c r="D27" i="52"/>
  <c r="F27" i="52" s="1"/>
  <c r="F31" i="54" l="1"/>
  <c r="E31" i="54"/>
  <c r="H161" i="50"/>
  <c r="D7" i="59"/>
  <c r="D12" i="59" s="1"/>
  <c r="D18" i="59" s="1"/>
  <c r="D13" i="55"/>
  <c r="D7" i="54"/>
  <c r="E13" i="55"/>
  <c r="F13" i="55"/>
  <c r="D19" i="54"/>
  <c r="D32" i="54" s="1"/>
  <c r="F32" i="54" s="1"/>
  <c r="E175" i="50"/>
  <c r="D16" i="59"/>
  <c r="D25" i="59" s="1"/>
  <c r="D26" i="59" s="1"/>
  <c r="D27" i="59" s="1"/>
  <c r="D28" i="52"/>
  <c r="D45" i="52" s="1"/>
  <c r="H166" i="50" l="1"/>
  <c r="H162" i="50"/>
  <c r="D15" i="54"/>
  <c r="D24" i="54" s="1"/>
  <c r="C17" i="56"/>
  <c r="F28" i="52"/>
  <c r="D16" i="55" s="1"/>
  <c r="E16" i="55" s="1"/>
  <c r="F45" i="52"/>
  <c r="I68" i="50" s="1"/>
  <c r="E176" i="50"/>
  <c r="F176" i="50" s="1"/>
  <c r="E180" i="50" s="1"/>
  <c r="D39" i="52"/>
  <c r="F39" i="52" s="1"/>
  <c r="D38" i="52"/>
  <c r="F38" i="52" s="1"/>
  <c r="D25" i="57" s="1"/>
  <c r="D40" i="52"/>
  <c r="F40" i="52" s="1"/>
  <c r="D19" i="59"/>
  <c r="D21" i="59" s="1"/>
  <c r="D13" i="59"/>
  <c r="D14" i="59" s="1"/>
  <c r="D16" i="54"/>
  <c r="F175" i="50"/>
  <c r="E32" i="54"/>
  <c r="M23" i="56" l="1"/>
  <c r="S22" i="56"/>
  <c r="S24" i="56" s="1"/>
  <c r="S27" i="56" s="1"/>
  <c r="S28" i="56" s="1"/>
  <c r="C22" i="56"/>
  <c r="K22" i="56"/>
  <c r="K24" i="56" s="1"/>
  <c r="K27" i="56" s="1"/>
  <c r="K28" i="56" s="1"/>
  <c r="T22" i="56"/>
  <c r="T24" i="56" s="1"/>
  <c r="T27" i="56" s="1"/>
  <c r="T28" i="56" s="1"/>
  <c r="G22" i="56"/>
  <c r="I23" i="56"/>
  <c r="O22" i="56"/>
  <c r="O24" i="56" s="1"/>
  <c r="O27" i="56" s="1"/>
  <c r="O28" i="56" s="1"/>
  <c r="E23" i="56"/>
  <c r="Q23" i="56"/>
  <c r="J23" i="56"/>
  <c r="S23" i="56"/>
  <c r="L23" i="56"/>
  <c r="R23" i="56"/>
  <c r="E22" i="56"/>
  <c r="J22" i="56"/>
  <c r="J24" i="56" s="1"/>
  <c r="J27" i="56" s="1"/>
  <c r="J28" i="56" s="1"/>
  <c r="D22" i="56"/>
  <c r="L22" i="56"/>
  <c r="L24" i="56" s="1"/>
  <c r="L27" i="56" s="1"/>
  <c r="L28" i="56" s="1"/>
  <c r="H23" i="56"/>
  <c r="F22" i="56"/>
  <c r="N23" i="56"/>
  <c r="I22" i="56"/>
  <c r="I24" i="56" s="1"/>
  <c r="I27" i="56" s="1"/>
  <c r="I28" i="56" s="1"/>
  <c r="P23" i="56"/>
  <c r="H22" i="56"/>
  <c r="H24" i="56" s="1"/>
  <c r="H27" i="56" s="1"/>
  <c r="H28" i="56" s="1"/>
  <c r="M22" i="56"/>
  <c r="M24" i="56" s="1"/>
  <c r="M27" i="56" s="1"/>
  <c r="M28" i="56" s="1"/>
  <c r="N22" i="56"/>
  <c r="N24" i="56" s="1"/>
  <c r="N27" i="56" s="1"/>
  <c r="N28" i="56" s="1"/>
  <c r="F23" i="56"/>
  <c r="C23" i="56"/>
  <c r="D23" i="56"/>
  <c r="T23" i="56"/>
  <c r="G23" i="56"/>
  <c r="Q22" i="56"/>
  <c r="Q24" i="56" s="1"/>
  <c r="Q27" i="56" s="1"/>
  <c r="Q28" i="56" s="1"/>
  <c r="R22" i="56"/>
  <c r="R24" i="56" s="1"/>
  <c r="R27" i="56" s="1"/>
  <c r="R28" i="56" s="1"/>
  <c r="P22" i="56"/>
  <c r="P24" i="56" s="1"/>
  <c r="P27" i="56" s="1"/>
  <c r="P28" i="56" s="1"/>
  <c r="K23" i="56"/>
  <c r="O23" i="56"/>
  <c r="E158" i="50"/>
  <c r="D17" i="54"/>
  <c r="F24" i="54"/>
  <c r="F33" i="54" s="1"/>
  <c r="F34" i="54" s="1"/>
  <c r="F35" i="54" s="1"/>
  <c r="E24" i="54"/>
  <c r="E33" i="54" s="1"/>
  <c r="E34" i="54" s="1"/>
  <c r="E35" i="54" s="1"/>
  <c r="D33" i="54"/>
  <c r="D34" i="54" s="1"/>
  <c r="D35" i="54" s="1"/>
  <c r="D25" i="54"/>
  <c r="E25" i="54" s="1"/>
  <c r="D28" i="57"/>
  <c r="F16" i="55"/>
  <c r="E25" i="57"/>
  <c r="E28" i="57" s="1"/>
  <c r="D55" i="52"/>
  <c r="F55" i="52" s="1"/>
  <c r="F54" i="52"/>
  <c r="F25" i="57"/>
  <c r="F28" i="57" s="1"/>
  <c r="F24" i="56" l="1"/>
  <c r="F27" i="56" s="1"/>
  <c r="F28" i="56" s="1"/>
  <c r="G24" i="56"/>
  <c r="G27" i="56" s="1"/>
  <c r="G28" i="56" s="1"/>
  <c r="E24" i="56"/>
  <c r="E27" i="56" s="1"/>
  <c r="E28" i="56" s="1"/>
  <c r="D24" i="56"/>
  <c r="D27" i="56" s="1"/>
  <c r="D28" i="56" s="1"/>
  <c r="C24" i="56"/>
  <c r="C27" i="56" s="1"/>
  <c r="C28" i="56" s="1"/>
  <c r="D27" i="54"/>
  <c r="D28" i="54" s="1"/>
  <c r="E27" i="54"/>
  <c r="E28" i="54" s="1"/>
  <c r="F25" i="54"/>
  <c r="F27" i="54" s="1"/>
  <c r="F28" i="54" s="1"/>
  <c r="D26" i="57"/>
  <c r="D19" i="55" s="1"/>
  <c r="D18" i="55"/>
  <c r="D46" i="55" s="1"/>
  <c r="F18" i="55"/>
  <c r="F46" i="55" s="1"/>
  <c r="F49" i="55" s="1"/>
  <c r="F26" i="57"/>
  <c r="F19" i="55" s="1"/>
  <c r="E17" i="55"/>
  <c r="E45" i="55" s="1"/>
  <c r="E26" i="57"/>
  <c r="E19" i="55" s="1"/>
  <c r="M86" i="50"/>
  <c r="M91" i="50" s="1"/>
  <c r="D17" i="55"/>
  <c r="E18" i="55"/>
  <c r="E46" i="55" s="1"/>
  <c r="D56" i="52"/>
  <c r="F56" i="52" s="1"/>
  <c r="F17" i="55"/>
  <c r="C29" i="56" l="1"/>
  <c r="C35" i="56" s="1"/>
  <c r="D26" i="54" s="1"/>
  <c r="D36" i="54" s="1"/>
  <c r="D20" i="59"/>
  <c r="D28" i="59" s="1"/>
  <c r="D29" i="59" s="1"/>
  <c r="D32" i="55" s="1"/>
  <c r="D51" i="55" s="1"/>
  <c r="F51" i="55" s="1"/>
  <c r="F40" i="55"/>
  <c r="M75" i="50" s="1"/>
  <c r="D60" i="52"/>
  <c r="K85" i="50"/>
  <c r="D45" i="55"/>
  <c r="F45" i="55"/>
  <c r="E49" i="55"/>
  <c r="E40" i="55"/>
  <c r="D40" i="55"/>
  <c r="D49" i="55"/>
  <c r="I86" i="50"/>
  <c r="K86" i="50"/>
  <c r="K91" i="50" s="1"/>
  <c r="D27" i="57"/>
  <c r="D20" i="55" s="1"/>
  <c r="D21" i="55"/>
  <c r="E27" i="57"/>
  <c r="E20" i="55" s="1"/>
  <c r="F27" i="57"/>
  <c r="F20" i="55" s="1"/>
  <c r="E21" i="55" l="1"/>
  <c r="E26" i="54"/>
  <c r="E36" i="54" s="1"/>
  <c r="E51" i="55"/>
  <c r="I91" i="50"/>
  <c r="F26" i="54"/>
  <c r="F36" i="54" s="1"/>
  <c r="F60" i="52"/>
  <c r="D31" i="55" s="1"/>
  <c r="D34" i="55"/>
  <c r="M85" i="50"/>
  <c r="F39" i="55"/>
  <c r="E39" i="55"/>
  <c r="D39" i="55"/>
  <c r="K75" i="50"/>
  <c r="I75" i="50"/>
  <c r="I85" i="50"/>
  <c r="F21" i="55"/>
  <c r="F37" i="54" l="1"/>
  <c r="F38" i="54" s="1"/>
  <c r="F32" i="57" s="1"/>
  <c r="E37" i="54"/>
  <c r="E38" i="54" s="1"/>
  <c r="E32" i="57" s="1"/>
  <c r="D37" i="54"/>
  <c r="D50" i="55"/>
  <c r="D52" i="55" s="1"/>
  <c r="E52" i="55" s="1"/>
  <c r="D33" i="55"/>
  <c r="D53" i="55"/>
  <c r="F53" i="55" s="1"/>
  <c r="I74" i="50"/>
  <c r="K74" i="50"/>
  <c r="M74" i="50"/>
  <c r="E26" i="55" l="1"/>
  <c r="E47" i="55" s="1"/>
  <c r="K88" i="50" s="1"/>
  <c r="E33" i="57"/>
  <c r="E34" i="57" s="1"/>
  <c r="E29" i="55" s="1"/>
  <c r="E41" i="55" s="1"/>
  <c r="K77" i="50" s="1"/>
  <c r="F26" i="55"/>
  <c r="F47" i="55" s="1"/>
  <c r="M88" i="50" s="1"/>
  <c r="F33" i="57"/>
  <c r="F35" i="57" s="1"/>
  <c r="F27" i="55" s="1"/>
  <c r="F42" i="55" s="1"/>
  <c r="D38" i="54"/>
  <c r="D32" i="57" s="1"/>
  <c r="F50" i="55"/>
  <c r="E50" i="55"/>
  <c r="E53" i="55"/>
  <c r="F52" i="55"/>
  <c r="E28" i="55" l="1"/>
  <c r="E48" i="55"/>
  <c r="K90" i="50" s="1"/>
  <c r="E43" i="55"/>
  <c r="K80" i="50" s="1"/>
  <c r="E35" i="57"/>
  <c r="E27" i="55" s="1"/>
  <c r="F34" i="57"/>
  <c r="F29" i="55" s="1"/>
  <c r="F41" i="55" s="1"/>
  <c r="M77" i="50" s="1"/>
  <c r="F28" i="55"/>
  <c r="F48" i="55"/>
  <c r="M90" i="50" s="1"/>
  <c r="D33" i="57"/>
  <c r="D35" i="57" s="1"/>
  <c r="D27" i="55" s="1"/>
  <c r="D26" i="55"/>
  <c r="D47" i="55" s="1"/>
  <c r="M78" i="50"/>
  <c r="F44" i="55"/>
  <c r="E42" i="55" l="1"/>
  <c r="F43" i="55"/>
  <c r="M80" i="50" s="1"/>
  <c r="D34" i="57"/>
  <c r="D29" i="55" s="1"/>
  <c r="D41" i="55" s="1"/>
  <c r="D28" i="55"/>
  <c r="M81" i="50"/>
  <c r="D48" i="55"/>
  <c r="D42" i="55"/>
  <c r="I88" i="50"/>
  <c r="E44" i="55" l="1"/>
  <c r="K81" i="50" s="1"/>
  <c r="K78" i="50"/>
  <c r="I90" i="50"/>
  <c r="E28" i="62" s="1"/>
  <c r="D43" i="55"/>
  <c r="I77" i="50"/>
  <c r="I78" i="50"/>
  <c r="D44" i="55"/>
  <c r="I80" i="50" l="1"/>
  <c r="E35" i="62" s="1"/>
  <c r="I81" i="50"/>
  <c r="E37" i="6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Michael Crabtree</author>
    <author>Ashara Peiris</author>
    <author>mara</author>
    <author>Brian Allan</author>
  </authors>
  <commentList>
    <comment ref="L30" authorId="0" shapeId="0" xr:uid="{00000000-0006-0000-0300-000001000000}">
      <text>
        <r>
          <rPr>
            <sz val="9"/>
            <color indexed="81"/>
            <rFont val="Tahoma"/>
            <family val="2"/>
          </rPr>
          <t>We use this to calculate your service to retirement.</t>
        </r>
      </text>
    </comment>
    <comment ref="L32" authorId="0" shapeId="0" xr:uid="{00000000-0006-0000-0300-000002000000}">
      <text>
        <r>
          <rPr>
            <sz val="9"/>
            <color indexed="81"/>
            <rFont val="Tahoma"/>
            <family val="2"/>
          </rPr>
          <t xml:space="preserve">Choose the scheme you are currently a member of, not the scheme you originally joined if you have switched schemes. This can either be the Police Pension Scheme 1987 ("PPS") or the New Police Pension Scheme 2006 ("NPPS").
</t>
        </r>
      </text>
    </comment>
    <comment ref="L34" authorId="0" shapeId="0" xr:uid="{00000000-0006-0000-0300-000003000000}">
      <text>
        <r>
          <rPr>
            <sz val="9"/>
            <color indexed="81"/>
            <rFont val="Tahoma"/>
            <family val="2"/>
          </rPr>
          <t>If part-time, please do not include transferred-in service granted in the PPS which was then transferred to the NPPS after 6 April 2006.
This service only refers to transferred in service for the final salary scheme.</t>
        </r>
      </text>
    </comment>
    <comment ref="L39" authorId="0" shapeId="0" xr:uid="{00000000-0006-0000-0300-000004000000}">
      <text>
        <r>
          <rPr>
            <sz val="9"/>
            <color indexed="81"/>
            <rFont val="Tahoma"/>
            <family val="2"/>
          </rPr>
          <t>Use this to input any date at which you wish to see your estimated retirement benefits.</t>
        </r>
      </text>
    </comment>
    <comment ref="N43" authorId="0" shapeId="0" xr:uid="{00000000-0006-0000-0300-000005000000}">
      <text>
        <r>
          <rPr>
            <sz val="9"/>
            <color indexed="81"/>
            <rFont val="Tahoma"/>
            <family val="2"/>
          </rPr>
          <t>See your annual benefit statement for this information. Also include any transferred-in CARE benefit here.</t>
        </r>
      </text>
    </comment>
    <comment ref="L45" authorId="0" shapeId="0" xr:uid="{00000000-0006-0000-0300-000006000000}">
      <text>
        <r>
          <rPr>
            <sz val="9"/>
            <color indexed="81"/>
            <rFont val="Tahoma"/>
            <family val="2"/>
          </rPr>
          <t>Please select "Part-time" if you currently work part time, if you have worked part time at some point during your career or if you have taken a career break at some point in your career</t>
        </r>
      </text>
    </comment>
    <comment ref="L47" authorId="0" shapeId="0" xr:uid="{00000000-0006-0000-0300-000007000000}">
      <text>
        <r>
          <rPr>
            <sz val="9"/>
            <color indexed="81"/>
            <rFont val="Tahoma"/>
            <family val="2"/>
          </rPr>
          <t xml:space="preserve">Please input the hours you currently work per week as a percentage of full-time hours. If you currently work full-time, please input 100%.
</t>
        </r>
      </text>
    </comment>
    <comment ref="L53" authorId="0" shapeId="0" xr:uid="{00000000-0006-0000-0300-000008000000}">
      <text>
        <r>
          <rPr>
            <sz val="9"/>
            <color indexed="81"/>
            <rFont val="Tahoma"/>
            <family val="2"/>
          </rPr>
          <t>Please include transferred-in service in this reckonable service.</t>
        </r>
      </text>
    </comment>
    <comment ref="L56" authorId="0" shapeId="0" xr:uid="{00000000-0006-0000-0300-000009000000}">
      <text>
        <r>
          <rPr>
            <sz val="9"/>
            <color indexed="81"/>
            <rFont val="Tahoma"/>
            <family val="2"/>
          </rPr>
          <t xml:space="preserve">If your career break ended after 31 March 2015, contact your scheme administrator
</t>
        </r>
      </text>
    </comment>
    <comment ref="D158" authorId="1" shapeId="0" xr:uid="{00000000-0006-0000-0300-00000A000000}">
      <text>
        <r>
          <rPr>
            <b/>
            <sz val="9"/>
            <color indexed="81"/>
            <rFont val="Tahoma"/>
            <family val="2"/>
          </rPr>
          <t>Ashara Peiris:</t>
        </r>
        <r>
          <rPr>
            <sz val="9"/>
            <color indexed="81"/>
            <rFont val="Tahoma"/>
            <family val="2"/>
          </rPr>
          <t xml:space="preserve">
Why doesn't this account for taper?Because the age is the same for NFPS and 2015
</t>
        </r>
      </text>
    </comment>
    <comment ref="G159" authorId="1" shapeId="0" xr:uid="{00000000-0006-0000-0300-00000B000000}">
      <text>
        <r>
          <rPr>
            <b/>
            <sz val="9"/>
            <color indexed="81"/>
            <rFont val="Tahoma"/>
            <family val="2"/>
          </rPr>
          <t>Ashara Peiris:</t>
        </r>
        <r>
          <rPr>
            <sz val="9"/>
            <color indexed="81"/>
            <rFont val="Tahoma"/>
            <family val="2"/>
          </rPr>
          <t xml:space="preserve">
if 2015 scheme doesn't work properly but OK</t>
        </r>
      </text>
    </comment>
    <comment ref="H161" authorId="1" shapeId="0" xr:uid="{00000000-0006-0000-0300-00000C000000}">
      <text>
        <r>
          <rPr>
            <b/>
            <sz val="9"/>
            <color indexed="81"/>
            <rFont val="Tahoma"/>
            <family val="2"/>
          </rPr>
          <t>Ashara Peiris:</t>
        </r>
        <r>
          <rPr>
            <sz val="9"/>
            <color indexed="81"/>
            <rFont val="Tahoma"/>
            <family val="2"/>
          </rPr>
          <t xml:space="preserve">
if fully protected then gives error, OK</t>
        </r>
      </text>
    </comment>
    <comment ref="E166" authorId="2" shapeId="0" xr:uid="{00000000-0006-0000-0300-00000D000000}">
      <text>
        <r>
          <rPr>
            <b/>
            <sz val="9"/>
            <color indexed="81"/>
            <rFont val="Tahoma"/>
            <family val="2"/>
          </rPr>
          <t>mara:</t>
        </r>
        <r>
          <rPr>
            <sz val="9"/>
            <color indexed="81"/>
            <rFont val="Tahoma"/>
            <family val="2"/>
          </rPr>
          <t xml:space="preserve">
this date includes transfer in service.</t>
        </r>
      </text>
    </comment>
    <comment ref="C197" authorId="3" shapeId="0" xr:uid="{00000000-0006-0000-0300-00000E000000}">
      <text>
        <r>
          <rPr>
            <b/>
            <sz val="9"/>
            <color indexed="81"/>
            <rFont val="Tahoma"/>
            <family val="2"/>
          </rPr>
          <t>Brian Allan:</t>
        </r>
        <r>
          <rPr>
            <sz val="9"/>
            <color indexed="81"/>
            <rFont val="Tahoma"/>
            <family val="2"/>
          </rPr>
          <t xml:space="preserve">
updated max to 65 to reflect Peter Spreadbury email 14Aug2012</t>
        </r>
      </text>
    </comment>
    <comment ref="C198" authorId="3" shapeId="0" xr:uid="{00000000-0006-0000-0300-00000F000000}">
      <text>
        <r>
          <rPr>
            <b/>
            <sz val="9"/>
            <color indexed="81"/>
            <rFont val="Tahoma"/>
            <family val="2"/>
          </rPr>
          <t>Brian Allan:</t>
        </r>
        <r>
          <rPr>
            <sz val="9"/>
            <color indexed="81"/>
            <rFont val="Tahoma"/>
            <family val="2"/>
          </rPr>
          <t xml:space="preserve">
updated max to 65 to reflect Peter Spreadbury email 14Aug2012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Ashara Peiris</author>
  </authors>
  <commentList>
    <comment ref="F22" authorId="0" shapeId="0" xr:uid="{00000000-0006-0000-0A00-000001000000}">
      <text>
        <r>
          <rPr>
            <b/>
            <sz val="9"/>
            <color indexed="81"/>
            <rFont val="Tahoma"/>
            <family val="2"/>
          </rPr>
          <t>Ashara Peiris:</t>
        </r>
        <r>
          <rPr>
            <sz val="9"/>
            <color indexed="81"/>
            <rFont val="Tahoma"/>
            <family val="2"/>
          </rPr>
          <t xml:space="preserve">
Doesn't actually rely on whether PPS or NPPS</t>
        </r>
      </text>
    </comment>
    <comment ref="D26" authorId="0" shapeId="0" xr:uid="{00000000-0006-0000-0A00-000002000000}">
      <text>
        <r>
          <rPr>
            <b/>
            <sz val="9"/>
            <color indexed="81"/>
            <rFont val="Tahoma"/>
            <family val="2"/>
          </rPr>
          <t>Ashara Peiris:</t>
        </r>
        <r>
          <rPr>
            <sz val="9"/>
            <color indexed="81"/>
            <rFont val="Tahoma"/>
            <family val="2"/>
          </rPr>
          <t xml:space="preserve">
If part time then service
= Past reck service + 
service to protection end date *PTP</t>
        </r>
      </text>
    </comment>
    <comment ref="D27" authorId="0" shapeId="0" xr:uid="{00000000-0006-0000-0A00-000003000000}">
      <text>
        <r>
          <rPr>
            <b/>
            <sz val="9"/>
            <color indexed="81"/>
            <rFont val="Tahoma"/>
            <family val="2"/>
          </rPr>
          <t>Ashara Peiris:</t>
        </r>
        <r>
          <rPr>
            <sz val="9"/>
            <color indexed="81"/>
            <rFont val="Tahoma"/>
            <family val="2"/>
          </rPr>
          <t xml:space="preserve">
If part time then service
= Past reck service + 
service to DOR *PTP</t>
        </r>
      </text>
    </comment>
    <comment ref="E38" authorId="0" shapeId="0" xr:uid="{00000000-0006-0000-0A00-000004000000}">
      <text>
        <r>
          <rPr>
            <b/>
            <sz val="9"/>
            <color indexed="81"/>
            <rFont val="Tahoma"/>
            <family val="2"/>
          </rPr>
          <t>Ashara Peiris:</t>
        </r>
        <r>
          <rPr>
            <sz val="9"/>
            <color indexed="81"/>
            <rFont val="Tahoma"/>
            <family val="2"/>
          </rPr>
          <t xml:space="preserve">
Added iferror statement to deal with NFPS members receiving an ERF for &lt; 52 (doesn't effect results but should reduce confusion)</t>
        </r>
      </text>
    </comment>
    <comment ref="F50" authorId="0" shapeId="0" xr:uid="{00000000-0006-0000-0A00-000005000000}">
      <text>
        <r>
          <rPr>
            <b/>
            <sz val="9"/>
            <color indexed="81"/>
            <rFont val="Tahoma"/>
            <family val="2"/>
          </rPr>
          <t>Ashara Peiris:</t>
        </r>
        <r>
          <rPr>
            <sz val="9"/>
            <color indexed="81"/>
            <rFont val="Tahoma"/>
            <family val="2"/>
          </rPr>
          <t xml:space="preserve">
Doesn't actually rely on whether PPS or NPPS</t>
        </r>
      </text>
    </comment>
    <comment ref="D54" authorId="0" shapeId="0" xr:uid="{00000000-0006-0000-0A00-000006000000}">
      <text>
        <r>
          <rPr>
            <b/>
            <sz val="9"/>
            <color indexed="81"/>
            <rFont val="Tahoma"/>
            <family val="2"/>
          </rPr>
          <t>Ashara Peiris:</t>
        </r>
        <r>
          <rPr>
            <sz val="9"/>
            <color indexed="81"/>
            <rFont val="Tahoma"/>
            <family val="2"/>
          </rPr>
          <t xml:space="preserve">
If part time then service
= Past reck service + 
service to protection end date *PTP</t>
        </r>
      </text>
    </comment>
    <comment ref="D55" authorId="0" shapeId="0" xr:uid="{00000000-0006-0000-0A00-000007000000}">
      <text>
        <r>
          <rPr>
            <b/>
            <sz val="9"/>
            <color indexed="81"/>
            <rFont val="Tahoma"/>
            <family val="2"/>
          </rPr>
          <t>Ashara Peiris:</t>
        </r>
        <r>
          <rPr>
            <sz val="9"/>
            <color indexed="81"/>
            <rFont val="Tahoma"/>
            <family val="2"/>
          </rPr>
          <t xml:space="preserve">
If part time then service
= Past reck service + 
service to DOR *PTP</t>
        </r>
      </text>
    </comment>
  </commentList>
</comments>
</file>

<file path=xl/sharedStrings.xml><?xml version="1.0" encoding="utf-8"?>
<sst xmlns="http://schemas.openxmlformats.org/spreadsheetml/2006/main" count="1248" uniqueCount="931">
  <si>
    <t>Version Control</t>
  </si>
  <si>
    <t>Version number</t>
  </si>
  <si>
    <t>Date</t>
  </si>
  <si>
    <t>Comments</t>
  </si>
  <si>
    <t>Sheet</t>
  </si>
  <si>
    <t>Description</t>
  </si>
  <si>
    <t>Checked by</t>
  </si>
  <si>
    <t>Internal or external documents based on this version</t>
  </si>
  <si>
    <t>Paper file</t>
  </si>
  <si>
    <t>eBis code</t>
  </si>
  <si>
    <t>Author or Editor</t>
  </si>
  <si>
    <t>Specification</t>
  </si>
  <si>
    <t>User instructions</t>
  </si>
  <si>
    <t>Explanation</t>
  </si>
  <si>
    <t>1_1</t>
  </si>
  <si>
    <t>External links checked?</t>
  </si>
  <si>
    <t>External links: Links from other workbooks to this workbook</t>
  </si>
  <si>
    <t>&gt; Enter hyperlinks to workbooks here</t>
  </si>
  <si>
    <t>&gt; If necessary, enter instructions on how other users should use or update this workbook here.  Include warnings in particular if the spreadsheet requires Goal Seek or Macros to be rerun if the any of the inputs are changed.</t>
  </si>
  <si>
    <t>Government Actuary's Department</t>
  </si>
  <si>
    <t>Cover</t>
  </si>
  <si>
    <t>Legend</t>
  </si>
  <si>
    <t>Black text</t>
  </si>
  <si>
    <t>Blue text</t>
  </si>
  <si>
    <t>Pink text</t>
  </si>
  <si>
    <t>Grey text</t>
  </si>
  <si>
    <t>Green text</t>
  </si>
  <si>
    <t>Red text</t>
  </si>
  <si>
    <t>Orange background</t>
  </si>
  <si>
    <t>Turquoise background</t>
  </si>
  <si>
    <t>Input data</t>
  </si>
  <si>
    <t>Links from another cell within this workbook</t>
  </si>
  <si>
    <t>Calculations</t>
  </si>
  <si>
    <t>Checks</t>
  </si>
  <si>
    <t>Linked upwards to other workbooks</t>
  </si>
  <si>
    <t>Quoted in external advice</t>
  </si>
  <si>
    <t>File pathname</t>
  </si>
  <si>
    <t>Assumptions</t>
  </si>
  <si>
    <t>Links from another (external) workbook</t>
  </si>
  <si>
    <t>&gt; Enter a brief description of what each sheet actually does here</t>
  </si>
  <si>
    <t>Material assumptions</t>
  </si>
  <si>
    <t>List of workbooks which link into this workbook (nb workbooks which this workbook links to can be viewed by selecting Data&gt;Edit Links):</t>
  </si>
  <si>
    <t xml:space="preserve">Security classification </t>
  </si>
  <si>
    <t>Descriptor</t>
  </si>
  <si>
    <t>UNCLASSIFIED</t>
  </si>
  <si>
    <t>PROTECT</t>
  </si>
  <si>
    <t>RESTRICTED</t>
  </si>
  <si>
    <t>CONFIDENTIAL</t>
  </si>
  <si>
    <t>&lt;No Descriptor&gt;</t>
  </si>
  <si>
    <t>COMMERCIAL in CONFIDENCE</t>
  </si>
  <si>
    <t>CONTRACTS</t>
  </si>
  <si>
    <t>MANAGEMENT</t>
  </si>
  <si>
    <t>PERSONAL</t>
  </si>
  <si>
    <t>POLICY</t>
  </si>
  <si>
    <t>SCHEME MANAGEMENT</t>
  </si>
  <si>
    <t>STAFF</t>
  </si>
  <si>
    <t>&gt; Enter a brief description of any material implicit assumptions used within the workbook (explicit assumptions can be identified by their pink colouring as below)</t>
  </si>
  <si>
    <t>K:\a2clients\Police Pensions\0140-00972 Home Office Police\Cost Ceiling\Pension estimator\[Pension calculator v0.01.xlsm]Version control</t>
  </si>
  <si>
    <t>Michael Crabtree</t>
  </si>
  <si>
    <t>Current schemes</t>
  </si>
  <si>
    <t>Accrual rates</t>
  </si>
  <si>
    <t>CARE</t>
  </si>
  <si>
    <t>Date of Birth</t>
  </si>
  <si>
    <t>Date of end of protection</t>
  </si>
  <si>
    <t>From</t>
  </si>
  <si>
    <t>To</t>
  </si>
  <si>
    <t>years</t>
  </si>
  <si>
    <t>Source:</t>
  </si>
  <si>
    <t>Days in the year</t>
  </si>
  <si>
    <t>days</t>
  </si>
  <si>
    <t>CARE scheme start date</t>
  </si>
  <si>
    <t>months</t>
  </si>
  <si>
    <t>Protection</t>
  </si>
  <si>
    <t>SPA</t>
  </si>
  <si>
    <t>State pension age (CARE only)</t>
  </si>
  <si>
    <t>DoB</t>
  </si>
  <si>
    <t>Protection date</t>
  </si>
  <si>
    <t>Parameters</t>
  </si>
  <si>
    <t>Tapers</t>
  </si>
  <si>
    <t>CARE calcs</t>
  </si>
  <si>
    <t>Protection end date</t>
  </si>
  <si>
    <t>Current scheme</t>
  </si>
  <si>
    <t>Diagnostic summary sheet</t>
  </si>
  <si>
    <t>Chosen retirement date</t>
  </si>
  <si>
    <t>Total service until protection date</t>
  </si>
  <si>
    <t>K:\a2clients\Police Pensions\0140-00972 Home Office Police\Cost Ceiling\Pension estimator\[Pension calculator v0.02.xlsm]Version control</t>
  </si>
  <si>
    <t>Age at protection date</t>
  </si>
  <si>
    <t>Results used</t>
  </si>
  <si>
    <t>K:\a2clients\Police Pensions\0140-00972 Home Office Police\Cost Ceiling\Pension estimator\[Pension calculator v0.03.xlsm]Version control</t>
  </si>
  <si>
    <t>Service at protection date</t>
  </si>
  <si>
    <t>This aims to give an estimate of a police officer's pension at different retirement ages</t>
  </si>
  <si>
    <t>Brian Allan</t>
  </si>
  <si>
    <t>Comments on input output and first stage of PPS/NPPS calcs in my email of 16 Aug 2012 15:30</t>
  </si>
  <si>
    <t>Comments on whole calculator:
pension at retirement continuing in current scheme missing
CARE ERFs incorrect and formula I supplied for CARE does not work for deferred benefits at SPA.
Some tidying of the sheet</t>
  </si>
  <si>
    <t>Pension at retirement ignoring reform missing from output sheet
CARE  formula I supplied for CARE needs a correction which then allows simplification
More results needed on Summary sheet.</t>
  </si>
  <si>
    <t>Yes: Link in Parameters sheet correct</t>
  </si>
  <si>
    <t>K:\a2clients\Police Pensions\0140-00972 Home Office Police\Cost Ceiling\Pension estimator\[Pension calculator v0.04.xlsm]Version control</t>
  </si>
  <si>
    <t>Service</t>
  </si>
  <si>
    <t>Date of retirement</t>
  </si>
  <si>
    <t>Age at retirement</t>
  </si>
  <si>
    <t>Accrual rate</t>
  </si>
  <si>
    <t>Produced inputs / outputs sheet that will be visible to clients and set up calcs for tapering</t>
  </si>
  <si>
    <t>Created subsections for calculating service period and benefits in current and new schemes, noting need to separate them for those retiring before and after protection date, and made a start on producing summary sheet</t>
  </si>
  <si>
    <t>Produced further calcs to look at results if there was no reform and added deferred benefit calcs available at SPA for PPS members who retire before age 55</t>
  </si>
  <si>
    <t>Added results looking at benefits under no reform in outputs, made a correction to new scheme pension formula and put more information in the summary sheet</t>
  </si>
  <si>
    <t>Summary sheet has:
incorrect reference for expected retirement date of retirement and age at retirement
needs service to retirement for NO REFORM
Amended some labelling in PPS and NPPS Calcs</t>
  </si>
  <si>
    <t>K:\a2clients\Police Pensions\0140-00972 Home Office Police\Cost Ceiling\Pension estimator\[Pension calculator v0.05.xlsm]Version control</t>
  </si>
  <si>
    <t>Made further additions and checks to summary sheet in regards to the no reform results and amended cell references</t>
  </si>
  <si>
    <t>Checked and agreed</t>
  </si>
  <si>
    <t>K:\a2clients\Police Pensions\0140-00972 Home Office Police\Cost Ceiling\Pension estimator\[Pension calculator v0.06.xlsm]Version control</t>
  </si>
  <si>
    <t>Age</t>
  </si>
  <si>
    <t>Amended calcs for PPS pensions (to take account of double accrual and limit maximum), updated ERFs to be inputs instead of links and added LRFs for retirement beyond 60</t>
  </si>
  <si>
    <t>Brian Allan 
Sam Watts</t>
  </si>
  <si>
    <t>Max service not applied correctly in benefit calculations or summary accrual calc.
ERFs+LRFs not calculated geometrically (required as compounding) and LRFs not applied correctly. The ERF LRF should be rounded to a single common factor.</t>
  </si>
  <si>
    <t>\\Gad-a2\a2data\a2clients\Police Pensions\0140-00972 Home Office Police\Cost Ceiling\Pension estimator\Pension calculator v0.07.xlsm</t>
  </si>
  <si>
    <t>Mara</t>
  </si>
  <si>
    <t>Reasonableness of inputs - need validation entries to prevent silly entries</t>
  </si>
  <si>
    <t>DOB</t>
  </si>
  <si>
    <t>not allowed after 2015 minus 18</t>
  </si>
  <si>
    <t>DJS</t>
  </si>
  <si>
    <t>not allowed before age 18</t>
  </si>
  <si>
    <t>not allowed after 2015</t>
  </si>
  <si>
    <t>Current pen sal</t>
  </si>
  <si>
    <t>Min 23000, max 140000</t>
  </si>
  <si>
    <t>Ret age</t>
  </si>
  <si>
    <t>sensible versus the PPS closure date? i.e. can't be a post 6/4/2006 joiner in PPS</t>
  </si>
  <si>
    <t>Reckonable service granted for TVIN</t>
  </si>
  <si>
    <t>Check versus age at joining scheme and time prior to this but after age 16</t>
  </si>
  <si>
    <t>min</t>
  </si>
  <si>
    <t>max</t>
  </si>
  <si>
    <t>Retirement age</t>
  </si>
  <si>
    <t>reach 55 years</t>
  </si>
  <si>
    <t>reach 50 years</t>
  </si>
  <si>
    <t>Retirement date</t>
  </si>
  <si>
    <t>Do not delete - calculator validation</t>
  </si>
  <si>
    <t>Age in</t>
  </si>
  <si>
    <t>Included validation, basically message boxes to warn when entries may look incorrect.</t>
  </si>
  <si>
    <t xml:space="preserve">• As asked the checks mostly sequence down the list of inputs, but I still want the tool to reject inputs for the case of someone joining the PPS after 6/4/2006. Can you experiment further with putting this into either or both of the DJS and choice of scheme inputs. At the moment the validation allows you to select PPS except when your DoB implies you would have been too young to join earlier than or at 6/4/2006.
• I like your date precise calculations, but I think C64 should have 25 not 22 in the formula
• Please include transfer in service in your calculations of min PPS retirement age.
</t>
  </si>
  <si>
    <t>Pension calculator v0.08.xlsm</t>
  </si>
  <si>
    <t xml:space="preserve">Mara </t>
  </si>
  <si>
    <t>Amended in accordance with Brian's comments.</t>
  </si>
  <si>
    <t>DJS adjusted for TVIN service</t>
  </si>
  <si>
    <t>Checked changes and made following change:
used the date function to adjust DJS for TV in service to determine range of possible retirement ages</t>
  </si>
  <si>
    <t>Deferred pension decreases (CARE only)</t>
  </si>
  <si>
    <t>Service uplift applicable?</t>
  </si>
  <si>
    <t>Uplift to apply</t>
  </si>
  <si>
    <t>Maximum service (years)</t>
  </si>
  <si>
    <t>Changed ERF and LRF factors to be the same, amended accrual formula in summary to take account of maximum service and added an uplift applicable to NPPS members who joined before the NPPS scheme started</t>
  </si>
  <si>
    <t>Checked.
Agree ERF/LRF, summary, PPS max service changes
PPS-&gt;NPPS transfer uplift calcs need to reflect transfer assumed on 6/4/2006, cap on service lookup, correct service lookup column</t>
  </si>
  <si>
    <t>K:\a2clients\Police Pensions\0140-00972 Home Office Police\Cost Ceiling\Pension estimator\[Pension calculator v0.10.xlsm]Version control</t>
  </si>
  <si>
    <t>K:\a2clients\Police Pensions\0140-00972 Home Office Police\Cost Ceiling\Pension estimator\[Pension calculator v0.09.xlsm]Version control</t>
  </si>
  <si>
    <t>Amended uplift formula to take account of NPPS start date for service period, removed circular reference and added a new calc for PPS members choosing to retire before age 55 who want new scheme benefits at 55</t>
  </si>
  <si>
    <t>K:\a2clients\Police Pensions\0140-00972 Home Office Police\Cost Ceiling\Pension estimator\[Pension calculator v0.11.xlsm]Version control</t>
  </si>
  <si>
    <t>Amended years used to apply ERF, added another derefferd pension case for those under 55 and updated summary</t>
  </si>
  <si>
    <t>Checked and agreed the PPS-&gt;NPPS changes.
However the deferred at 55 CARE pension introduced for the HO Q&amp;A doc
SW: use a geometric method for deferred revaluation ie (1/1.0225)^durn</t>
  </si>
  <si>
    <t>K:\a2clients\Police Pensions\0140-00972 Home Office Police\Cost Ceiling\Pension estimator\[Pension calculator v0.12.xlsm]Version control</t>
  </si>
  <si>
    <t>Amended case of those PPS members retiring at 55 who want new scheme benefits at SPA so that LRF is not applied and changed wording used in inputs and outputs as per SW's e-mail on 29/8/12</t>
  </si>
  <si>
    <t>What will you get when you retire?</t>
  </si>
  <si>
    <t>K:\a2clients\Police Pensions\0140-00972 Home Office Police\Cost Ceiling\Pension estimator\[Pension calculator v0.13.xlsm]Version control</t>
  </si>
  <si>
    <t>Added better wording to ? cells in inputs, unlocked inputs, fixed drop down box to not show NPPS twice, changed chosen retirement age to be an integer only, amended expected retirement age so it is greater than current age, inserted new SPA limits and put in an error message for negative results</t>
  </si>
  <si>
    <t>K:\a2clients\Police Pensions\0140-00972 Home Office Police\Cost Ceiling\Pension estimator\[Pension calculator v0.14.xlsm]Version control</t>
  </si>
  <si>
    <t>Rounded results to nearest £100, made sure those joining scheme after protection date don't get protection and added ERF/LRF factors to new scheme benefits for NPPS members</t>
  </si>
  <si>
    <t>Agree change to application of deferred revaluation.
New deferred new scheme benefits at SPA for retirement at 55 incorrect, should be deferred revals to SPA only, no ERF.</t>
  </si>
  <si>
    <t>Deferred revaluation in cell 'CARE calcs'!E54 should be to SPA not 60.
SW email changes faithfully applied</t>
  </si>
  <si>
    <t>SW ? Comments applied accurately
Current date not age should be displayed at the bottom of the input output
Other changes to left done correctly.
Noticed that ERF/LRF are not being applied for NPPS member CARE benefits</t>
  </si>
  <si>
    <t>Checked - one issue: logic for protection for joiners post 1/4/2012 allows the age 45 protection. 
Otherwise ok including fix requested for benefits at SPA for those retiring 55 in my v11 comment above</t>
  </si>
  <si>
    <t>\\Gad-a2\a2data\a2clients\Police Pensions\0140-00972 Home Office Police\Cost Ceiling\Pension estimator\Pension calculator v0.15.xlsm</t>
  </si>
  <si>
    <t>Mara Aleixo</t>
  </si>
  <si>
    <t>age next birthday</t>
  </si>
  <si>
    <t>Important information - please read this before you start</t>
  </si>
  <si>
    <t>- Please read the notes below the results for further details and limitations.</t>
  </si>
  <si>
    <t>Amended the protection for members who joinned after 1/4/2012. Amended the results for retirement at age 60 to show as zero if the member has already reached their 60th birthday.Changed the validation to prevent the user entering a retirement age less than their current age.  Hide the formulae in the inputs and outputs spreadsheet. Inserted the caveats and updated the "inputs and outputs" format.</t>
  </si>
  <si>
    <t>\\GAD-A2\A2DATA\a2clients\Police Pensions\0140-00972 Home Office Police\Cost Ceiling\Pension estimator\Pension calculator v0.16.xls</t>
  </si>
  <si>
    <t>Changed some excel functions in order it works in excel 2003. Saved in excel 2003 format.</t>
  </si>
  <si>
    <t>\\GAD-A2\A2DATA\a2clients\Police Pensions\0140-00972 Home Office Police\Cost Ceiling\Pension estimator\Pension calculator v0.17.xls</t>
  </si>
  <si>
    <t>Set up different early and late retirement factors. Amended the reduced pension calculations in order to consider diferent factors.</t>
  </si>
  <si>
    <t>Checked and Agreed.</t>
  </si>
  <si>
    <t>more info</t>
  </si>
  <si>
    <t>- The results shown are only estimates, based on your inputs and other assumptions.</t>
  </si>
  <si>
    <t>B: Your benefits</t>
  </si>
  <si>
    <t>\\GAD-A2\A2DATA\a2clients\Police Pensions\0140-00972 Home Office Police\Cost Ceiling\Pension estimator\Pension calculator v0.18.xls</t>
  </si>
  <si>
    <t>Matt Wood</t>
  </si>
  <si>
    <t>Changes to the notes. No changes to calcs.</t>
  </si>
  <si>
    <t>Please enter the following details about yourself</t>
  </si>
  <si>
    <t>1. Your date of birth (dd/mm/yyyy)</t>
  </si>
  <si>
    <t>Checked inputs outputs only. Spell check ok. Corrected date to 4/9/2012 and removed link reference</t>
  </si>
  <si>
    <t>A: Your details</t>
  </si>
  <si>
    <t>not allowed after 2015 minus 19</t>
  </si>
  <si>
    <t>not allowed after DJS minus 18 years</t>
  </si>
  <si>
    <t>combination of the above</t>
  </si>
  <si>
    <t>Dob not before 65 years ago</t>
  </si>
  <si>
    <t>Including additional validation and changes to note requested by Sara Alderman (HO) 3.9.12. 
Changes are to 'Inputs and Outputs'  and 'Cover' only</t>
  </si>
  <si>
    <t>\\GAD-A2\A2DATA\a2clients\Police Pensions\0140-00972 Home Office Police\Cost Ceiling\Pension estimator\Pension calculator v0.19.xls</t>
  </si>
  <si>
    <t>K:\a2clients\Police Pensions\0140-00972 Home Office Police\Cost Ceiling\Pension estimator\[Pension calculator v0.20.xls]Version control</t>
  </si>
  <si>
    <t>Adjusted DJS</t>
  </si>
  <si>
    <t>Amendment protection calc to include TVin service for those get service taper by adjusting DJS, made some spelling / grammar corrections and put a ceiling of 65 on earliest age benefits can be taken</t>
  </si>
  <si>
    <t>K:\a2clients\Police Pensions\0140-00972 Home Office Police\Cost Ceiling\Pension estimator\[Pension calculator v0.21.xls]Version control</t>
  </si>
  <si>
    <t>See Matts email of 3/9/2012 at 15:48</t>
  </si>
  <si>
    <t>SW</t>
  </si>
  <si>
    <t>K:\a2clients\Police Pensions\0140-00972 Home Office Police\Cost Ceiling\Pension estimator\[Pension calculator v0.22.xls]Version control</t>
  </si>
  <si>
    <t>Full</t>
  </si>
  <si>
    <t>Tapered</t>
  </si>
  <si>
    <t>None</t>
  </si>
  <si>
    <t>Protection type</t>
  </si>
  <si>
    <t>Text to display</t>
  </si>
  <si>
    <t>Made amendment to corner tapering protection date calc to make it more precise and added protection message as output</t>
  </si>
  <si>
    <t>Checked - some formatting/text changes needed
the transferees PPS-&gt;NPPS protection status never uses DJS as these members are necessarily in the NPPS.</t>
  </si>
  <si>
    <t>K:\a2clients\Police Pensions\0140-00972 Home Office Police\Cost Ceiling\Pension estimator\[Pension calculator v0.23.xls]Version control</t>
  </si>
  <si>
    <t>Made some cell modifications and reworded protection messages</t>
  </si>
  <si>
    <t>Checked changes and however testing has identified a case which should be in the corner taper which are classed unprotected (PPS DOB: 01/11/1975 and scheme start date: 01/09/1994 no TVIN) - and vice versa (PPS DOB: 12/10/75 and start scheme: 12/09/94 no TVIN)</t>
  </si>
  <si>
    <t>K:\a2clients\Police Pensions\0140-00972 Home Office Police\Cost Ceiling\Pension estimator\[Pension calculator v0.24.xls]Version control</t>
  </si>
  <si>
    <t>Amended corner tapering calcs, changed message so as not to confuse readers and removed unnecessary cells</t>
  </si>
  <si>
    <t>Plus</t>
  </si>
  <si>
    <t>Amended output comments for SW email 28/9/2012 to Peter Spreadbury re MP comments (emphasis PPS LS by commutation and old and new benefits cumulative)
And other general SW comments of 28/09/2012 10:59</t>
  </si>
  <si>
    <r>
      <t xml:space="preserve">BA discussion today noted that the protection calcs for PPS-&gt;NPPS switchers will be looking up DJS rather than the adjusted DJS.  We should correct this if there is another release (and perhaps in any case) </t>
    </r>
    <r>
      <rPr>
        <sz val="10"/>
        <color indexed="40"/>
        <rFont val="Arial"/>
        <family val="2"/>
      </rPr>
      <t xml:space="preserve"> [SW] This comment is rubbish - there is no service taper for NPPS members.  No amends needed.</t>
    </r>
  </si>
  <si>
    <t>Sam Watts</t>
  </si>
  <si>
    <t>n/a</t>
  </si>
  <si>
    <t>Added "N/A" to F44 of PPS and NPPS calcs tab</t>
  </si>
  <si>
    <t>Checked and amended B47 in 'Inputs…' to reflect 2015 scheme LS always by commutation only</t>
  </si>
  <si>
    <t>K:\a2clients\Police Pensions\0140-00972 Home Office Police\Cost Ceiling\Pension estimator\[Pension calculator v0.25.xls]Version control</t>
  </si>
  <si>
    <t>Amended protection message, corrected bug for members for might choose retirement under 55 and switch from PPS to NPPS and made alignments in input boxes consistent</t>
  </si>
  <si>
    <t>Full-time</t>
  </si>
  <si>
    <t>Part-time</t>
  </si>
  <si>
    <t>Pension calculator v0.26.xls</t>
  </si>
  <si>
    <t>Dipak Hirani</t>
  </si>
  <si>
    <r>
      <t>Inputs and outputs</t>
    </r>
    <r>
      <rPr>
        <sz val="10"/>
        <rFont val="Arial"/>
        <family val="2"/>
      </rPr>
      <t xml:space="preserve"> - Section A now contains additional input detail sections 7-10, which are required for part time calculations
Formulae in rows 57, 58 have been amended to apply part-time proportion (I36) if member has selected part-time for input 7
Cell C157 contains the calculation for part-time factor
Formulae in rows 54, 55 have been amended to apply part-time factor (C157) if member has selected part-time for input 7</t>
    </r>
  </si>
  <si>
    <t>Table has been created in cells C155-E158 to create part-time factors dependent on retirement age
Formulae in rows 54, 55 have been amended to take account of this new table</t>
  </si>
  <si>
    <t>Louise Fletcher</t>
  </si>
  <si>
    <t>Pension calculator v0.27.xls</t>
  </si>
  <si>
    <t>Formatting changes</t>
  </si>
  <si>
    <t>Service at the benefit statement date on a full time basis</t>
  </si>
  <si>
    <t>Reckonable service for part time member cannot be greater than their full time equivalent service</t>
  </si>
  <si>
    <t>Benefit statement date cannot be greater than today's date</t>
  </si>
  <si>
    <t>Today</t>
  </si>
  <si>
    <t>Dave J</t>
  </si>
  <si>
    <t>Some slight changes needed to main interface. See printout for more details.</t>
  </si>
  <si>
    <t>\\Gad-a2\a2data\a2clients\Police Pensions\0140-00972 Home Office Police\Cost Ceiling\Pension estimator\[Pension calculator v0.28.xls]Version control</t>
  </si>
  <si>
    <t>If you have selected 'Part-time', please fill in the section below</t>
  </si>
  <si>
    <t>Added comment to 'employment status' to cover members who have worked part time in the past. Added new protection to 'current part time proportion'. Added commentary to part time inputs, re-worded the explanation of part time treatment.</t>
  </si>
  <si>
    <t>Pension calculator v0.29.xls</t>
  </si>
  <si>
    <t>maximum pension</t>
  </si>
  <si>
    <t>Maximum lump sum</t>
  </si>
  <si>
    <t>Original calculations</t>
  </si>
  <si>
    <t>Happy with these changes to the calculator</t>
  </si>
  <si>
    <t>Removed service cap from calculations, instead applied a cap to pension estimate output on the 'inputs and output' tab. This is so part time benefits aren't capped at a part time ratio</t>
  </si>
  <si>
    <t>Pension calculator v0.30.xls</t>
  </si>
  <si>
    <t>Where part time indicator has been selected, the service uplift has been removed. Maximum pension and lump sum amounts have been rounded.</t>
  </si>
  <si>
    <t xml:space="preserve">Happy with changes. Added 'more info' boxes for PPS-&gt;NPPS members with part time and transferred in service. </t>
  </si>
  <si>
    <t>\\Gad-a2\a2data\a2clients\Police Pensions\0140-00972 Home Office Police\Cost Ceiling\Pension estimator\[Pension calculator v0.31.xls]Version control</t>
  </si>
  <si>
    <t>Amended comments for transferred in service.</t>
  </si>
  <si>
    <t>CARE past service pension</t>
  </si>
  <si>
    <t>CARE future service pension</t>
  </si>
  <si>
    <t>Current Date</t>
  </si>
  <si>
    <t>Start Date of Year</t>
  </si>
  <si>
    <t>End Date of Year</t>
  </si>
  <si>
    <t>Accrued CARE benefit</t>
  </si>
  <si>
    <t>CPI (%)</t>
  </si>
  <si>
    <t>v0.1</t>
  </si>
  <si>
    <t>Pension calculator Updated v0.1.xls</t>
  </si>
  <si>
    <t>Ashara Peiris</t>
  </si>
  <si>
    <t>Past Service CARE Calcs</t>
  </si>
  <si>
    <t>&gt; Enter worksheet title here</t>
  </si>
  <si>
    <t>Pre 2015 Pension</t>
  </si>
  <si>
    <t>Lump Sum Commutation</t>
  </si>
  <si>
    <t>Max Lump Sum</t>
  </si>
  <si>
    <t>Years</t>
  </si>
  <si>
    <t>Complete months</t>
  </si>
  <si>
    <t>Exact</t>
  </si>
  <si>
    <t>Max Lump Sum Factor</t>
  </si>
  <si>
    <t>Age in years and completed months on day pension commences</t>
  </si>
  <si>
    <t>Age at DPC</t>
  </si>
  <si>
    <t>CARE scheme Commutation Factor</t>
  </si>
  <si>
    <r>
      <t xml:space="preserve">Inputs and outputs 
</t>
    </r>
    <r>
      <rPr>
        <sz val="10"/>
        <rFont val="Arial"/>
        <family val="2"/>
      </rPr>
      <t xml:space="preserve">- Added in question 11 giving the total accrued CARE benefit for each of the past scheme years
- Added in changes to outputs
- Amended cells H154:L155 by allowing it pull through commutable amounts
</t>
    </r>
    <r>
      <rPr>
        <b/>
        <sz val="10"/>
        <rFont val="Arial"/>
        <family val="2"/>
      </rPr>
      <t xml:space="preserve">Parameters </t>
    </r>
    <r>
      <rPr>
        <sz val="10"/>
        <rFont val="Arial"/>
        <family val="2"/>
      </rPr>
      <t xml:space="preserve">- Added in future CARE revaluation G74, but not sure of actual value to use here
</t>
    </r>
    <r>
      <rPr>
        <b/>
        <sz val="10"/>
        <rFont val="Arial"/>
        <family val="2"/>
      </rPr>
      <t xml:space="preserve">Past Service CARE Calcs </t>
    </r>
    <r>
      <rPr>
        <sz val="10"/>
        <rFont val="Arial"/>
        <family val="2"/>
      </rPr>
      <t xml:space="preserve">- Added tab which revalues the past service CARE pension to the start of the current scheme year
</t>
    </r>
    <r>
      <rPr>
        <b/>
        <sz val="10"/>
        <rFont val="Arial"/>
        <family val="2"/>
      </rPr>
      <t xml:space="preserve">CARE Calcs </t>
    </r>
    <r>
      <rPr>
        <sz val="10"/>
        <rFont val="Arial"/>
        <family val="2"/>
      </rPr>
      <t xml:space="preserve">- Added row 27, 35, 43 and 56 which pulls through the past service CARE pension. This pension is added onto the future service CARE pension (which is unchanged from the previous calculator's CARE pension)
</t>
    </r>
    <r>
      <rPr>
        <b/>
        <sz val="10"/>
        <rFont val="Arial"/>
        <family val="2"/>
      </rPr>
      <t>Lump Sum</t>
    </r>
    <r>
      <rPr>
        <sz val="10"/>
        <rFont val="Arial"/>
        <family val="2"/>
      </rPr>
      <t xml:space="preserve"> - calculates the lump sums and maximum amount commutable</t>
    </r>
  </si>
  <si>
    <t>CPI</t>
  </si>
  <si>
    <t>MRae</t>
  </si>
  <si>
    <t>mjr: this is salary increases minus cpi</t>
  </si>
  <si>
    <t>Parameters: changed to add a cpi assumption and a salary increase assumption. CARE calc:check if the ABS accrued CARE already includes revaluation as at the start of the new scheme year. Check if negative cpi is allowed in the CARE active revaluation (I think it is provided the final rate is &gt;= 0).CARE Csalcs - see comments, values have to be in current salary terms. so discounting at salary growth is to be added.</t>
  </si>
  <si>
    <t>Reckonable service</t>
  </si>
  <si>
    <t>Voluntary retirement age</t>
  </si>
  <si>
    <t>Inspector</t>
  </si>
  <si>
    <t>Constable</t>
  </si>
  <si>
    <t>Sergeant</t>
  </si>
  <si>
    <t>Other</t>
  </si>
  <si>
    <t>Ranks</t>
  </si>
  <si>
    <t>VRA</t>
  </si>
  <si>
    <t>Max Commutation</t>
  </si>
  <si>
    <t>Pre 2015</t>
  </si>
  <si>
    <t>Post 2015</t>
  </si>
  <si>
    <t>Commutation Factor</t>
  </si>
  <si>
    <t>Pre-Commutation Pension</t>
  </si>
  <si>
    <t>Post Commutation Pension</t>
  </si>
  <si>
    <t>Pre Commutation Pension</t>
  </si>
  <si>
    <t>Basis 1</t>
  </si>
  <si>
    <t>Basis 2</t>
  </si>
  <si>
    <t>Basis 3</t>
  </si>
  <si>
    <t>CPI + 0%</t>
  </si>
  <si>
    <t>CPI + 1%</t>
  </si>
  <si>
    <t>CPI + 2%</t>
  </si>
  <si>
    <t>Service Period Calcs</t>
  </si>
  <si>
    <t>Pre-2015 Calcs</t>
  </si>
  <si>
    <t>Service for Member</t>
  </si>
  <si>
    <t>Current Salary</t>
  </si>
  <si>
    <t>Salary Calcs</t>
  </si>
  <si>
    <t>Projected Salary</t>
  </si>
  <si>
    <t>Discounted Project Salary</t>
  </si>
  <si>
    <t>No. Months</t>
  </si>
  <si>
    <t>Pre-2015 Schemes Service</t>
  </si>
  <si>
    <t>Retiring Without Any Scheme Reform</t>
  </si>
  <si>
    <t>Retiring Before Protection Ends Or Full Protection</t>
  </si>
  <si>
    <t>Retiring On Or After Protection Ends</t>
  </si>
  <si>
    <t>Retirement at</t>
  </si>
  <si>
    <t>Chosen retirement</t>
  </si>
  <si>
    <t>Post 2015 service at:</t>
  </si>
  <si>
    <t>Maximum Amount Commutable</t>
  </si>
  <si>
    <t>v0.5</t>
  </si>
  <si>
    <t>Pension calculator Updated v0.5.xls</t>
  </si>
  <si>
    <r>
      <t xml:space="preserve">Inputs and outputs
</t>
    </r>
    <r>
      <rPr>
        <sz val="10"/>
        <rFont val="Arial"/>
        <family val="2"/>
      </rPr>
      <t xml:space="preserve">- Added question 4 on rank
- Changed way that the outputs are presented, by offering three basis choices. Formulae in these are based on the previous ones, but there have been substantial changes
- Changed cells B138 and B139 to 48 and 65
- Amended formulae in cells C184 to 186
- Removed area below which had projection of results
- Added in ranks and the associated VRAs
</t>
    </r>
    <r>
      <rPr>
        <b/>
        <sz val="10"/>
        <rFont val="Arial"/>
        <family val="2"/>
      </rPr>
      <t xml:space="preserve">Parameters
</t>
    </r>
    <r>
      <rPr>
        <sz val="10"/>
        <rFont val="Arial"/>
        <family val="2"/>
      </rPr>
      <t xml:space="preserve">- Added in CPI assumptions and basis assumptions. If these need to be changed, make the change here.
</t>
    </r>
    <r>
      <rPr>
        <b/>
        <sz val="10"/>
        <rFont val="Arial"/>
        <family val="2"/>
      </rPr>
      <t xml:space="preserve">PPS and NPPS Calcs
</t>
    </r>
    <r>
      <rPr>
        <sz val="10"/>
        <rFont val="Arial"/>
        <family val="2"/>
      </rPr>
      <t xml:space="preserve">- Changed way that the calculations are laid out. Removed calculations for different ages and added in calculations for each of the separate bases
</t>
    </r>
    <r>
      <rPr>
        <b/>
        <sz val="10"/>
        <rFont val="Arial"/>
        <family val="2"/>
      </rPr>
      <t xml:space="preserve">Past service care calcs
</t>
    </r>
    <r>
      <rPr>
        <sz val="10"/>
        <rFont val="Arial"/>
        <family val="2"/>
      </rPr>
      <t xml:space="preserve">- Re-arranged tab and made minor formulae changes to row 16
</t>
    </r>
    <r>
      <rPr>
        <b/>
        <sz val="10"/>
        <rFont val="Arial"/>
        <family val="2"/>
      </rPr>
      <t xml:space="preserve">CARE calcs
</t>
    </r>
    <r>
      <rPr>
        <sz val="10"/>
        <rFont val="Arial"/>
        <family val="2"/>
      </rPr>
      <t xml:space="preserve">- Changed layout of tab
- Made tab only for one retirement age (and SPA for deferred benefits)
- Amended formule for the past service and future service pensions (to account for discounting of CPI)
</t>
    </r>
    <r>
      <rPr>
        <b/>
        <sz val="10"/>
        <rFont val="Arial"/>
        <family val="2"/>
      </rPr>
      <t xml:space="preserve">Lump sum
</t>
    </r>
    <r>
      <rPr>
        <sz val="10"/>
        <rFont val="Arial"/>
        <family val="2"/>
      </rPr>
      <t xml:space="preserve">- Amended tab layout
- Removed different ages and added three bases
- Changed formulae for pension and lump sums
- Updated commutation factors and max lump sum factors
</t>
    </r>
    <r>
      <rPr>
        <b/>
        <sz val="10"/>
        <rFont val="Arial"/>
        <family val="2"/>
      </rPr>
      <t xml:space="preserve">Summary
</t>
    </r>
    <r>
      <rPr>
        <sz val="10"/>
        <rFont val="Arial"/>
        <family val="2"/>
      </rPr>
      <t>- Amended tab layout and setup for three bases</t>
    </r>
  </si>
  <si>
    <t>1 April 2015</t>
  </si>
  <si>
    <t>CARE factor</t>
  </si>
  <si>
    <t>salary</t>
  </si>
  <si>
    <t>Max Commuted</t>
  </si>
  <si>
    <t>Post 2015 at SPA</t>
  </si>
  <si>
    <t>Pre-2015 Calcs Used And Results</t>
  </si>
  <si>
    <t>Chosen ret age</t>
  </si>
  <si>
    <t>v0.6</t>
  </si>
  <si>
    <t>Pension calculator Updated v0.6.xls</t>
  </si>
  <si>
    <t>Michael Rae</t>
  </si>
  <si>
    <r>
      <t xml:space="preserve">Inputs and outputs
</t>
    </r>
    <r>
      <rPr>
        <sz val="10"/>
        <rFont val="Arial"/>
        <family val="2"/>
      </rPr>
      <t xml:space="preserve">- Made part time section disappear if full time
- changed formulae in benefits to pick up different numbers
</t>
    </r>
    <r>
      <rPr>
        <b/>
        <sz val="10"/>
        <rFont val="Arial"/>
        <family val="2"/>
      </rPr>
      <t xml:space="preserve">Parameters
</t>
    </r>
    <r>
      <rPr>
        <sz val="10"/>
        <rFont val="Arial"/>
        <family val="2"/>
      </rPr>
      <t xml:space="preserve">- Changed base CPI to 2%
</t>
    </r>
    <r>
      <rPr>
        <b/>
        <sz val="10"/>
        <rFont val="Arial"/>
        <family val="2"/>
      </rPr>
      <t xml:space="preserve">CARE calcs
</t>
    </r>
    <r>
      <rPr>
        <sz val="10"/>
        <rFont val="Arial"/>
        <family val="2"/>
      </rPr>
      <t>- updated calcs to use three different bases</t>
    </r>
  </si>
  <si>
    <t>v0.7</t>
  </si>
  <si>
    <t>Pension calculator Updated v0.7.xls</t>
  </si>
  <si>
    <r>
      <t xml:space="preserve">Inputs and outputs
</t>
    </r>
    <r>
      <rPr>
        <sz val="10"/>
        <rFont val="Arial"/>
        <family val="2"/>
      </rPr>
      <t xml:space="preserve">- Made DJS question second one and made scheme question third
- changed data validation on the scheme range
- changed formulae in cells B125:126 to show CARE, PPS or NPPS where relevant
- added in lump sums for deferred pension
- added in conditional formatting on outputs and inputs
</t>
    </r>
    <r>
      <rPr>
        <b/>
        <sz val="10"/>
        <rFont val="Arial"/>
        <family val="2"/>
      </rPr>
      <t xml:space="preserve">PPS and NPPS calcs
</t>
    </r>
    <r>
      <rPr>
        <sz val="10"/>
        <rFont val="Arial"/>
        <family val="2"/>
      </rPr>
      <t xml:space="preserve">- changed rows 31:33 and 36:53 to account for CARE only members
</t>
    </r>
    <r>
      <rPr>
        <b/>
        <sz val="10"/>
        <rFont val="Arial"/>
        <family val="2"/>
      </rPr>
      <t xml:space="preserve">CARE calcs
</t>
    </r>
    <r>
      <rPr>
        <sz val="10"/>
        <rFont val="Arial"/>
        <family val="2"/>
      </rPr>
      <t xml:space="preserve">- changed care factor in D8
- updated formulae in rows 18, 19, 24 and 25
</t>
    </r>
    <r>
      <rPr>
        <b/>
        <sz val="10"/>
        <rFont val="Arial"/>
        <family val="2"/>
      </rPr>
      <t xml:space="preserve">Lump sum
</t>
    </r>
    <r>
      <rPr>
        <sz val="10"/>
        <rFont val="Arial"/>
        <family val="2"/>
      </rPr>
      <t xml:space="preserve">- updated rows 26 to 33, so that they pull through the correct pension and lump sums
</t>
    </r>
    <r>
      <rPr>
        <b/>
        <sz val="10"/>
        <rFont val="Arial"/>
        <family val="2"/>
      </rPr>
      <t xml:space="preserve">Summary
</t>
    </r>
    <r>
      <rPr>
        <sz val="10"/>
        <rFont val="Arial"/>
        <family val="2"/>
      </rPr>
      <t>- added in section on pension deferred to SPA</t>
    </r>
  </si>
  <si>
    <t>Corrected the discounting period used throughout to allow for the final fraction as well as the integral years.</t>
  </si>
  <si>
    <t>Amended the future CARE accumulation present value to use the factor (1+s)/(1+revaluation), and to change the discounting from salary to cpi</t>
  </si>
  <si>
    <t>Added the CARE projection on the mid and high salary growth bases</t>
  </si>
  <si>
    <t>Started to amend the results to include lump sum when we defer the CARE benfits to SPA. This requires further work to complete.</t>
  </si>
  <si>
    <t>Note the deferred benefits after dicounting are the same as the benefits at the date of withdrawal because the deferred revaluation rate is simply cpi. I decided to include as a separate calculation to allow for this to change in future.</t>
  </si>
  <si>
    <t>Removed the comments about transition date from the results screen. This is only of interest totapered members who have still to transfer to CARE.</t>
  </si>
  <si>
    <t>Retirement to SPA</t>
  </si>
  <si>
    <t>Post 2015 pension results</t>
  </si>
  <si>
    <t>Service to Retirement</t>
  </si>
  <si>
    <t>v0.8</t>
  </si>
  <si>
    <t>Pension calculator Updated v0.8.xls</t>
  </si>
  <si>
    <t>Discount factor (1+s)</t>
  </si>
  <si>
    <t>Protection Status</t>
  </si>
  <si>
    <t>Protection End Date</t>
  </si>
  <si>
    <r>
      <t xml:space="preserve">Inputs and outputs
</t>
    </r>
    <r>
      <rPr>
        <sz val="10"/>
        <rFont val="Arial"/>
        <family val="2"/>
      </rPr>
      <t xml:space="preserve">- amended rows 60:71 by making the deferred numbers appear if the retirement age is under 55 and the non-deferred numbers appear if the retirement age is &gt;=55
- added conditional formatting so that 2015 scheme outputs disappear if member is not eligible for them (i.e. don't enter care scheme due to protection)
</t>
    </r>
    <r>
      <rPr>
        <b/>
        <sz val="10"/>
        <rFont val="Arial"/>
        <family val="2"/>
      </rPr>
      <t xml:space="preserve">PPS and NPPS Calcs
</t>
    </r>
    <r>
      <rPr>
        <sz val="10"/>
        <rFont val="Arial"/>
        <family val="2"/>
      </rPr>
      <t xml:space="preserve">- added in service to retirement (row 34) and amended formulae in rows 37:39 so that it uses this number to project the salary
- deleted no reform calcs
- capped pre 2015 scheme service (row 33) at 30 years for PPS and 35 years for NPPS
- capped retiring without any scheme reform (row 35) at 30 years for PPS and 35 years for NPPS
</t>
    </r>
    <r>
      <rPr>
        <b/>
        <sz val="10"/>
        <rFont val="Arial"/>
        <family val="2"/>
      </rPr>
      <t xml:space="preserve">CARE calcs
</t>
    </r>
    <r>
      <rPr>
        <sz val="10"/>
        <rFont val="Arial"/>
        <family val="2"/>
      </rPr>
      <t xml:space="preserve">-  the deferred until SPA section changed to account for deferred period
- changed formulae for the CARE future service pension in rows 22, 30 and 31
- added in protection status and protection end date (rows 6 and 7) and use these in setting the amount of post 15 service to chosen retirement and SPA (D17 and D18)
- added in if condition in case post 15 service is 0 to rows 19 and 27
</t>
    </r>
    <r>
      <rPr>
        <b/>
        <sz val="10"/>
        <rFont val="Arial"/>
        <family val="2"/>
      </rPr>
      <t xml:space="preserve">Lump sum
</t>
    </r>
    <r>
      <rPr>
        <sz val="10"/>
        <rFont val="Arial"/>
        <family val="2"/>
      </rPr>
      <t xml:space="preserve">- amended formulae in rows 26:33. Sets chosen retirement numbers to 0 if chosen retirement age &lt;55 and sets deferred numbers to 0 if ret age &gt;=55
-amended formula in D12 so that it calculates the reckonable service if the member is full-time, and pulls it from the inputs tab if it is part-time
</t>
    </r>
    <r>
      <rPr>
        <b/>
        <sz val="10"/>
        <rFont val="Arial"/>
        <family val="2"/>
      </rPr>
      <t xml:space="preserve">Summary
</t>
    </r>
    <r>
      <rPr>
        <sz val="10"/>
        <rFont val="Arial"/>
        <family val="2"/>
      </rPr>
      <t>- added additional table which chooses the either the deferred or non-deferred pension amounts based on their chosen retirement age
- deleted no reform results</t>
    </r>
  </si>
  <si>
    <t>v0.9</t>
  </si>
  <si>
    <t>Pension calculator Updated v0.9.xls</t>
  </si>
  <si>
    <t>Exact Age (at start of scheme year)</t>
  </si>
  <si>
    <t>Age Last Birthday (at start of scheme year)</t>
  </si>
  <si>
    <t>checked inputs and outputs changes - ok. Protected members still showing 2015 scheme pension of zero, so ok. Not conditional formatted. PPS and NPPS Calcs: Service to retirement ok. Agree salary caps, as given in valuation report benefit summary. CARE. Deferred to SPA period ok, but move the cqalcs in rows 111  - 112 of the input/output sheet. Agree the allowance for the protection end date in 2015 service. Agree the projection period for deferred to SPA. Agree CARE is being discounted back to today. Agree the service for tapered cases starts from protection end date. CARE accumulation formula is ok, but could be clearer - the effective discount rate is (1+sal)/(1+care_reval)-1. Need to change the max lump sum calcs to use service up to leaving the old schemes.</t>
  </si>
  <si>
    <r>
      <t xml:space="preserve">All sheets
</t>
    </r>
    <r>
      <rPr>
        <sz val="10"/>
        <rFont val="Arial"/>
        <family val="2"/>
      </rPr>
      <t>- Changed previous references to today() to now refer to the start of the scheme year</t>
    </r>
    <r>
      <rPr>
        <b/>
        <sz val="10"/>
        <rFont val="Arial"/>
        <family val="2"/>
      </rPr>
      <t xml:space="preserve">
CARE calcs
</t>
    </r>
    <r>
      <rPr>
        <sz val="10"/>
        <rFont val="Arial"/>
        <family val="2"/>
      </rPr>
      <t xml:space="preserve">- added in extra calculations to account for taper period. Defer their entry into the CARE scheme (but still discount by appropriate amount).
- added if statement to row 22 so that if member is tapered their future service pension is set to 0
- added in tapered calcs for deferred until SPA members (row 35-39)
- added in *(1+cpi)^((today()-DoStartSchYear)/DOY) to rows 22, 26, 34 and 38
</t>
    </r>
    <r>
      <rPr>
        <b/>
        <sz val="10"/>
        <rFont val="Arial"/>
        <family val="2"/>
      </rPr>
      <t xml:space="preserve">PPS and NPPS Calcs
</t>
    </r>
    <r>
      <rPr>
        <sz val="10"/>
        <rFont val="Arial"/>
        <family val="2"/>
      </rPr>
      <t xml:space="preserve">- added in *(1+cpi)^((today()-DoStartSchYear)/DOY) to cells D40:E42
</t>
    </r>
    <r>
      <rPr>
        <b/>
        <sz val="10"/>
        <rFont val="Arial"/>
        <family val="2"/>
      </rPr>
      <t xml:space="preserve">Lump sum
</t>
    </r>
    <r>
      <rPr>
        <sz val="10"/>
        <rFont val="Arial"/>
        <family val="2"/>
      </rPr>
      <t>- D12 changed to look at the correct range. Also accounts for part time service</t>
    </r>
  </si>
  <si>
    <t>agree the changes to use start of scheme year. I agree the allowance for tapering in the service calculations.Agree the lump sum calculations.</t>
  </si>
  <si>
    <t>Due to the complexity and number of the changes we have made to the workbook, sign -ff depends on the satisfactory completion of testing via a testpack with indpendent checks.</t>
  </si>
  <si>
    <t>Salary factor</t>
  </si>
  <si>
    <t>Discounted pension</t>
  </si>
  <si>
    <t>Start of Scheme Year</t>
  </si>
  <si>
    <t>CARE Information</t>
  </si>
  <si>
    <t>Non-Tapered Members</t>
  </si>
  <si>
    <t>Tapered Members</t>
  </si>
  <si>
    <t>v0.10</t>
  </si>
  <si>
    <t>Pension calculator Updated v0.10.xls</t>
  </si>
  <si>
    <t>Service from Today to Chosen DoR</t>
  </si>
  <si>
    <t>CARE revalued to date of retirement</t>
  </si>
  <si>
    <t>Post-Commutation Pension</t>
  </si>
  <si>
    <t>Apply ERF and LRF</t>
  </si>
  <si>
    <t>Final Pension (includes PTP)</t>
  </si>
  <si>
    <t>Voluntary retirement ages</t>
  </si>
  <si>
    <r>
      <rPr>
        <b/>
        <sz val="10"/>
        <rFont val="Arial"/>
        <family val="2"/>
      </rPr>
      <t>Parameters</t>
    </r>
    <r>
      <rPr>
        <sz val="10"/>
        <rFont val="Arial"/>
        <family val="2"/>
      </rPr>
      <t xml:space="preserve">
- moved start of scheme year to this tab
- added in a date for current date
- moved VRAs to this tab, corrected the ages and extended the list of possible ranks
</t>
    </r>
    <r>
      <rPr>
        <b/>
        <sz val="10"/>
        <rFont val="Arial"/>
        <family val="2"/>
      </rPr>
      <t xml:space="preserve">Inputs and outputs
</t>
    </r>
    <r>
      <rPr>
        <sz val="10"/>
        <rFont val="Arial"/>
        <family val="2"/>
      </rPr>
      <t xml:space="preserve">- Added formula to cells B46 and B48 so that they are blank if the member is not tapered
- Added conditional formatting to rows 62-64 and 70-71 so that they disappear when the member is fully protected.
- Changed cell B117 which affects minimum DOB and data validation text on DOB changed.
- Changed C125 to be the current date
- Cell B136 changed to 68 and data validation text on retirement age changed
- Updated cells H,J,K 60,63,68 and 71 to pull from summary rather than doing calculations on summary page
</t>
    </r>
    <r>
      <rPr>
        <b/>
        <sz val="10"/>
        <rFont val="Arial"/>
        <family val="2"/>
      </rPr>
      <t xml:space="preserve">PPS and NPPS calcs
</t>
    </r>
    <r>
      <rPr>
        <sz val="10"/>
        <rFont val="Arial"/>
        <family val="2"/>
      </rPr>
      <t xml:space="preserve">- Added in rows 46:48 which apply the past service part time proportion to PPS and NPPS pensions.
- NPPS lump sum calcs then pull through these figures which have the PTP applied (E49:51)
</t>
    </r>
    <r>
      <rPr>
        <b/>
        <sz val="10"/>
        <rFont val="Arial"/>
        <family val="2"/>
      </rPr>
      <t xml:space="preserve">Past service care calcs
</t>
    </r>
    <r>
      <rPr>
        <sz val="10"/>
        <rFont val="Arial"/>
        <family val="2"/>
      </rPr>
      <t xml:space="preserve">- added in row 17 which fully projects the past service CARE benefit to the DoR (uses row 16 which realues it to the start of scheme year)
</t>
    </r>
    <r>
      <rPr>
        <b/>
        <sz val="10"/>
        <rFont val="Arial"/>
        <family val="2"/>
      </rPr>
      <t xml:space="preserve">CARE calcs
</t>
    </r>
    <r>
      <rPr>
        <sz val="10"/>
        <rFont val="Arial"/>
        <family val="2"/>
      </rPr>
      <t xml:space="preserve">- added in row 18 which has the service from the current date to DoR
- method of calculation has been changed significantly
- pension is accrued each year and revalued, but discounting is only applied at the date of first receiving the pension
- no longer need separate calculation methods for &lt;55 and &gt;=55 members
- D30:F30 changed to use SPA
- Row 31 added which applies the future/current PTP to the discounted pension
</t>
    </r>
    <r>
      <rPr>
        <b/>
        <sz val="10"/>
        <rFont val="Arial"/>
        <family val="2"/>
      </rPr>
      <t xml:space="preserve">Lump sum
</t>
    </r>
    <r>
      <rPr>
        <sz val="10"/>
        <rFont val="Arial"/>
        <family val="2"/>
      </rPr>
      <t xml:space="preserve">- D19:F19, D21:F21, D26:F26 and D28:F28 amended so that they pull through the pension with the part time proportion applied to it
</t>
    </r>
    <r>
      <rPr>
        <b/>
        <sz val="10"/>
        <rFont val="Arial"/>
        <family val="2"/>
      </rPr>
      <t xml:space="preserve">Summary
</t>
    </r>
    <r>
      <rPr>
        <sz val="10"/>
        <rFont val="Arial"/>
        <family val="2"/>
      </rPr>
      <t xml:space="preserve">- Post 2015 results have been condensed into a single table
- pre-commutation and post-commutation pension in rows 17, 20, 26 and 29 pull through results from the PTP calcs in the </t>
    </r>
    <r>
      <rPr>
        <b/>
        <sz val="10"/>
        <rFont val="Arial"/>
        <family val="2"/>
      </rPr>
      <t xml:space="preserve">Lump sum </t>
    </r>
    <r>
      <rPr>
        <sz val="10"/>
        <rFont val="Arial"/>
        <family val="2"/>
      </rPr>
      <t>sheet</t>
    </r>
  </si>
  <si>
    <t xml:space="preserve">- This calculator is for guidance purposes only and is an estimate only. It is not intended to provide you with financial advice. If you require financial advice, you should contact an independent financial adviser. </t>
  </si>
  <si>
    <t>v0.11</t>
  </si>
  <si>
    <t>\\Gad-fpt\fpt\NEW DATA\FPT Clients\Police\Scotland\General\Benefits Projection Calculator\Pension calculator Updated v0.11.xls</t>
  </si>
  <si>
    <r>
      <t xml:space="preserve">Checked - one issue: NPPS protection status calc cell applied check on DJS vs protection date in wrong direction. Corrected in this version. </t>
    </r>
    <r>
      <rPr>
        <sz val="10"/>
        <color indexed="10"/>
        <rFont val="Arial"/>
        <family val="2"/>
      </rPr>
      <t xml:space="preserve"> [SAM] This cell is now ok</t>
    </r>
    <r>
      <rPr>
        <sz val="10"/>
        <rFont val="Arial"/>
        <family val="2"/>
      </rPr>
      <t xml:space="preserve">
I have re-run a selection of the PPS and NPPS tests on the calculator successfully.</t>
    </r>
  </si>
  <si>
    <r>
      <t xml:space="preserve">Slightly amended the wording i.r.o lump sum for the PPS members and also added it below the new scheme pension benefits.  Otherwise agreed.
</t>
    </r>
    <r>
      <rPr>
        <sz val="10"/>
        <color indexed="10"/>
        <rFont val="Arial"/>
        <family val="2"/>
      </rPr>
      <t>NPPS cases have problems re the message appearing due to F44 being blank</t>
    </r>
  </si>
  <si>
    <r>
      <t xml:space="preserve">Parameters
</t>
    </r>
    <r>
      <rPr>
        <sz val="10"/>
        <rFont val="Arial"/>
        <family val="2"/>
      </rPr>
      <t>- amended CARE parameter</t>
    </r>
    <r>
      <rPr>
        <b/>
        <sz val="10"/>
        <rFont val="Arial"/>
        <family val="2"/>
      </rPr>
      <t xml:space="preserve">
Past service CARE Calcs
</t>
    </r>
    <r>
      <rPr>
        <sz val="10"/>
        <rFont val="Arial"/>
        <family val="2"/>
      </rPr>
      <t xml:space="preserve">- amended formulae in row 14, to remove one year of revaluation
</t>
    </r>
    <r>
      <rPr>
        <b/>
        <sz val="10"/>
        <rFont val="Arial"/>
        <family val="2"/>
      </rPr>
      <t xml:space="preserve">CARE calcs
</t>
    </r>
    <r>
      <rPr>
        <sz val="10"/>
        <rFont val="Arial"/>
        <family val="2"/>
      </rPr>
      <t xml:space="preserve">- reduced n in row 20 and 24 by one
- added D21*D11^D21 term to the future service pension (row 23)
- added in row 25
- amended rows 26 and 29 to account for the change in methodology
</t>
    </r>
    <r>
      <rPr>
        <b/>
        <sz val="10"/>
        <rFont val="Arial"/>
        <family val="2"/>
      </rPr>
      <t xml:space="preserve">Lump sum
</t>
    </r>
    <r>
      <rPr>
        <sz val="10"/>
        <rFont val="Arial"/>
        <family val="2"/>
      </rPr>
      <t>- amended formula in D15 so that it compares the VRA to the retirement age</t>
    </r>
  </si>
  <si>
    <t>v0.12</t>
  </si>
  <si>
    <t>\\Gad-fpt\fpt\NEW DATA\FPT Clients\Police\Scotland\General\Benefits Projection Calculator\Pension calculator Updated v0.12.xls</t>
  </si>
  <si>
    <t>Integer period to retirement (from DoC)</t>
  </si>
  <si>
    <t>Remainder of period to retirement (from DoC)</t>
  </si>
  <si>
    <t>Integer period to retirement (from protection end)</t>
  </si>
  <si>
    <t>Remainder of period to retirement (from protection end)</t>
  </si>
  <si>
    <t>Pension over entire period (including tapered time)</t>
  </si>
  <si>
    <t>Length of future taper period</t>
  </si>
  <si>
    <t>Revalued pension missed in taper period</t>
  </si>
  <si>
    <t>Taper service</t>
  </si>
  <si>
    <t>Service from DoC to Protection End Date</t>
  </si>
  <si>
    <t>mjr</t>
  </si>
  <si>
    <t>All changes checked and agreed.</t>
  </si>
  <si>
    <r>
      <t xml:space="preserve">PPS and NPPS calcs
</t>
    </r>
    <r>
      <rPr>
        <sz val="10"/>
        <rFont val="Arial"/>
        <family val="2"/>
      </rPr>
      <t>- amended service calcs in rows 31-33 and 35 so that if member is part time then their service is dependent on the reckonable service inputted.
- removed rows 46-48 which multiplied the pension by the PTP (as the part time service is now dealt with separately)</t>
    </r>
    <r>
      <rPr>
        <b/>
        <sz val="10"/>
        <rFont val="Arial"/>
        <family val="2"/>
      </rPr>
      <t xml:space="preserve">
Past service CARE Calcs
</t>
    </r>
    <r>
      <rPr>
        <sz val="10"/>
        <rFont val="Arial"/>
        <family val="2"/>
      </rPr>
      <t xml:space="preserve">- Removed rows giving years of revaluation and CARE revalued to start year (as the past service benefits will already be revalued to this date, previously row 14 and 16)
- amended formula in row 16 so that it applies the revaluation directly to the accrued CARE benefit (row 15)
</t>
    </r>
    <r>
      <rPr>
        <b/>
        <sz val="10"/>
        <rFont val="Arial"/>
        <family val="2"/>
      </rPr>
      <t xml:space="preserve">CARE calcs
</t>
    </r>
    <r>
      <rPr>
        <sz val="10"/>
        <rFont val="Arial"/>
        <family val="2"/>
      </rPr>
      <t xml:space="preserve">- added in row 19 which gives the service between start of scheme year and the protection end date
- adjusted calculation in row 29 to included additional deduction of pension in tapered period
- adjusted past service pension by dividing D23 through by the PTP to prevent the PTP from being applied twice
</t>
    </r>
    <r>
      <rPr>
        <b/>
        <sz val="10"/>
        <rFont val="Arial"/>
        <family val="2"/>
      </rPr>
      <t xml:space="preserve">Lump sum
</t>
    </r>
    <r>
      <rPr>
        <sz val="10"/>
        <rFont val="Arial"/>
        <family val="2"/>
      </rPr>
      <t>- amended D12 to pull through the reckonable service if member is PT</t>
    </r>
  </si>
  <si>
    <t>- This calculator will provide an illustration of your pension at a chosen retirement age.</t>
  </si>
  <si>
    <t>v0.13</t>
  </si>
  <si>
    <t>\\Gad-fpt\fpt\NEW DATA\FPT Clients\Police\Scotland\General\Benefits Projection Calculator\Pension calculator Updated v0.13.xlsm</t>
  </si>
  <si>
    <r>
      <t>Inputs and outputs</t>
    </r>
    <r>
      <rPr>
        <sz val="10"/>
        <rFont val="Arial"/>
        <family val="2"/>
      </rPr>
      <t xml:space="preserve">
- amended wording in rows 54 and 55 to make it clear that salary increases are wrt CPI
- amended formulae in rows 60, 63, 70 and 73 so that they have a "pa" concatenated to the end of the number
- in row 66,67,75 and 76 added together the lump sums and the pension amounts if the member has a retirement age &gt;=55. Has conditional formatting to make boxes disappear if they are &lt;55.</t>
    </r>
  </si>
  <si>
    <t>2% (CPI + 0% )</t>
  </si>
  <si>
    <t>Annual Salary Increase Assumptions</t>
  </si>
  <si>
    <t>3% (CPI + 1% )</t>
  </si>
  <si>
    <t>4% (CPI + 2% )</t>
  </si>
  <si>
    <t>v1.0</t>
  </si>
  <si>
    <t>\\Gad-fpt\fpt\NEW DATA\FPT Clients\Police\Scotland\General\Benefits Projection Calculator\Pension calculator Updated v1.0.xlsm</t>
  </si>
  <si>
    <t>2015 Scheme</t>
  </si>
  <si>
    <t>2006 Scheme</t>
  </si>
  <si>
    <t>Scheme Conversion</t>
  </si>
  <si>
    <t>Changes agreed from</t>
  </si>
  <si>
    <t>\\Gad-fpt\fpt\NEW DATA\FPT Clients\Police\Scotland\General\Benefits Projection Calculator\161201SPPACalculatorAgreedChanges.docx</t>
  </si>
  <si>
    <t>Retirement Date</t>
  </si>
  <si>
    <t>Ret Age</t>
  </si>
  <si>
    <t>1. Assuming maximum commutation of pension</t>
  </si>
  <si>
    <t>2. Assuming no commutation of pension</t>
  </si>
  <si>
    <t>Total pension</t>
  </si>
  <si>
    <t>Pension Calcs</t>
  </si>
  <si>
    <t>ABS Projection</t>
  </si>
  <si>
    <t>ABS Projection to 60</t>
  </si>
  <si>
    <t>CARE pension</t>
  </si>
  <si>
    <t>Post-15 Pension</t>
  </si>
  <si>
    <t>Pre-15 Pension</t>
  </si>
  <si>
    <t>Total Pension</t>
  </si>
  <si>
    <r>
      <t xml:space="preserve">Inputs and outputs
</t>
    </r>
    <r>
      <rPr>
        <sz val="10"/>
        <rFont val="Arial"/>
        <family val="2"/>
      </rPr>
      <t xml:space="preserve">- Changed data validation in I18 so that it doesn't get affected if new rows are entered or deleted on the page
- Changed validation terms to be 1987 scheme, 2006 scheme and 2015 scheme
- "CurrentScheme" variable moved to the </t>
    </r>
    <r>
      <rPr>
        <b/>
        <sz val="10"/>
        <rFont val="Arial"/>
        <family val="2"/>
      </rPr>
      <t xml:space="preserve">Parameters </t>
    </r>
    <r>
      <rPr>
        <sz val="10"/>
        <rFont val="Arial"/>
        <family val="2"/>
      </rPr>
      <t xml:space="preserve">tab
- Updated the comment box for the TV in section
- Minor wording changes in line with document below
- Changed retirement age to be chosen retirement date. This retirement date is then converted into a retirement age on the </t>
    </r>
    <r>
      <rPr>
        <b/>
        <sz val="10"/>
        <rFont val="Arial"/>
        <family val="2"/>
      </rPr>
      <t xml:space="preserve">Paramaters </t>
    </r>
    <r>
      <rPr>
        <sz val="10"/>
        <rFont val="Arial"/>
        <family val="2"/>
      </rPr>
      <t xml:space="preserve">tab
- Wording in benefits section reduced and colour scheme changed to differentiate between the different sections (and conditional formatting updated)
- Added current salary (H49)
- Added in section 3 which recreates the pension at age 60 from the ABS (80:85)
</t>
    </r>
    <r>
      <rPr>
        <b/>
        <sz val="10"/>
        <rFont val="Arial"/>
        <family val="2"/>
      </rPr>
      <t xml:space="preserve">Parameters
</t>
    </r>
    <r>
      <rPr>
        <sz val="10"/>
        <rFont val="Arial"/>
        <family val="2"/>
      </rPr>
      <t xml:space="preserve">- Reordered the ranks into seniority order, and only retained 5 of the ranks (rows 88:89)
- Reassign the current scheme on rows 91:97
- Calculate the chosen retirement age based on the retirement date
- Calculate retirement age based on the retirement date (B99:B102)
</t>
    </r>
    <r>
      <rPr>
        <b/>
        <sz val="10"/>
        <rFont val="Arial"/>
        <family val="2"/>
      </rPr>
      <t xml:space="preserve">PPS and NPPS Calcs
</t>
    </r>
    <r>
      <rPr>
        <sz val="10"/>
        <rFont val="Arial"/>
        <family val="2"/>
      </rPr>
      <t xml:space="preserve">- added in abs projection to 60 (53:69) which works in same way as normal PPS calcs except no discounting or revaluation and projecting to age 60
</t>
    </r>
    <r>
      <rPr>
        <b/>
        <sz val="10"/>
        <rFont val="Arial"/>
        <family val="2"/>
      </rPr>
      <t xml:space="preserve">CARE Calcs ABS
</t>
    </r>
    <r>
      <rPr>
        <sz val="10"/>
        <rFont val="Arial"/>
        <family val="2"/>
      </rPr>
      <t>- added in tab to calculate the projection to 60 without salary increases or revaluation or discounting.</t>
    </r>
  </si>
  <si>
    <t>Your projected benefits under different salary increase assumptions, in current money terms (after adjusting for assumed future inflation).</t>
  </si>
  <si>
    <t>checked all changes. Agreed, subject to testing the ABS projection when we receive test cases from SPPA (today hopefully).</t>
  </si>
  <si>
    <t>v1.1</t>
  </si>
  <si>
    <t>\\Gad-fpt\fpt\NEW DATA\FPT Clients\Police\Scotland\General\Benefits Projection Calculator\Pension calculator Updated v1.1.xlsm</t>
  </si>
  <si>
    <t>Months</t>
  </si>
  <si>
    <t>Days</t>
  </si>
  <si>
    <t>Projected full time salary at retirement</t>
  </si>
  <si>
    <t>NPPS Lump Sum</t>
  </si>
  <si>
    <t>ERF and LRF</t>
  </si>
  <si>
    <r>
      <t xml:space="preserve">Inputs and outputs 
</t>
    </r>
    <r>
      <rPr>
        <sz val="10"/>
        <rFont val="Arial"/>
        <family val="2"/>
      </rPr>
      <t>- Remove rows between current salary and projected salary at retirement</t>
    </r>
    <r>
      <rPr>
        <b/>
        <sz val="10"/>
        <rFont val="Arial"/>
        <family val="2"/>
      </rPr>
      <t xml:space="preserve">
</t>
    </r>
    <r>
      <rPr>
        <sz val="10"/>
        <rFont val="Arial"/>
        <family val="2"/>
      </rPr>
      <t xml:space="preserve">- Changed conditional formatting in row 76:77 and 82:84
- Deleted the date of benefit statement as not used in the calculations
- Labelled I27 as DoR
- added in NPPS lump sum to the ABS projection
</t>
    </r>
    <r>
      <rPr>
        <b/>
        <sz val="10"/>
        <rFont val="Arial"/>
        <family val="2"/>
      </rPr>
      <t xml:space="preserve">Parameters
</t>
    </r>
    <r>
      <rPr>
        <sz val="10"/>
        <rFont val="Arial"/>
        <family val="2"/>
      </rPr>
      <t xml:space="preserve">- Amended calculation of chosenra so that it is more precise (rows 101:104)
</t>
    </r>
    <r>
      <rPr>
        <b/>
        <sz val="10"/>
        <rFont val="Arial"/>
        <family val="2"/>
      </rPr>
      <t xml:space="preserve">ERF and LRF
</t>
    </r>
    <r>
      <rPr>
        <sz val="10"/>
        <rFont val="Arial"/>
        <family val="2"/>
      </rPr>
      <t xml:space="preserve">- added in the 2015 scheme ERF and LRF
</t>
    </r>
    <r>
      <rPr>
        <b/>
        <sz val="10"/>
        <rFont val="Arial"/>
        <family val="2"/>
      </rPr>
      <t xml:space="preserve">PPS and NPPS calcs
</t>
    </r>
    <r>
      <rPr>
        <sz val="10"/>
        <rFont val="Arial"/>
        <family val="2"/>
      </rPr>
      <t xml:space="preserve">- Changed row 23 to pick up the DoR from the inputs page
- D67 and E67 have had references to DoR changed to D55 and E55 respectively
</t>
    </r>
    <r>
      <rPr>
        <b/>
        <sz val="10"/>
        <rFont val="Arial"/>
        <family val="2"/>
      </rPr>
      <t xml:space="preserve">CARE calcs
</t>
    </r>
    <r>
      <rPr>
        <sz val="10"/>
        <rFont val="Arial"/>
        <family val="2"/>
      </rPr>
      <t xml:space="preserve">- D15, D25 and D26 had references to chosenra removed and replaced with the DoR
- Updated the ERF and LRF calcs using the actual factors (D32:F32)
</t>
    </r>
    <r>
      <rPr>
        <b/>
        <sz val="10"/>
        <rFont val="Arial"/>
        <family val="2"/>
      </rPr>
      <t xml:space="preserve">Summary
</t>
    </r>
    <r>
      <rPr>
        <sz val="10"/>
        <rFont val="Arial"/>
        <family val="2"/>
      </rPr>
      <t>- added in NPPS lump sum to the ABS projection</t>
    </r>
  </si>
  <si>
    <t>CARE Scheme LRF</t>
  </si>
  <si>
    <t>For ERF lookup function</t>
  </si>
  <si>
    <t>month, rounded up so period early is in complete months</t>
  </si>
  <si>
    <t>Exact age</t>
  </si>
  <si>
    <t>Complete years</t>
  </si>
  <si>
    <t>fraction of year</t>
  </si>
  <si>
    <t>Date turned 60</t>
  </si>
  <si>
    <t>ERF</t>
  </si>
  <si>
    <t>Early and Late Retirement Factors</t>
  </si>
  <si>
    <t>v1.2</t>
  </si>
  <si>
    <t>Pension calculator Updated v1.2.xlsm</t>
  </si>
  <si>
    <r>
      <t xml:space="preserve">CARE calcs
</t>
    </r>
    <r>
      <rPr>
        <sz val="10"/>
        <rFont val="Arial"/>
        <family val="2"/>
      </rPr>
      <t>- added in additional proportion of year calc to D21:D22. This is used to weight up the last year of the LRF
- amended formulae in D23:24</t>
    </r>
  </si>
  <si>
    <t>checked and agreed changes, after amending the LRF factor calc for the final fraction of age.</t>
  </si>
  <si>
    <t>v1.3</t>
  </si>
  <si>
    <t>Pension calculator Updated v1.3.xlsm</t>
  </si>
  <si>
    <r>
      <rPr>
        <b/>
        <sz val="10"/>
        <rFont val="Arial"/>
        <family val="2"/>
      </rPr>
      <t xml:space="preserve">MJR change
CARE calcs
</t>
    </r>
    <r>
      <rPr>
        <sz val="10"/>
        <rFont val="Arial"/>
        <family val="2"/>
      </rPr>
      <t xml:space="preserve">- amended LRF calc
</t>
    </r>
    <r>
      <rPr>
        <b/>
        <sz val="10"/>
        <rFont val="Arial"/>
        <family val="2"/>
      </rPr>
      <t xml:space="preserve">AP change:
CARE calcs ABS
</t>
    </r>
    <r>
      <rPr>
        <sz val="10"/>
        <rFont val="Arial"/>
        <family val="2"/>
      </rPr>
      <t>- changed D7 to look at date60 if member is fully protected</t>
    </r>
  </si>
  <si>
    <t>Superintendent</t>
  </si>
  <si>
    <t>changed cells d23 and 24 in CARE Calcs sheet to use condition '&lt;=60' rather than '&lt;60' to prevent a lookup error. Also removed '-1' from the expression to avoid entering the table at age 59 in error.</t>
  </si>
  <si>
    <t>Agree with changes to calculation</t>
  </si>
  <si>
    <t>v1.4</t>
  </si>
  <si>
    <t>\\Gad-fpt\fpt\NEW DATA\FPT Clients\Police\Scotland\General\Benefits Projection Calculator\Pension calculator Updated v1.4.xlsx</t>
  </si>
  <si>
    <r>
      <t xml:space="preserve">Parameters
</t>
    </r>
    <r>
      <rPr>
        <sz val="10"/>
        <rFont val="Arial"/>
        <family val="2"/>
      </rPr>
      <t>D102 changed so that there is no longer an issue with calculating the number of days past the DoR for edge cases</t>
    </r>
  </si>
  <si>
    <t>Agree</t>
  </si>
  <si>
    <t>Rounded figures</t>
  </si>
  <si>
    <t>Current salary</t>
  </si>
  <si>
    <t>1987 Scheme pension</t>
  </si>
  <si>
    <t>2015 Scheme pension</t>
  </si>
  <si>
    <t>Total lump sum</t>
  </si>
  <si>
    <t>Assuming max commutation</t>
  </si>
  <si>
    <t>Assuming no commutation</t>
  </si>
  <si>
    <t>v1.5</t>
  </si>
  <si>
    <t>\\Gad-fpt\fpt\NEW DATA\FPT Clients\Police\Scotland\General\Benefits Projection Calculator\Pension calculator Updated v1.5.xlsx</t>
  </si>
  <si>
    <t>Lump sum</t>
  </si>
  <si>
    <t>Scottish Factor</t>
  </si>
  <si>
    <t>English Factor</t>
  </si>
  <si>
    <t>DoR &lt;= 31/03/2022</t>
  </si>
  <si>
    <t>Lump sum underpin date</t>
  </si>
  <si>
    <r>
      <t xml:space="preserve">Inputs and outputs
</t>
    </r>
    <r>
      <rPr>
        <sz val="10"/>
        <rFont val="Arial"/>
        <family val="2"/>
      </rPr>
      <t xml:space="preserve">- updated output fields H47:L81 by pulling through from the summary tab
</t>
    </r>
    <r>
      <rPr>
        <b/>
        <sz val="10"/>
        <rFont val="Arial"/>
        <family val="2"/>
      </rPr>
      <t xml:space="preserve">Parameters
</t>
    </r>
    <r>
      <rPr>
        <sz val="10"/>
        <rFont val="Arial"/>
        <family val="2"/>
      </rPr>
      <t xml:space="preserve">- added lump sum underpin date to B109
</t>
    </r>
    <r>
      <rPr>
        <b/>
        <sz val="10"/>
        <rFont val="Arial"/>
        <family val="2"/>
      </rPr>
      <t xml:space="preserve">Commutation factors
</t>
    </r>
    <r>
      <rPr>
        <sz val="10"/>
        <rFont val="Arial"/>
        <family val="2"/>
      </rPr>
      <t>- added the pre 87 E&amp;W comm factors</t>
    </r>
    <r>
      <rPr>
        <b/>
        <sz val="10"/>
        <rFont val="Arial"/>
        <family val="2"/>
      </rPr>
      <t xml:space="preserve">
CARE calcs
</t>
    </r>
    <r>
      <rPr>
        <sz val="10"/>
        <rFont val="Arial"/>
        <family val="2"/>
      </rPr>
      <t xml:space="preserve">- amended row 39 so that if a member is tapered and their protection end date is after their retirement date then the CARE pension is 0
</t>
    </r>
    <r>
      <rPr>
        <b/>
        <sz val="10"/>
        <rFont val="Arial"/>
        <family val="2"/>
      </rPr>
      <t xml:space="preserve">Lump sum
</t>
    </r>
    <r>
      <rPr>
        <sz val="10"/>
        <rFont val="Arial"/>
        <family val="2"/>
      </rPr>
      <t xml:space="preserve">- calculating underpin of pre 87 commutation factor (D12:D15)
</t>
    </r>
    <r>
      <rPr>
        <b/>
        <sz val="10"/>
        <rFont val="Arial"/>
        <family val="2"/>
      </rPr>
      <t xml:space="preserve">Summary
</t>
    </r>
    <r>
      <rPr>
        <sz val="10"/>
        <rFont val="Arial"/>
        <family val="2"/>
      </rPr>
      <t>- added table of rounded figures (which are pulled through to the inputs/outputs tabs)</t>
    </r>
  </si>
  <si>
    <t>agree changes</t>
  </si>
  <si>
    <t>removed projected salary from inputs and outputs</t>
  </si>
  <si>
    <t>removed results section C from inputs and outputs</t>
  </si>
  <si>
    <t>Changed pre-2015 lump sum calculation to use total service from djs to dor, rather than total pre-2015 scheme service. In lump sum sheet.</t>
  </si>
  <si>
    <t>Here we calculate all service between djs and DoR.</t>
  </si>
  <si>
    <t>Ignoring any part-time service</t>
  </si>
  <si>
    <t>Pooja V</t>
  </si>
  <si>
    <t>OK</t>
  </si>
  <si>
    <t xml:space="preserve">This has been amended </t>
  </si>
  <si>
    <t>Section 3 deleted ok
Checked that if member retires over age 55 then the total pension and lumpsum figs are shown in section 1 and 2</t>
  </si>
  <si>
    <t>v1.6</t>
  </si>
  <si>
    <t>changed cell d27 in CARE calcs sheet to chosen RA&lt;=60, instead of &lt;60. This prevents a divide by zero error at chosenRA=60</t>
  </si>
  <si>
    <t>changed calculation in F18 of Lump Sum sheet to add on any transferred-in service to the reckonable service.</t>
  </si>
  <si>
    <t>changed all rounding in summary sheet for output to nearest pound, rather than hundred.</t>
  </si>
  <si>
    <t>changed the calculation of reckonable service in cell f18 of the lump sum calcs sheet to use the day before ChosenRA. SPPA feedback said this is what the schemes do - 30 years reckonable service is achieved on ret the day after raching 30 years.</t>
  </si>
  <si>
    <t>Past service from ABS?</t>
  </si>
  <si>
    <t>v1.7</t>
  </si>
  <si>
    <t>changed the inputs sheet to include a check box to indicate whether to approximate past CARE and hide the inputs, or to use the inputs. The past service care calcs sheet was changed to include an if function to select the input or the approximation. The appproximation appears only if the scheme year is prior to the start of current scheme year.</t>
  </si>
  <si>
    <t>Check box ok. Amended conditional formatting so colour matches</t>
  </si>
  <si>
    <t>3. The date you joined the scheme (dd/mm/yyyy)</t>
  </si>
  <si>
    <r>
      <t xml:space="preserve">Most figures ok. ABS projection didn't have this applied (not important as section C on </t>
    </r>
    <r>
      <rPr>
        <b/>
        <sz val="10"/>
        <rFont val="Arial"/>
        <family val="2"/>
      </rPr>
      <t xml:space="preserve">Inputs and outputs </t>
    </r>
    <r>
      <rPr>
        <sz val="10"/>
        <rFont val="Arial"/>
        <family val="2"/>
      </rPr>
      <t>tab has been deleted.</t>
    </r>
  </si>
  <si>
    <t>OK, but need rounding on D18</t>
  </si>
  <si>
    <t>2. Your name (first name and surname)</t>
  </si>
  <si>
    <t>v1.8</t>
  </si>
  <si>
    <r>
      <rPr>
        <b/>
        <sz val="10"/>
        <rFont val="Arial"/>
        <family val="2"/>
      </rPr>
      <t xml:space="preserve">Inputs and outputs
</t>
    </r>
    <r>
      <rPr>
        <sz val="10"/>
        <rFont val="Arial"/>
        <family val="2"/>
      </rPr>
      <t xml:space="preserve">Amended conditional formatting related to checkbox so that colour matches the surrounding area. Added in 'Name' as an input option. 
</t>
    </r>
    <r>
      <rPr>
        <b/>
        <sz val="10"/>
        <rFont val="Arial"/>
        <family val="2"/>
      </rPr>
      <t>Lump sum</t>
    </r>
    <r>
      <rPr>
        <sz val="10"/>
        <rFont val="Arial"/>
        <family val="2"/>
      </rPr>
      <t xml:space="preserve">
Round D18 so that numbers which are essentially full years can be rounded.</t>
    </r>
  </si>
  <si>
    <t>Data filled in</t>
  </si>
  <si>
    <t>Illustration of pension benefits for retirement at</t>
  </si>
  <si>
    <t>Name</t>
  </si>
  <si>
    <t>Date of joining the scheme</t>
  </si>
  <si>
    <t xml:space="preserve">Pensionable Earnings  </t>
  </si>
  <si>
    <t>Your projected benefits in current money terms (after adjusting for assumed future inflation*)</t>
  </si>
  <si>
    <t>Amounts following maximum commutation:</t>
  </si>
  <si>
    <t>Lump Sum</t>
  </si>
  <si>
    <t>* CPI 2%</t>
  </si>
  <si>
    <t xml:space="preserve">This calculator is for guidance purposes only. It is an estimate only and is not a guarantee of future benefits. It is not intended to provide you with financial advice. If you require financial advice, you should contact an independent financial adviser. </t>
  </si>
  <si>
    <t xml:space="preserve">This projection should be read along with the accompanying notes. </t>
  </si>
  <si>
    <t>Pension</t>
  </si>
  <si>
    <t>v1.9</t>
  </si>
  <si>
    <t xml:space="preserve">Printed on </t>
  </si>
  <si>
    <r>
      <t xml:space="preserve">Printable Estimates
</t>
    </r>
    <r>
      <rPr>
        <sz val="10"/>
        <rFont val="Arial"/>
        <family val="2"/>
      </rPr>
      <t>- updated wording in projected benefits to align with Iain Coltman's email
- updated formulae in B27:G52
- updated conditional formatting in B27:G52
- moved some of the wording and caveats around on page
- set a print area</t>
    </r>
  </si>
  <si>
    <t>Tejas</t>
  </si>
  <si>
    <t>Happy with changes.</t>
  </si>
  <si>
    <t>Scottish Fire pension  projection calculator</t>
  </si>
  <si>
    <t>1992 Scheme</t>
  </si>
  <si>
    <t>sensible versus the FPS closure date? i.e. can't be a post 6/4/2006 joiner in FPS</t>
  </si>
  <si>
    <t>NFPS</t>
  </si>
  <si>
    <t>FPS</t>
  </si>
  <si>
    <t>reach 30 years' FPS service</t>
  </si>
  <si>
    <t>reach 25 years' FPS service</t>
  </si>
  <si>
    <t xml:space="preserve"> min when reach 30 years' FPS service, or 50-55 if get to 25 years total service then, o/w 55.  Max 65</t>
  </si>
  <si>
    <t>NFPS min 55, max 65</t>
  </si>
  <si>
    <t>FPS min when reach 30 years' FPS service, or 50-55 if get to 25 years total service then, o/w 55.  Max 65</t>
  </si>
  <si>
    <t>Age at NFPS start</t>
  </si>
  <si>
    <t>Age at entry</t>
  </si>
  <si>
    <t>Age @ entry</t>
  </si>
  <si>
    <t>&lt;=55</t>
  </si>
  <si>
    <t>There are no FPS ERFs</t>
  </si>
  <si>
    <t>NFPS ERF</t>
  </si>
  <si>
    <t>Note: No LRFs in NFPS (or FPS)</t>
  </si>
  <si>
    <t>Age addition percentages (active member accounts)</t>
  </si>
  <si>
    <t>Age at Start of Scheme Year</t>
  </si>
  <si>
    <t>Service at NFPS start date</t>
  </si>
  <si>
    <t>FPS and NFPS calcs</t>
  </si>
  <si>
    <t>NFPS start date</t>
  </si>
  <si>
    <t>Service between NFPS start date and protection date</t>
  </si>
  <si>
    <t>Uplift in service applicable to members who were in FPS but then joined NFPS (assumed to be on DJS or shortly afterwards)</t>
  </si>
  <si>
    <t>i.e. applicable to NFPS members who have a DJS of earlier than the NFPS start date</t>
  </si>
  <si>
    <t>2006 Scheme Commutation Factor</t>
  </si>
  <si>
    <t>Below 50</t>
  </si>
  <si>
    <t>Pre 2015 Commutation Factor</t>
  </si>
  <si>
    <t>1992 Scheme Commutation Factors England (may use prior to underpin date)</t>
  </si>
  <si>
    <t>1992 Scheme Commutation Factors Scotland</t>
  </si>
  <si>
    <t>LRF</t>
  </si>
  <si>
    <t>v0.2</t>
  </si>
  <si>
    <r>
      <t xml:space="preserve">Inputs and outputs
</t>
    </r>
    <r>
      <rPr>
        <sz val="10"/>
        <rFont val="Arial"/>
        <family val="2"/>
      </rPr>
      <t xml:space="preserve">- amended schemes B123:B125
- reduced min current pen sal B131
- changed references to "PPS" and "NPPS" to "FPS" and "NFPS"
</t>
    </r>
    <r>
      <rPr>
        <b/>
        <sz val="10"/>
        <rFont val="Arial"/>
        <family val="2"/>
      </rPr>
      <t xml:space="preserve">Parameters
</t>
    </r>
    <r>
      <rPr>
        <sz val="10"/>
        <rFont val="Arial"/>
        <family val="2"/>
      </rPr>
      <t xml:space="preserve">- changed references to "PPS" and "NPPS" to "FPS" and "NFPS"
- updated F16:22
- added in new pension uplift table B59:H104
- deleted lump sum, ERF (CARE) and LRF (CARE) figures as these are not needed
</t>
    </r>
    <r>
      <rPr>
        <b/>
        <sz val="10"/>
        <rFont val="Arial"/>
        <family val="2"/>
      </rPr>
      <t xml:space="preserve">Tapers
</t>
    </r>
    <r>
      <rPr>
        <sz val="10"/>
        <rFont val="Arial"/>
        <family val="2"/>
      </rPr>
      <t xml:space="preserve">- updated tapers
</t>
    </r>
    <r>
      <rPr>
        <b/>
        <sz val="10"/>
        <rFont val="Arial"/>
        <family val="2"/>
      </rPr>
      <t xml:space="preserve">Commutation Factors
</t>
    </r>
    <r>
      <rPr>
        <sz val="10"/>
        <rFont val="Arial"/>
        <family val="2"/>
      </rPr>
      <t xml:space="preserve">- updated commutation factors
</t>
    </r>
    <r>
      <rPr>
        <b/>
        <sz val="10"/>
        <rFont val="Arial"/>
        <family val="2"/>
      </rPr>
      <t xml:space="preserve">ERF and LRF
</t>
    </r>
    <r>
      <rPr>
        <sz val="10"/>
        <rFont val="Arial"/>
        <family val="2"/>
      </rPr>
      <t xml:space="preserve">- updated with new NFPS ERFs
- updated with CARE ERF and LRF
</t>
    </r>
    <r>
      <rPr>
        <b/>
        <sz val="10"/>
        <rFont val="Arial"/>
        <family val="2"/>
      </rPr>
      <t xml:space="preserve">FPS and NFPS Calcs
</t>
    </r>
    <r>
      <rPr>
        <sz val="10"/>
        <rFont val="Arial"/>
        <family val="2"/>
      </rPr>
      <t xml:space="preserve">- changed references to "PPS" and "NPPS" to "FPS" and "NFPS"
- changed formulae in column F to use parameter Sch_FPS
- changed rows 11:15 so it is consistent with old calculator
</t>
    </r>
    <r>
      <rPr>
        <b/>
        <sz val="10"/>
        <rFont val="Arial"/>
        <family val="2"/>
      </rPr>
      <t xml:space="preserve">Lump sum
</t>
    </r>
    <r>
      <rPr>
        <sz val="10"/>
        <rFont val="Arial"/>
        <family val="2"/>
      </rPr>
      <t>- amended D12 and D25:F28</t>
    </r>
  </si>
  <si>
    <t>mjr 8/5/17: ok - cf circ 27/2006</t>
  </si>
  <si>
    <t>mjr:ok</t>
  </si>
  <si>
    <t>Adjusted for any career break to determine protection</t>
  </si>
  <si>
    <t>Scottish Firefighters' Pension Scheme Calculator</t>
  </si>
  <si>
    <t>Annual benefit statement years for drop down</t>
  </si>
  <si>
    <t>Table 1</t>
  </si>
  <si>
    <t>1992 Scheme (paragraph 3(1) of this Schedule)</t>
  </si>
  <si>
    <t>Table 2</t>
  </si>
  <si>
    <t>NFPS (paragraph 3(5) of this Schedule)</t>
  </si>
  <si>
    <t>Table 3</t>
  </si>
  <si>
    <t>1992 Scheme (aged under 40 with 20 years’ service – paragraph 3(2) of this Schedule)</t>
  </si>
  <si>
    <t>Table 4</t>
  </si>
  <si>
    <t>1992 Scheme (aged 40+ with less than 20 years’ service – paragraph 3(3) of this Schedule)</t>
  </si>
  <si>
    <t>Years’ service at 1 April 2012</t>
  </si>
  <si>
    <t>Sum of pensionable service and age at 1 April 2012</t>
  </si>
  <si>
    <t>Table 5</t>
  </si>
  <si>
    <t>1992 Scheme (aged under 40 with less than 20 years’ service – paragraph 3(4) of this Schedule)</t>
  </si>
  <si>
    <t>full protection</t>
  </si>
  <si>
    <t>1992 Taper</t>
  </si>
  <si>
    <t>table3?</t>
  </si>
  <si>
    <t>Table 4?</t>
  </si>
  <si>
    <t>Age at protection date in complete months</t>
  </si>
  <si>
    <t>age &lt; 40</t>
  </si>
  <si>
    <t>table5?</t>
  </si>
  <si>
    <t>Table 1?</t>
  </si>
  <si>
    <t>End date</t>
  </si>
  <si>
    <t>Above cell in complete months</t>
  </si>
  <si>
    <t>mjr:these conditions are not exclusive. I assume the latest protection end date applies.</t>
  </si>
  <si>
    <t>full prot</t>
  </si>
  <si>
    <t>2006 Taper</t>
  </si>
  <si>
    <t>ssi2015/19</t>
  </si>
  <si>
    <t>Protection status calculations</t>
  </si>
  <si>
    <t>look up column for uplift</t>
  </si>
  <si>
    <t>mjr 11/5/17 - min ret ages are 50(only with 25 years service) and 55, respectively. I don't follow the comment.</t>
  </si>
  <si>
    <t>5. How much service you have been granted for transfer in (final salary scheme only)</t>
  </si>
  <si>
    <t>6. Your pensionable earnings (full time equivalent at the start of the current scheme year)</t>
  </si>
  <si>
    <t>reck service &gt;=30</t>
  </si>
  <si>
    <t xml:space="preserve">25&lt;=reck service&lt;30 </t>
  </si>
  <si>
    <t>50&lt; chosen ret age &lt;=55</t>
  </si>
  <si>
    <t>the calc in d21 returns 2.25 even if service is less than 25 and age is less than 55. However retirement would not be allowed in this scenario.</t>
  </si>
  <si>
    <t>Removed the rank input. Not applicable to Fire. Changed VRA to 55 for all pre-15 service in Lump Sum sheet</t>
  </si>
  <si>
    <t>Changed cell d21 in lump sum calcs. Simpler criteria for the cash lump sum multiple for Fire. Added logical tests</t>
  </si>
  <si>
    <t>Still to reflect the late changes to Police into this version. Also to add another scheme to cater for special firefighters.</t>
  </si>
  <si>
    <t>v0.0</t>
  </si>
  <si>
    <r>
      <rPr>
        <b/>
        <sz val="10"/>
        <rFont val="Arial"/>
        <family val="2"/>
      </rPr>
      <t xml:space="preserve">Inputs and outputs
</t>
    </r>
    <r>
      <rPr>
        <sz val="10"/>
        <rFont val="Arial"/>
        <family val="2"/>
      </rPr>
      <t>- updated B137:138 to account for the correct minimum age
- updated B47 to remove one of the if statements</t>
    </r>
    <r>
      <rPr>
        <b/>
        <sz val="10"/>
        <rFont val="Arial"/>
        <family val="2"/>
      </rPr>
      <t xml:space="preserve">
Commutation Factors</t>
    </r>
    <r>
      <rPr>
        <sz val="10"/>
        <rFont val="Arial"/>
        <family val="2"/>
      </rPr>
      <t xml:space="preserve">
- added in England factors
</t>
    </r>
    <r>
      <rPr>
        <b/>
        <sz val="10"/>
        <rFont val="Arial"/>
        <family val="2"/>
      </rPr>
      <t xml:space="preserve">FPS and NFPS calcs
</t>
    </r>
    <r>
      <rPr>
        <sz val="10"/>
        <rFont val="Arial"/>
        <family val="2"/>
      </rPr>
      <t xml:space="preserve">- updated E34:36 to account for ERF and LRF
- adjusted ABS projection figures so that they have a consistent methodology
</t>
    </r>
    <r>
      <rPr>
        <b/>
        <sz val="10"/>
        <rFont val="Arial"/>
        <family val="2"/>
      </rPr>
      <t xml:space="preserve">CARE Calcs
</t>
    </r>
    <r>
      <rPr>
        <sz val="10"/>
        <rFont val="Arial"/>
        <family val="2"/>
      </rPr>
      <t xml:space="preserve">- removed weighting and recalculated the ERF and LRF (D21:22 and D35:F35)
</t>
    </r>
    <r>
      <rPr>
        <b/>
        <sz val="10"/>
        <rFont val="Arial"/>
        <family val="2"/>
      </rPr>
      <t>Lump sum</t>
    </r>
    <r>
      <rPr>
        <sz val="10"/>
        <rFont val="Arial"/>
        <family val="2"/>
      </rPr>
      <t xml:space="preserve">
- updated D12:D15 to ensure the correct figures are pulled up
- updated D18 so that full time service worked out in one step</t>
    </r>
  </si>
  <si>
    <t>link to FAQs</t>
  </si>
  <si>
    <t>2015 Microsite</t>
  </si>
  <si>
    <t>Scheme Guides</t>
  </si>
  <si>
    <t>Number of years service used in calculating final salary benefits</t>
  </si>
  <si>
    <t>OK, all VRAs on parameter tab changed to 65 and then first of these selected on lump sum sheet</t>
  </si>
  <si>
    <t>mjr:changed to calculate the period to the day before the retirement date. The scheme requires retirement the day after attaining 30 years to qualify for the maximum lump sum.</t>
  </si>
  <si>
    <t>Reckonable service to 55</t>
  </si>
  <si>
    <t>&lt;25 at 55?</t>
  </si>
  <si>
    <t xml:space="preserve">7. Do you know your accrued 2015 scheme benefit (as shown on your annual benefit statement)? </t>
  </si>
  <si>
    <t>8. Your employment status (Choose from the list in the box)</t>
  </si>
  <si>
    <t>9. Your current part-time proportion (entered as percentage e.g. 50%)</t>
  </si>
  <si>
    <t>10. The end date of your current annual benefit statement</t>
  </si>
  <si>
    <t>11. The reckonable service on your latest benefit statement</t>
  </si>
  <si>
    <t>Date 55</t>
  </si>
  <si>
    <t>FPS &lt; 40, &gt;=20 years service</t>
  </si>
  <si>
    <t>FPS &lt; 40, &lt;20 years service</t>
  </si>
  <si>
    <t>FPS &gt;= 40, &lt;20 years service</t>
  </si>
  <si>
    <t>age &gt;= 45</t>
  </si>
  <si>
    <t>age &gt;= 40</t>
  </si>
  <si>
    <t>serv &gt;= 20</t>
  </si>
  <si>
    <t>age &gt;= 50</t>
  </si>
  <si>
    <t>dob &gt;= 2/4/1967</t>
  </si>
  <si>
    <t>dob &lt;= 1/4/1971</t>
  </si>
  <si>
    <t>serv &gt;= 16</t>
  </si>
  <si>
    <t>serv &lt; 20</t>
  </si>
  <si>
    <t>age cm &gt;= 36 and 1/12</t>
  </si>
  <si>
    <t>dob &gt;= 2/4/1962</t>
  </si>
  <si>
    <t>dob &lt;= 1/4/1966</t>
  </si>
  <si>
    <t>age + serv &gt;= 56</t>
  </si>
  <si>
    <t>Should this be cm or exact?</t>
  </si>
  <si>
    <t>Not sure why this is needed?</t>
  </si>
  <si>
    <t>ap 2/6/17:Taper 1 OK</t>
  </si>
  <si>
    <t>ap 2/6/17:Taper 3 OK</t>
  </si>
  <si>
    <t>ap 2/6/17:Taper 4 OK</t>
  </si>
  <si>
    <t>ap 2/6/17:Taper 5 OK</t>
  </si>
  <si>
    <t>ap 2/6/17:Taper 2 OK</t>
  </si>
  <si>
    <t>ap 2/6/17:OK</t>
  </si>
  <si>
    <t>ap: ok</t>
  </si>
  <si>
    <r>
      <t xml:space="preserve">Lump sum
</t>
    </r>
    <r>
      <rPr>
        <sz val="10"/>
        <rFont val="Arial"/>
        <family val="2"/>
      </rPr>
      <t>Corrected typo in I22</t>
    </r>
  </si>
  <si>
    <r>
      <t xml:space="preserve">FPS and NFPS calcs
</t>
    </r>
    <r>
      <rPr>
        <sz val="10"/>
        <rFont val="Arial"/>
        <family val="2"/>
      </rPr>
      <t>Added iferror statements to K15,18,22,27 and N15</t>
    </r>
  </si>
  <si>
    <r>
      <t xml:space="preserve">Changes from latest police calculator
</t>
    </r>
    <r>
      <rPr>
        <sz val="10"/>
        <rFont val="Arial"/>
        <family val="2"/>
      </rPr>
      <t>Implemented changes from latest version of calculator</t>
    </r>
  </si>
  <si>
    <r>
      <t xml:space="preserve">Calculator
</t>
    </r>
    <r>
      <rPr>
        <sz val="10"/>
        <rFont val="Arial"/>
        <family val="2"/>
      </rPr>
      <t xml:space="preserve">Added in conditional formatting for part-time and 2015 scheme
Updated conditional formatting in results part as well
Amended formula in B54 to correct numbering of question based on part-time and 2015 scheme membership
Added in reckonable service calcluation F154:157 and amended data validation in B155 to restrict the minimum age to 55 if service &lt; 25
Amend D170 to remove error message
</t>
    </r>
    <r>
      <rPr>
        <b/>
        <sz val="10"/>
        <rFont val="Arial"/>
        <family val="2"/>
      </rPr>
      <t/>
    </r>
  </si>
  <si>
    <t>Pre-15 service used to calculate FS pension</t>
  </si>
  <si>
    <r>
      <t xml:space="preserve">FPS and NFPS calcs
</t>
    </r>
    <r>
      <rPr>
        <sz val="10"/>
        <rFont val="Arial"/>
        <family val="2"/>
      </rPr>
      <t>Changed D23 to include career breaks
Added in service used for pre 15 scheme (row 55)</t>
    </r>
  </si>
  <si>
    <r>
      <rPr>
        <b/>
        <sz val="10"/>
        <rFont val="Arial"/>
        <family val="2"/>
      </rPr>
      <t>Calculator</t>
    </r>
    <r>
      <rPr>
        <sz val="10"/>
        <rFont val="Arial"/>
        <family val="2"/>
      </rPr>
      <t xml:space="preserve">
Added an output (H66) to show the number of years' service used in calculating the final salary benefits</t>
    </r>
  </si>
  <si>
    <r>
      <t xml:space="preserve">Parameters
</t>
    </r>
    <r>
      <rPr>
        <sz val="10"/>
        <rFont val="Arial"/>
        <family val="2"/>
      </rPr>
      <t>Updated DoStartSchemeYear (D98) so if part-time, then 1 april in the year of the ABS date (defaults to calculated value if date not entered).</t>
    </r>
  </si>
  <si>
    <t>is today greater than the end of year?</t>
  </si>
  <si>
    <t>did 2015 scheme service startbefore the end of the year?</t>
  </si>
  <si>
    <t>service during year part 1</t>
  </si>
  <si>
    <t>service during year part 2</t>
  </si>
  <si>
    <t>2015 scheme start</t>
  </si>
  <si>
    <r>
      <t xml:space="preserve">Past service care calcs
</t>
    </r>
    <r>
      <rPr>
        <sz val="10"/>
        <rFont val="Arial"/>
        <family val="2"/>
      </rPr>
      <t>Updated row 16 so that it correctly deals with the number of days in a year
if the check box on the input screen is ticked and any of the past CARE input cells is blank, replace with the estimated value for that year. Amended row 18 in the past service CARE calcs sheet.</t>
    </r>
  </si>
  <si>
    <r>
      <t xml:space="preserve">Care calcs
</t>
    </r>
    <r>
      <rPr>
        <sz val="10"/>
        <rFont val="Arial"/>
        <family val="2"/>
      </rPr>
      <t>Changed CARE calcs to prevent negative service. Changed CARE Calcs cell d15 to be no less than zero.</t>
    </r>
  </si>
  <si>
    <r>
      <t>Typo in I22, should be &lt;=55 (instead of &lt;=30)
Consider whether to amend reckonable service in this area
Happy with CARE rate</t>
    </r>
    <r>
      <rPr>
        <b/>
        <sz val="10"/>
        <rFont val="Arial"/>
        <family val="2"/>
      </rPr>
      <t xml:space="preserve">
</t>
    </r>
    <r>
      <rPr>
        <sz val="10"/>
        <rFont val="Arial"/>
        <family val="2"/>
      </rPr>
      <t>Happy with tables 1 and 2 of taper, but unsure where tables 3-5 come from
For protection calcs on FPS and NFPS calcs sheet, unsure where I24:J24 needed
Agree with uplift lookup</t>
    </r>
  </si>
  <si>
    <r>
      <t xml:space="preserve">corrected 2015 accrual to 1/61.6 </t>
    </r>
    <r>
      <rPr>
        <b/>
        <sz val="10"/>
        <rFont val="Arial"/>
        <family val="2"/>
      </rPr>
      <t xml:space="preserve"> </t>
    </r>
    <r>
      <rPr>
        <sz val="10"/>
        <rFont val="Arial"/>
        <family val="2"/>
      </rPr>
      <t xml:space="preserve">                                                                 Agree pension uplift factors for 2006 scheme</t>
    </r>
    <r>
      <rPr>
        <b/>
        <sz val="10"/>
        <rFont val="Arial"/>
        <family val="2"/>
      </rPr>
      <t xml:space="preserve">. </t>
    </r>
    <r>
      <rPr>
        <sz val="10"/>
        <rFont val="Arial"/>
        <family val="2"/>
      </rPr>
      <t xml:space="preserve">Corrected the uplift factor lookup in sheet(FPS and NFPS Calcs). It was using service, from d10. I created a lookup column calculation in cell d15.  </t>
    </r>
    <r>
      <rPr>
        <b/>
        <sz val="10"/>
        <rFont val="Arial"/>
        <family val="2"/>
      </rPr>
      <t xml:space="preserve">   </t>
    </r>
    <r>
      <rPr>
        <sz val="10"/>
        <rFont val="Arial"/>
        <family val="2"/>
      </rPr>
      <t xml:space="preserve">                                                              Agree the Fire commutation factors and tables.       Those ERF and LFR figures are not used, so OK.        </t>
    </r>
    <r>
      <rPr>
        <b/>
        <sz val="10"/>
        <rFont val="Arial"/>
        <family val="2"/>
      </rPr>
      <t>I have copied taper tables 1-5 directly from the 2015  Scottish Fire regulations SI 2015/19</t>
    </r>
    <r>
      <rPr>
        <sz val="10"/>
        <rFont val="Arial"/>
        <family val="2"/>
      </rPr>
      <t xml:space="preserve">. We should use these to perform accurate taper calculations.      I agree the ERF and LRF tables for 2007 and 2015 schemes.       I added new calculations in FPS and NFPS calcs to determine the protection status and taper end date if applicable. </t>
    </r>
    <r>
      <rPr>
        <b/>
        <sz val="10"/>
        <rFont val="Arial"/>
        <family val="2"/>
      </rPr>
      <t xml:space="preserve">  </t>
    </r>
    <r>
      <rPr>
        <sz val="10"/>
        <rFont val="Arial"/>
        <family val="2"/>
      </rPr>
      <t>rows11:15 ok.</t>
    </r>
  </si>
  <si>
    <t>ap 2/6/17:ok</t>
  </si>
  <si>
    <t>From perspective part 4 of schedule (transitional provision)</t>
  </si>
  <si>
    <t>MJR</t>
  </si>
  <si>
    <t>changed calculator/b158 to have min age of 50 in for FPS instead of 48.</t>
  </si>
  <si>
    <t>Inputs and outputs - change to cells b137:138 is actually b158:159. agreed.           I agree commutation factors.        Check the erf application. Default age of 48 in the formula in cell is wrong.        We need validation on FPS retirement date to check 25 years service condition is met. Use the service in D28 for this validation. This will only work after all the service parameters have been input, including part-time details, so may not be possible. Needs thought. Also affects Police.</t>
  </si>
  <si>
    <t>erf lookup function is ok.</t>
  </si>
  <si>
    <t>Validation of chosen ret date is not right for FPS ages &lt; 55. Needs to use fully calculated service, allowing for part-time, career break etc. The correct calculation result is inFPS and NFPS calcs, cell D28. Need to replicate this in the validation.</t>
  </si>
  <si>
    <t>age at start of sch year</t>
  </si>
  <si>
    <t>service at start of sch year</t>
  </si>
  <si>
    <t>Full protection</t>
  </si>
  <si>
    <t>years to reach 25</t>
  </si>
  <si>
    <t>date reach 25</t>
  </si>
  <si>
    <t>age reach 25</t>
  </si>
  <si>
    <t>protection</t>
  </si>
  <si>
    <t>NFPS &amp; 2015</t>
  </si>
  <si>
    <t>Validation</t>
  </si>
  <si>
    <t>The Firefighters' Pension Scheme allows for part of your pension to be exchanged for a lump sum at retirement. This is called commutation.</t>
  </si>
  <si>
    <t>Firefighters' Pension Scheme (Scotland)</t>
  </si>
  <si>
    <t>On after taper end date</t>
  </si>
  <si>
    <t>Short-term adjustment</t>
  </si>
  <si>
    <t>CARE Revaluation  NAE = CPI + 2%</t>
  </si>
  <si>
    <t>ok</t>
  </si>
  <si>
    <t>changed the retirement date validation to account for the 25 year service criterion. See row 8s above for description.</t>
  </si>
  <si>
    <t>career break input  only to be enabled if member has service before 1/4/2015, and was part-time. This is needed for the protection calcs.</t>
  </si>
  <si>
    <t>OK AP 27/06/2017</t>
  </si>
  <si>
    <t>Check</t>
  </si>
  <si>
    <t>I can't see this. D159 uses min(55,age next birthday)</t>
  </si>
  <si>
    <r>
      <t xml:space="preserve">Calculator
</t>
    </r>
    <r>
      <rPr>
        <sz val="10"/>
        <rFont val="Arial"/>
        <family val="2"/>
      </rPr>
      <t xml:space="preserve">Amended formula in B54 and B57 and extended conditional formatting so that career break disappears when member is full time or only part of the 2015 scheme
Data validation OK
</t>
    </r>
    <r>
      <rPr>
        <b/>
        <sz val="10"/>
        <rFont val="Arial"/>
        <family val="2"/>
      </rPr>
      <t xml:space="preserve">FPS and NFPS calcs
</t>
    </r>
    <r>
      <rPr>
        <sz val="10"/>
        <rFont val="Arial"/>
        <family val="2"/>
      </rPr>
      <t>Updated M13:14 with correct formula</t>
    </r>
  </si>
  <si>
    <t>27/619</t>
  </si>
  <si>
    <r>
      <rPr>
        <b/>
        <sz val="10"/>
        <rFont val="Arial"/>
        <family val="2"/>
      </rPr>
      <t>Calculator</t>
    </r>
    <r>
      <rPr>
        <sz val="10"/>
        <rFont val="Arial"/>
        <family val="2"/>
      </rPr>
      <t xml:space="preserve">
F:G158 OK
</t>
    </r>
    <r>
      <rPr>
        <b/>
        <sz val="10"/>
        <rFont val="Arial"/>
        <family val="2"/>
      </rPr>
      <t xml:space="preserve">FPS and NFPS calcs
</t>
    </r>
    <r>
      <rPr>
        <sz val="10"/>
        <rFont val="Arial"/>
        <family val="2"/>
      </rPr>
      <t xml:space="preserve">Taper 2 incorrect, should look aat DOB not D9 </t>
    </r>
  </si>
  <si>
    <t>mjr: for Fire this is NAE assumption. Using 3% exactly causes error.</t>
  </si>
  <si>
    <t>michael rae</t>
  </si>
  <si>
    <t>Changed the in service revaluation from 4% to 3%</t>
  </si>
  <si>
    <t>age reach 30</t>
  </si>
  <si>
    <t>date reach 30</t>
  </si>
  <si>
    <t>years to reach 30</t>
  </si>
  <si>
    <t>if reach 25 years service after end of taper, put age 55. The member can always retire at 55.</t>
  </si>
  <si>
    <t>Changed the validation of retirment date to allow for 30 years service. See rows 155 -163 in calculator sheet.</t>
  </si>
  <si>
    <r>
      <t xml:space="preserve">Updated C170 and B156 on </t>
    </r>
    <r>
      <rPr>
        <b/>
        <sz val="10"/>
        <rFont val="Arial"/>
        <family val="2"/>
      </rPr>
      <t>Calculator</t>
    </r>
    <r>
      <rPr>
        <sz val="10"/>
        <rFont val="Arial"/>
        <family val="2"/>
      </rPr>
      <t xml:space="preserve"> so that the minimum retirement age is no less than 50
Updated guidance notes</t>
    </r>
  </si>
  <si>
    <t>The end date of your current annual benefit statement</t>
  </si>
  <si>
    <t xml:space="preserve"> 31 March</t>
  </si>
  <si>
    <t>End of protection</t>
  </si>
  <si>
    <t>djs</t>
  </si>
  <si>
    <t>Date started in 2015 scheme</t>
  </si>
  <si>
    <t>Revaluation Rate - NAE</t>
  </si>
  <si>
    <t>No years to wind back current salary</t>
  </si>
  <si>
    <t>Wound back salary</t>
  </si>
  <si>
    <t xml:space="preserve">Sum </t>
  </si>
  <si>
    <t>mjr: here we are ignoring any part-time past service</t>
  </si>
  <si>
    <t>Input accrued CARE</t>
  </si>
  <si>
    <t>As at date</t>
  </si>
  <si>
    <t>revalued to date of ret</t>
  </si>
  <si>
    <t>Accrued Care from ABS?</t>
  </si>
  <si>
    <t>accrued benefit to use</t>
  </si>
  <si>
    <t>Changed validation on FPS members to allow retirment &gt;= age 50 as long as &gt;= 25 years' membership. Set cell c157 (minimum date) equal to D171. See para B2 of 1992 Firefighters pension order, and SPPA webpage http://www.sppa.gov.uk/index.php?option=com_content&amp;view=article&amp;id=92&amp;Itemid=303</t>
  </si>
  <si>
    <t>DO NOT REMOVE WORKSHEET</t>
  </si>
  <si>
    <t>BaseTablesList</t>
  </si>
  <si>
    <t>ImprovementsList</t>
  </si>
  <si>
    <t>PCFA00</t>
  </si>
  <si>
    <t>PCMA00</t>
  </si>
  <si>
    <t>PFA80</t>
  </si>
  <si>
    <t>PFA92</t>
  </si>
  <si>
    <t>PFA92 - 08</t>
  </si>
  <si>
    <t>PFA92-10</t>
  </si>
  <si>
    <t>PMA80</t>
  </si>
  <si>
    <t>PMA92</t>
  </si>
  <si>
    <t>PMA92 - 08</t>
  </si>
  <si>
    <t>PMA92-10</t>
  </si>
  <si>
    <t>PNFA00</t>
  </si>
  <si>
    <t>PNFA00-06</t>
  </si>
  <si>
    <t>PNFA00-08</t>
  </si>
  <si>
    <t>PNFA00-10</t>
  </si>
  <si>
    <t>PNMA00</t>
  </si>
  <si>
    <t>PNMA00-06</t>
  </si>
  <si>
    <t>PNMA00-08</t>
  </si>
  <si>
    <t>PNMA00-10</t>
  </si>
  <si>
    <t>S1DFA</t>
  </si>
  <si>
    <t>S1DFA-06</t>
  </si>
  <si>
    <t>S1DFA-08</t>
  </si>
  <si>
    <t>S1DFA-10</t>
  </si>
  <si>
    <t>S1DFA-12</t>
  </si>
  <si>
    <t>S1DFA-14</t>
  </si>
  <si>
    <t>S1DFA-16</t>
  </si>
  <si>
    <t>S1DFA-L</t>
  </si>
  <si>
    <t>S1DFA-L-06</t>
  </si>
  <si>
    <t>S1DFA-L-08</t>
  </si>
  <si>
    <t>S1DFA-L-10</t>
  </si>
  <si>
    <t>S1DFA-L-12</t>
  </si>
  <si>
    <t>S1IFA</t>
  </si>
  <si>
    <t>S1IFA-06</t>
  </si>
  <si>
    <t>S1IFA-08</t>
  </si>
  <si>
    <t>S1IFA-10</t>
  </si>
  <si>
    <t>S1IFA-12</t>
  </si>
  <si>
    <t>S1IFA-14</t>
  </si>
  <si>
    <t>S1IFA-16</t>
  </si>
  <si>
    <t>S1IFA-STSS-16</t>
  </si>
  <si>
    <t>S1IFA-TPS-16</t>
  </si>
  <si>
    <t>S1IMA</t>
  </si>
  <si>
    <t>S1IMA-06</t>
  </si>
  <si>
    <t>S1IMA-08</t>
  </si>
  <si>
    <t>S1IMA-10</t>
  </si>
  <si>
    <t>S1IMA-12</t>
  </si>
  <si>
    <t>S1IMA-14</t>
  </si>
  <si>
    <t>S1IMA-16</t>
  </si>
  <si>
    <t>S1IMA-STSS-16</t>
  </si>
  <si>
    <t>S1IMA-TPS-16</t>
  </si>
  <si>
    <t>S1NFA</t>
  </si>
  <si>
    <t>S1NFA-06</t>
  </si>
  <si>
    <t>S1NFA-08</t>
  </si>
  <si>
    <t>S1NFA-10</t>
  </si>
  <si>
    <t>S1NFA-12</t>
  </si>
  <si>
    <t>S1NFA-14</t>
  </si>
  <si>
    <t>S1NFA-16</t>
  </si>
  <si>
    <t>S1NFA-L</t>
  </si>
  <si>
    <t>S1NFA-L-06</t>
  </si>
  <si>
    <t>S1NFA-L-08</t>
  </si>
  <si>
    <t>S1NFA-L-10</t>
  </si>
  <si>
    <t>S1NFA-L-12</t>
  </si>
  <si>
    <t>S1NFA-L-14</t>
  </si>
  <si>
    <t>S1NFA-L-16</t>
  </si>
  <si>
    <t>S1NFA-L-STSS</t>
  </si>
  <si>
    <t>S1NFA-L-STSS-06</t>
  </si>
  <si>
    <t>S1NFA-L-STSS-08</t>
  </si>
  <si>
    <t>S1NFA-L-STSS-10</t>
  </si>
  <si>
    <t>S1NFA-L-STSS-12</t>
  </si>
  <si>
    <t>S1NFA-L-STSS-14</t>
  </si>
  <si>
    <t>S1NFA-L-STSS-16</t>
  </si>
  <si>
    <t>S1NFA-L-TPS</t>
  </si>
  <si>
    <t>S1NFA-L-TPS-06</t>
  </si>
  <si>
    <t>S1NFA-L-TPS-08</t>
  </si>
  <si>
    <t>S1NFA-L-TPS-10</t>
  </si>
  <si>
    <t>S1NFA-L-TPS-12</t>
  </si>
  <si>
    <t>S1NFA-L-TPS-14</t>
  </si>
  <si>
    <t>S1NFA-L-TPS-16</t>
  </si>
  <si>
    <t>S1NMA</t>
  </si>
  <si>
    <t>S1NMA-06</t>
  </si>
  <si>
    <t>S1NMA-08</t>
  </si>
  <si>
    <t>S1NMA-10</t>
  </si>
  <si>
    <t>S1NMA-12</t>
  </si>
  <si>
    <t>S1NMA-14</t>
  </si>
  <si>
    <t>S1NMA-16</t>
  </si>
  <si>
    <t>S1NMA-L</t>
  </si>
  <si>
    <t>S1NMA-L-06</t>
  </si>
  <si>
    <t>S1NMA-L-08</t>
  </si>
  <si>
    <t>S1NMA-L-10</t>
  </si>
  <si>
    <t>S1NMA-L-12</t>
  </si>
  <si>
    <t>S1NMA-L-14</t>
  </si>
  <si>
    <t>S1NMA-L-16</t>
  </si>
  <si>
    <t>S1PFA</t>
  </si>
  <si>
    <t>S1PFA-06</t>
  </si>
  <si>
    <t>S1PFA-08</t>
  </si>
  <si>
    <t>S1PFA-10</t>
  </si>
  <si>
    <t>S1PFA-12</t>
  </si>
  <si>
    <t>S1PFA-14</t>
  </si>
  <si>
    <t>S1PFA-16</t>
  </si>
  <si>
    <t>S1PMA</t>
  </si>
  <si>
    <t>S1PMA-06</t>
  </si>
  <si>
    <t>S1PMA-08</t>
  </si>
  <si>
    <t>S1PMA-10</t>
  </si>
  <si>
    <t>S1PMA-12</t>
  </si>
  <si>
    <t>S1PMA-14</t>
  </si>
  <si>
    <t>S1PMA-16</t>
  </si>
  <si>
    <t>S2DFA</t>
  </si>
  <si>
    <t>S2DFA-12</t>
  </si>
  <si>
    <t>S2DFA-14</t>
  </si>
  <si>
    <t>S2DFA-16</t>
  </si>
  <si>
    <t>S2DFL</t>
  </si>
  <si>
    <t>S2DFL-12</t>
  </si>
  <si>
    <t>S2DFL-16</t>
  </si>
  <si>
    <t>S2IFA</t>
  </si>
  <si>
    <t>S2IFA-12</t>
  </si>
  <si>
    <t>S2IFA-14</t>
  </si>
  <si>
    <t>S2IFA-16</t>
  </si>
  <si>
    <t>S2IMA</t>
  </si>
  <si>
    <t>S2IMA-12</t>
  </si>
  <si>
    <t>S2IMA-14</t>
  </si>
  <si>
    <t>S2IMA-16</t>
  </si>
  <si>
    <t>S2NFA</t>
  </si>
  <si>
    <t>S2NFA-12</t>
  </si>
  <si>
    <t>S2NFA-14</t>
  </si>
  <si>
    <t>S2NFA-16</t>
  </si>
  <si>
    <t>S2NFA-CMI</t>
  </si>
  <si>
    <t>S2NMA</t>
  </si>
  <si>
    <t>S2NMA_L-16</t>
  </si>
  <si>
    <t xml:space="preserve">S2NMA-12 </t>
  </si>
  <si>
    <t>S2NMA-14</t>
  </si>
  <si>
    <t>S2NMA-16</t>
  </si>
  <si>
    <t>S2NMA-CMI</t>
  </si>
  <si>
    <t>S2PFA</t>
  </si>
  <si>
    <t>S2PFA-12</t>
  </si>
  <si>
    <t>S2PFA-14</t>
  </si>
  <si>
    <t>S2PFA-16</t>
  </si>
  <si>
    <t>S2PFL</t>
  </si>
  <si>
    <t>S2PFL-12</t>
  </si>
  <si>
    <t>S2PFL-16</t>
  </si>
  <si>
    <t>S2PMA</t>
  </si>
  <si>
    <t>S2PMA-12</t>
  </si>
  <si>
    <t>S2PMA-14</t>
  </si>
  <si>
    <t>S2PMA-16</t>
  </si>
  <si>
    <t>S2PML</t>
  </si>
  <si>
    <t>S2PML-12</t>
  </si>
  <si>
    <t>S2PML-16</t>
  </si>
  <si>
    <t>SMPI-2018</t>
  </si>
  <si>
    <t>UKF</t>
  </si>
  <si>
    <t>UKF2004</t>
  </si>
  <si>
    <t>UKF2006</t>
  </si>
  <si>
    <t>UKF2008</t>
  </si>
  <si>
    <t>UKF2010</t>
  </si>
  <si>
    <t>UKF2012</t>
  </si>
  <si>
    <t>UKM</t>
  </si>
  <si>
    <t>UKM2004</t>
  </si>
  <si>
    <t>UKM2006</t>
  </si>
  <si>
    <t>UKM2008</t>
  </si>
  <si>
    <t>UKM2010</t>
  </si>
  <si>
    <t>UKM2012</t>
  </si>
  <si>
    <t>CMI2016F-02-1pt25</t>
  </si>
  <si>
    <t>CMI2016F-07-1pt5</t>
  </si>
  <si>
    <t>CMI2016M-02-1pt25</t>
  </si>
  <si>
    <t>CMI2016M-07-1pt5</t>
  </si>
  <si>
    <t>Long Cohort</t>
  </si>
  <si>
    <t>Medium Cohort</t>
  </si>
  <si>
    <t>PFA80imp</t>
  </si>
  <si>
    <t>PMA80imp</t>
  </si>
  <si>
    <t>Short Cohort</t>
  </si>
  <si>
    <t>SMPI-2018imp</t>
  </si>
  <si>
    <t>UKF2004imp</t>
  </si>
  <si>
    <t>UKF2006imp</t>
  </si>
  <si>
    <t>UKF2006imp_HLE</t>
  </si>
  <si>
    <t>UKF2006imp_LLE</t>
  </si>
  <si>
    <t>UKF2008imp</t>
  </si>
  <si>
    <t>UKF2010imp</t>
  </si>
  <si>
    <t>UKF2012imp</t>
  </si>
  <si>
    <t>UKF2014imp</t>
  </si>
  <si>
    <t>UKf2016HLEimp</t>
  </si>
  <si>
    <t>UKF2016imp</t>
  </si>
  <si>
    <t>UKf2016LLEimp</t>
  </si>
  <si>
    <t>UKM2004imp</t>
  </si>
  <si>
    <t>UKM2006imp</t>
  </si>
  <si>
    <t>UKM2006imp_HLE</t>
  </si>
  <si>
    <t>UKM2006imp_LLE</t>
  </si>
  <si>
    <t>UKM2008imp</t>
  </si>
  <si>
    <t>UKM2010imp</t>
  </si>
  <si>
    <t>UKM2012imp</t>
  </si>
  <si>
    <t>UKM2014imp</t>
  </si>
  <si>
    <t>UKm2016HLEimp</t>
  </si>
  <si>
    <t>UKM2016imp</t>
  </si>
  <si>
    <t>UKm2016LLEimp</t>
  </si>
  <si>
    <t>Updated with Post Nov 2018 factors</t>
  </si>
  <si>
    <t>Jeanette Johnson</t>
  </si>
  <si>
    <t>Updated with commutation factors Oct 2018</t>
  </si>
  <si>
    <t>"\\gad-psps\PSPS\Fire_S\General Work\Misc\Benefit calculator\Emails_Fire 1992 - Commutation update (Oct 2018).pdf"</t>
  </si>
  <si>
    <t>\\gad-psps\PSPS\Fire_S\General Work\Misc\Benefit calculator\[190108FirePensionv1.5 (Oct18 Comm, ERF, LRF).xlsx]Version control</t>
  </si>
  <si>
    <t>Oscar castro</t>
  </si>
  <si>
    <t>\\Gad-psps\psps\Fire_S\Factors\2018\Main Factor Review\ERFs\Final factors on 2.4%\Fire Scotland ERFs and LRFs - January 2019.xlsm</t>
  </si>
  <si>
    <t>Table x-401</t>
  </si>
  <si>
    <t>CARE Scheme ERF (active member account)</t>
  </si>
  <si>
    <t>Table x-402</t>
  </si>
  <si>
    <t>Table x-404 (this is the not assumed factors)</t>
  </si>
  <si>
    <t>Updated the ERF and LRF</t>
  </si>
  <si>
    <t>v1.5.1</t>
  </si>
  <si>
    <t>Oscar Castro</t>
  </si>
  <si>
    <t>Updated cell c116 in the Parameter sheet (have heighted the cell in green).</t>
  </si>
  <si>
    <t>RF</t>
  </si>
  <si>
    <t>Checked new commutation factors added correctly</t>
  </si>
  <si>
    <t>Checked ERFs and LRFs added correctly</t>
  </si>
  <si>
    <t>Happy with new months calculation which now includes the rounding function</t>
  </si>
  <si>
    <t>P:\Fire_S\General Work\Misc\Benefit calculator\01.2018 Factor Review and previous\Sent\20190123\[20190123FirePensionv1.5.1.xlsx]Version control</t>
  </si>
  <si>
    <t>v2.01</t>
  </si>
  <si>
    <t>P:\Fire_S\General Work\Misc\Benefit calculator\02.Double accrual\[Fire S- Benefit Calculator_v2.01.xlsx]Version control</t>
  </si>
  <si>
    <t>Updated the calculator, so that the accrual rate is determined using the FT service and not the PT - cell D30 in the “PPS and NPPS calcs” worksheet</t>
  </si>
  <si>
    <t>Apply future part-time fraction to future pension</t>
  </si>
  <si>
    <t>JF 22/10/2020: Adjusted to remove PTP being applied to entire pension</t>
  </si>
  <si>
    <t>Jo Foster</t>
  </si>
  <si>
    <t>Updated the CARE calcs sheet so that the PTP is applied to future CARE service only and not accrued CARE pension</t>
  </si>
  <si>
    <t xml:space="preserve">JF 22/10/20: changed to sum future service once PTP has been applied. </t>
  </si>
  <si>
    <t>CARE future service pension (with PTP)</t>
  </si>
  <si>
    <t>JF 22/10/2020: Added this line to adjust future service for PTP.</t>
  </si>
  <si>
    <t>D Hirani</t>
  </si>
  <si>
    <r>
      <t xml:space="preserve">Checked after NHS_S. Okay. Expanded text box in guidance tab as not all text was visible and added: </t>
    </r>
    <r>
      <rPr>
        <i/>
        <sz val="10"/>
        <rFont val="Arial"/>
        <family val="2"/>
      </rPr>
      <t>If you do not have your benefit statement, the calculator will assume you have worked full-time up until the start of the scheme year and will then assume you work your current part-time hours until retirement</t>
    </r>
  </si>
  <si>
    <t>ABS info filled in?</t>
  </si>
  <si>
    <t>Richard Pethick</t>
  </si>
  <si>
    <t>Added an extra check to block outputs if ABS is ticked (J40) but benefit amounts not inputted (J42, M42)</t>
  </si>
  <si>
    <t>Calculator</t>
  </si>
  <si>
    <t>Form_Check2 is at cell E126 of Parameters. I've connected it to the same formulae as the existing Form_Check, plus added conditional formatting to blank out the outputs in the Calculator tab if FALSE.</t>
  </si>
  <si>
    <t>Part time?</t>
  </si>
  <si>
    <t>PT data filled?</t>
  </si>
  <si>
    <t>Added Form_Check3 to block outputs if member marks as part-time (J44) but doesn't answer subsequent questions.</t>
  </si>
  <si>
    <t>Parameters  row 126</t>
  </si>
  <si>
    <t>okay checked and working as expected. No additional checks have been carried out</t>
  </si>
  <si>
    <r>
      <rPr>
        <b/>
        <sz val="10"/>
        <rFont val="Arial"/>
        <family val="2"/>
      </rPr>
      <t>Understanding the results (Notes and Assumptions)        
- This calculator is solely for guidance purposes and is an estimate only.</t>
    </r>
    <r>
      <rPr>
        <sz val="10"/>
        <rFont val="Arial"/>
        <family val="2"/>
      </rPr>
      <t xml:space="preserve"> It is not intended to provide you with financial advice. If you require financial advice, you should contact an independent financial adviser. 
- The results sections (1) and (2) are in current money terms (after adjusting for assumed future inflation).
-The results sections (1) and (2) allow for salary increases, inflation and revaluation of CARE benefits on three different sets of assumptions. The assumed salary increases do not allow for any future promotional salary increases you may receive.
- The amount of pension you may receive depends on when you retire.
- It is assumed that you will remain in active service until your selected retirement date, and that you will retire on normal terms (i.e. you are not retiring in ill-health).
-  Where retirement age is not age 60, the amount of 2015 scheme pension shown includes actuarial adjustments for the earlier or later start of payments than the 2006 and 2015 schemes’ normal pension age of 60. These actuarial adjustments are those currently in effect. However, they will be reviewed periodically, and may increase or decrease. Your benefits at retirement will depend on the actuarial adjustment factors in effect at that time.
- If you are a 1992 scheme member, you may be entitled to retire before age 55. Results for retirement at ages before 55 show the amount of any 2015 scheme pension you have built up at age 60 as this is the earliest age you would be entitled to take these benefits without reduction if you leave active service before age 60.  Alternatively, you could choose to receive your new scheme benefits from age 55, with actuarial reduction.
- Benefits are shown by firstly including the maximum amount of lump sum by commutation of pension allowed under the scheme rules, and secondly assuming no commutation of pension. At retirement you will be able to choose how much pension to commute for a lump sum (within limits). If appropriate to you , this projection has used the FPS 1992 commutation factors currently in effect. However, commutation factors are reviewed periodically and the amount of lump sum available at your actual retirement will depend on the commutation factors in effect at that time.
- The results do not include any added 60ths or added pension which you may have purchased, pension debits or other special arrangements within the  schemes. If your 2015 pension includes transferred-in benefits, for simplicity this projection has revalued them at the same rate as Firefighters' scheme benefits. In practice, a different rate of revaluation may apply to benefits transferred in from another public service pension scheme.
- The calculator does not show pension from other sources, for example the state pension or other private arrangements you may have.
If you are a member of the FPS 1992 and have previously been employed at a higher salary rate, you may be entitled to two (split) pensions. This calculator is unable to provide for this and you should contact SPPA administration team for further information
- If you previously moved from the 1992 scheme to the 2006 scheme as part of the options exercise in 2007, an approximate allowance has been made  for the service that you would have been granted in the 2006 scheme.  It is assumed that you transferred your service to the 2006 scheme on 6 April 2006 and that any transferred-in service that you have input above was granted before 6 April 2006.
- If you indicated you have worked part time, the calculator has allowed for part-time hours worked up to your most recent benefit statement. It has also assumed you have worked your current part-time hours since then and will continue to do so until retirement. If you do not have your benefit statement, the calculator will assume you have worked full-time up until the start of the scheme year and will then assume you work your current part-time hours until retirement.
- If you indicated you have periods of </t>
    </r>
    <r>
      <rPr>
        <b/>
        <sz val="10"/>
        <rFont val="Arial"/>
        <family val="2"/>
      </rPr>
      <t>part time working</t>
    </r>
    <r>
      <rPr>
        <sz val="10"/>
        <rFont val="Arial"/>
        <family val="2"/>
      </rPr>
      <t xml:space="preserve">, and you have input your accrued CARE benefit from your annual benefit statement, the total benefits quoted at retirement in this calculator will:
      - allow for your actual part-time hours up to your most recent benefit statement 
      - assume you have worked your current part-time hours since the date of your most recent benefit statement to the current date
      - assume that you will continue to work your current part-time hours from the current date until retirement. 
- If you indicated you have periods of part time working but you have not input your accrued CARE benefit from your annual benefit statement, the benefits quoted at retirement in this calculator will:
      - assume you have worked full-time up until the start of the current scheme year
      - assume that you will work your current part-time hours until retirement. 
- The illustrations do not allow for taxation. Your benefits will be subject to the various tax rates and limits in force when you retire. Further information on taxation is available on the SPPA website. You may wish to seek specialist advice if you think you could be affected.
- Your scheme provides survivor benefits payable in the event of your death. These are not shown here. See your scheme guide for details.
</t>
    </r>
    <r>
      <rPr>
        <b/>
        <sz val="10"/>
        <rFont val="Arial"/>
        <family val="2"/>
      </rPr>
      <t xml:space="preserve">Warnings (continued over)       </t>
    </r>
    <r>
      <rPr>
        <sz val="10"/>
        <rFont val="Arial"/>
        <family val="2"/>
      </rPr>
      <t xml:space="preserve">       
- The results produced are not formal statement of your entitlements.
- This calculator only applies to the scheme in Scotland
- The results shown above are estimated, using a given set of assumptions.  Using different assumptions in the calculations could produce different results.
- The calculations of the lump sum by commutation, and any adjustments for early or late retirement, use factors currently in effect. These factors are reviewed periodically. When you actually retire, the scheme factors in force at the time will be used, if appropriate. This may produce different results, other things being equal, to those illustrated here.
- Allowing for promotional salary increases would increase the projected benefits.    
- If future experience differs from the assumptions used, the pension you will receive at retirement will be different from those shown above.
- If you wish to seek financial advice, please contact an authorised independent financial adviser. The results above are not to be considered as financial advice.  SPPA does not accept responsibility for the accuracy of results produced.
</t>
    </r>
    <r>
      <rPr>
        <b/>
        <sz val="10"/>
        <rFont val="Arial"/>
        <family val="2"/>
      </rPr>
      <t xml:space="preserve">Detailed notes (which explain some of the details of the calculations)   </t>
    </r>
    <r>
      <rPr>
        <sz val="10"/>
        <rFont val="Arial"/>
        <family val="2"/>
      </rPr>
      <t xml:space="preserve">   
- The 2015 scheme is a Career Average Revalued Earnings (CARE) scheme with an accrual rate of 1/61.6 and revaluation for active members before retirement in line with the change in the national average earnings.
- Transitional and tapered protection have been allowed for in the results.
- The calculator assumes that general long-term pay increases by (i) 0.0%, (ii) 1.0% and (iii) 2.0% more than CPI  each year. CPI has been assumed to be 2.0% a year. However, if the selected retirement date is before 1/4/2020, the lowest rate of pay increases has been set to 1% (CPI – 1%). The 2015 scheme active member in-service revaluation has been set at 3% in all cases.</t>
    </r>
  </si>
  <si>
    <t>- This calculator makes no allowance for HM Treasury's proposed remedy to remove the unlawful discrimination arising from the transitional protection awarded to members as part of the reform of the public sector pension schemes in 2015, known as the McCloud and Sargeant cases. Therefore, for members who are eligible for remedy (those who joined the scheme on or before 31 March 2012 and remained in service on or after 31 March 2015), this calculator may not provide a correct benefit projection. In particular, the benefits accrued during the proposed remedy period of 1 April 2015 to 31 March 2022, may not be based on the scheme benefit structure you ultimately receive at your retirement. 
For members who are not in scope for remedy, the calculator will continue to produce suitable estimates based on the current benefits in the Scottish Firefighters' Pension Scheme.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</si>
</sst>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4" formatCode="_-&quot;£&quot;* #,##0.00_-;\-&quot;£&quot;* #,##0.00_-;_-&quot;£&quot;* &quot;-&quot;??_-;_-@_-"/>
    <numFmt numFmtId="43" formatCode="_-* #,##0.00_-;\-* #,##0.00_-;_-* &quot;-&quot;??_-;_-@_-"/>
    <numFmt numFmtId="164" formatCode="&quot;£&quot;#,##0"/>
    <numFmt numFmtId="165" formatCode="_-[$£-809]* #,##0_-;\-[$£-809]* #,##0_-;_-[$£-809]* &quot;-&quot;??_-;_-@_-"/>
    <numFmt numFmtId="166" formatCode="0.000"/>
    <numFmt numFmtId="167" formatCode="0.0000"/>
    <numFmt numFmtId="168" formatCode="0.0%"/>
    <numFmt numFmtId="169" formatCode="_-* #,##0_-;\-* #,##0_-;_-* &quot;-&quot;??_-;_-@_-"/>
    <numFmt numFmtId="170" formatCode="#,##0.000"/>
    <numFmt numFmtId="171" formatCode="[$-809]dd\ mmmm\ yyyy;@"/>
    <numFmt numFmtId="172" formatCode="#,##0.0000"/>
    <numFmt numFmtId="173" formatCode="0.0"/>
    <numFmt numFmtId="174" formatCode="0.0000000"/>
    <numFmt numFmtId="175" formatCode="0.00000000"/>
    <numFmt numFmtId="176" formatCode="dd/mm/yyyy;@"/>
    <numFmt numFmtId="177" formatCode="0.000000"/>
    <numFmt numFmtId="178" formatCode="[$-F800]dddd\,\ mmmm\ dd\,\ yyyy"/>
  </numFmts>
  <fonts count="73" x14ac:knownFonts="1">
    <font>
      <sz val="10"/>
      <name val="Arial"/>
    </font>
    <font>
      <sz val="10"/>
      <name val="Arial"/>
      <family val="2"/>
    </font>
    <font>
      <sz val="8"/>
      <name val="Arial"/>
      <family val="2"/>
    </font>
    <font>
      <b/>
      <sz val="10"/>
      <name val="Arial"/>
      <family val="2"/>
    </font>
    <font>
      <b/>
      <sz val="16"/>
      <color indexed="9"/>
      <name val="Arial"/>
      <family val="2"/>
    </font>
    <font>
      <b/>
      <sz val="12"/>
      <color indexed="9"/>
      <name val="Arial"/>
      <family val="2"/>
    </font>
    <font>
      <b/>
      <sz val="12"/>
      <color indexed="56"/>
      <name val="Arial"/>
      <family val="2"/>
    </font>
    <font>
      <sz val="10"/>
      <color indexed="14"/>
      <name val="Arial"/>
      <family val="2"/>
    </font>
    <font>
      <sz val="10"/>
      <color indexed="23"/>
      <name val="Arial"/>
      <family val="2"/>
    </font>
    <font>
      <sz val="10"/>
      <color indexed="17"/>
      <name val="Arial"/>
      <family val="2"/>
    </font>
    <font>
      <sz val="10"/>
      <color indexed="10"/>
      <name val="Arial"/>
      <family val="2"/>
    </font>
    <font>
      <sz val="10"/>
      <name val="Arial"/>
      <family val="2"/>
    </font>
    <font>
      <sz val="11"/>
      <name val="Calibri"/>
      <family val="2"/>
    </font>
    <font>
      <sz val="9"/>
      <color indexed="81"/>
      <name val="Tahoma"/>
      <family val="2"/>
    </font>
    <font>
      <b/>
      <sz val="9"/>
      <color indexed="81"/>
      <name val="Tahoma"/>
      <family val="2"/>
    </font>
    <font>
      <b/>
      <i/>
      <sz val="10"/>
      <name val="Arial"/>
      <family val="2"/>
    </font>
    <font>
      <sz val="10"/>
      <name val="Arial"/>
      <family val="2"/>
    </font>
    <font>
      <sz val="10"/>
      <name val="Arial"/>
      <family val="2"/>
    </font>
    <font>
      <sz val="10"/>
      <name val="Calibri"/>
      <family val="2"/>
    </font>
    <font>
      <sz val="10"/>
      <name val="Arial"/>
      <family val="2"/>
    </font>
    <font>
      <sz val="10"/>
      <color indexed="14"/>
      <name val="Arial"/>
      <family val="2"/>
    </font>
    <font>
      <sz val="10"/>
      <color indexed="8"/>
      <name val="Arial"/>
      <family val="2"/>
    </font>
    <font>
      <sz val="10"/>
      <color indexed="23"/>
      <name val="Arial"/>
      <family val="2"/>
    </font>
    <font>
      <b/>
      <sz val="10"/>
      <color indexed="23"/>
      <name val="Arial"/>
      <family val="2"/>
    </font>
    <font>
      <sz val="11"/>
      <name val="Calibri"/>
      <family val="2"/>
    </font>
    <font>
      <b/>
      <u/>
      <sz val="18"/>
      <name val="Calibri"/>
      <family val="2"/>
    </font>
    <font>
      <b/>
      <sz val="10"/>
      <name val="Calibri"/>
      <family val="2"/>
    </font>
    <font>
      <b/>
      <sz val="11"/>
      <name val="Calibri"/>
      <family val="2"/>
    </font>
    <font>
      <b/>
      <sz val="12"/>
      <name val="Calibri"/>
      <family val="2"/>
    </font>
    <font>
      <sz val="10"/>
      <name val="Calibri"/>
      <family val="2"/>
    </font>
    <font>
      <sz val="8"/>
      <name val="Arial"/>
      <family val="2"/>
    </font>
    <font>
      <sz val="10"/>
      <color indexed="40"/>
      <name val="Arial"/>
      <family val="2"/>
    </font>
    <font>
      <u/>
      <sz val="10"/>
      <color theme="10"/>
      <name val="Arial"/>
      <family val="2"/>
    </font>
    <font>
      <sz val="10"/>
      <color rgb="FFFF00FF"/>
      <name val="Arial"/>
      <family val="2"/>
    </font>
    <font>
      <b/>
      <sz val="12"/>
      <color theme="0"/>
      <name val="Arial"/>
      <family val="2"/>
    </font>
    <font>
      <sz val="10"/>
      <color rgb="FF0000FF"/>
      <name val="Arial"/>
      <family val="2"/>
    </font>
    <font>
      <sz val="10"/>
      <color rgb="FFFF33CC"/>
      <name val="Arial"/>
      <family val="2"/>
    </font>
    <font>
      <sz val="10"/>
      <color rgb="FFFF0000"/>
      <name val="Arial"/>
      <family val="2"/>
    </font>
    <font>
      <sz val="10"/>
      <color rgb="FF00B050"/>
      <name val="Arial"/>
      <family val="2"/>
    </font>
    <font>
      <b/>
      <sz val="10"/>
      <color rgb="FFFF0000"/>
      <name val="Arial"/>
      <family val="2"/>
    </font>
    <font>
      <b/>
      <sz val="16"/>
      <color rgb="FF002060"/>
      <name val="Arial"/>
      <family val="2"/>
    </font>
    <font>
      <sz val="16"/>
      <color rgb="FF002060"/>
      <name val="Arial"/>
      <family val="2"/>
    </font>
    <font>
      <sz val="10"/>
      <color rgb="FF002060"/>
      <name val="Arial"/>
      <family val="2"/>
    </font>
    <font>
      <sz val="12"/>
      <color rgb="FF002060"/>
      <name val="Arial"/>
      <family val="2"/>
    </font>
    <font>
      <b/>
      <sz val="12"/>
      <color rgb="FF002060"/>
      <name val="Arial"/>
      <family val="2"/>
    </font>
    <font>
      <b/>
      <sz val="11"/>
      <color rgb="FF002060"/>
      <name val="Arial"/>
      <family val="2"/>
    </font>
    <font>
      <b/>
      <sz val="10"/>
      <color rgb="FF002060"/>
      <name val="Arial"/>
      <family val="2"/>
    </font>
    <font>
      <b/>
      <sz val="12"/>
      <color rgb="FFFF0000"/>
      <name val="Arial"/>
      <family val="2"/>
    </font>
    <font>
      <b/>
      <sz val="11"/>
      <color theme="1"/>
      <name val="Calibri"/>
      <family val="2"/>
      <scheme val="minor"/>
    </font>
    <font>
      <sz val="10"/>
      <color theme="1"/>
      <name val="Arial"/>
      <family val="2"/>
    </font>
    <font>
      <b/>
      <sz val="10"/>
      <color theme="1"/>
      <name val="Arial"/>
      <family val="2"/>
    </font>
    <font>
      <b/>
      <sz val="18"/>
      <name val="Arial"/>
      <family val="2"/>
    </font>
    <font>
      <b/>
      <sz val="16"/>
      <name val="Arial"/>
      <family val="2"/>
    </font>
    <font>
      <sz val="16"/>
      <name val="Arial"/>
      <family val="2"/>
    </font>
    <font>
      <sz val="11"/>
      <name val="Arial"/>
      <family val="2"/>
    </font>
    <font>
      <sz val="11"/>
      <color theme="0"/>
      <name val="Arial"/>
      <family val="2"/>
    </font>
    <font>
      <b/>
      <sz val="11"/>
      <name val="Arial"/>
      <family val="2"/>
    </font>
    <font>
      <b/>
      <u/>
      <sz val="18"/>
      <name val="Arial"/>
      <family val="2"/>
    </font>
    <font>
      <b/>
      <sz val="12"/>
      <name val="Arial"/>
      <family val="2"/>
    </font>
    <font>
      <b/>
      <sz val="10"/>
      <color rgb="FF000000"/>
      <name val="Arial"/>
      <family val="2"/>
    </font>
    <font>
      <i/>
      <sz val="8"/>
      <color rgb="FF000000"/>
      <name val="Arial"/>
      <family val="2"/>
    </font>
    <font>
      <sz val="8"/>
      <color rgb="FF494949"/>
      <name val="Arial"/>
      <family val="2"/>
    </font>
    <font>
      <b/>
      <sz val="8"/>
      <color rgb="FF000000"/>
      <name val="Arial"/>
      <family val="2"/>
    </font>
    <font>
      <sz val="14"/>
      <name val="Arial"/>
      <family val="2"/>
    </font>
    <font>
      <sz val="13"/>
      <name val="Arial"/>
      <family val="2"/>
    </font>
    <font>
      <b/>
      <u/>
      <sz val="18"/>
      <color theme="0"/>
      <name val="Arial"/>
      <family val="2"/>
    </font>
    <font>
      <sz val="15"/>
      <color rgb="FFFF0000"/>
      <name val="Arial"/>
      <family val="2"/>
    </font>
    <font>
      <b/>
      <u/>
      <sz val="16"/>
      <color theme="0"/>
      <name val="Arial"/>
      <family val="2"/>
    </font>
    <font>
      <sz val="10"/>
      <color rgb="FF0070C0"/>
      <name val="Arial"/>
      <family val="2"/>
    </font>
    <font>
      <i/>
      <sz val="10"/>
      <name val="Arial"/>
      <family val="2"/>
    </font>
    <font>
      <b/>
      <sz val="11"/>
      <color rgb="FFC00000"/>
      <name val="Arial"/>
      <family val="2"/>
    </font>
    <font>
      <sz val="10"/>
      <color theme="0"/>
      <name val="Arial"/>
      <family val="2"/>
    </font>
    <font>
      <b/>
      <sz val="10"/>
      <color theme="0"/>
      <name val="Arial"/>
      <family val="2"/>
    </font>
  </fonts>
  <fills count="18">
    <fill>
      <patternFill patternType="none"/>
    </fill>
    <fill>
      <patternFill patternType="gray125"/>
    </fill>
    <fill>
      <patternFill patternType="solid">
        <fgColor indexed="62"/>
        <bgColor indexed="64"/>
      </patternFill>
    </fill>
    <fill>
      <patternFill patternType="solid">
        <fgColor indexed="18"/>
        <bgColor indexed="64"/>
      </patternFill>
    </fill>
    <fill>
      <patternFill patternType="solid">
        <fgColor indexed="53"/>
        <bgColor indexed="64"/>
      </patternFill>
    </fill>
    <fill>
      <patternFill patternType="solid">
        <fgColor indexed="15"/>
        <bgColor indexed="64"/>
      </patternFill>
    </fill>
    <fill>
      <patternFill patternType="solid">
        <fgColor indexed="13"/>
        <bgColor indexed="64"/>
      </patternFill>
    </fill>
    <fill>
      <patternFill patternType="solid">
        <fgColor rgb="FFBACCCF"/>
        <bgColor indexed="64"/>
      </patternFill>
    </fill>
    <fill>
      <patternFill patternType="lightDown">
        <bgColor theme="0" tint="-0.34998626667073579"/>
      </patternFill>
    </fill>
    <fill>
      <patternFill patternType="solid">
        <fgColor theme="0" tint="-4.9989318521683403E-2"/>
        <bgColor indexed="64"/>
      </patternFill>
    </fill>
    <fill>
      <patternFill patternType="solid">
        <fgColor theme="0"/>
        <bgColor indexed="64"/>
      </patternFill>
    </fill>
    <fill>
      <patternFill patternType="solid">
        <fgColor theme="5" tint="0.59999389629810485"/>
        <bgColor indexed="64"/>
      </patternFill>
    </fill>
    <fill>
      <patternFill patternType="solid">
        <fgColor rgb="FFFFFF00"/>
        <bgColor indexed="64"/>
      </patternFill>
    </fill>
    <fill>
      <patternFill patternType="solid">
        <fgColor theme="0"/>
        <bgColor theme="0"/>
      </patternFill>
    </fill>
    <fill>
      <patternFill patternType="solid">
        <fgColor rgb="FFFFFFFF"/>
        <bgColor indexed="64"/>
      </patternFill>
    </fill>
    <fill>
      <patternFill patternType="solid">
        <fgColor theme="3" tint="-0.249977111117893"/>
        <bgColor indexed="64"/>
      </patternFill>
    </fill>
    <fill>
      <patternFill patternType="solid">
        <fgColor rgb="FFC00000"/>
        <bgColor indexed="64"/>
      </patternFill>
    </fill>
    <fill>
      <patternFill patternType="solid">
        <fgColor rgb="FF92D050"/>
        <bgColor indexed="64"/>
      </patternFill>
    </fill>
  </fills>
  <borders count="50">
    <border>
      <left/>
      <right/>
      <top/>
      <bottom/>
      <diagonal/>
    </border>
    <border>
      <left/>
      <right/>
      <top/>
      <bottom style="thin">
        <color indexed="9"/>
      </bottom>
      <diagonal/>
    </border>
    <border>
      <left/>
      <right/>
      <top style="thin">
        <color indexed="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medium">
        <color rgb="FF000000"/>
      </left>
      <right style="medium">
        <color rgb="FFFFFFFF"/>
      </right>
      <top style="medium">
        <color rgb="FF000000"/>
      </top>
      <bottom/>
      <diagonal/>
    </border>
    <border>
      <left style="medium">
        <color rgb="FF000000"/>
      </left>
      <right style="medium">
        <color rgb="FFFFFFFF"/>
      </right>
      <top style="medium">
        <color rgb="FFD3D3D3"/>
      </top>
      <bottom/>
      <diagonal/>
    </border>
    <border>
      <left style="medium">
        <color rgb="FFFFFFFF"/>
      </left>
      <right style="medium">
        <color rgb="FFFFFFFF"/>
      </right>
      <top style="medium">
        <color rgb="FF000000"/>
      </top>
      <bottom/>
      <diagonal/>
    </border>
    <border>
      <left style="medium">
        <color rgb="FFFFFFFF"/>
      </left>
      <right/>
      <top style="medium">
        <color rgb="FFD3D3D3"/>
      </top>
      <bottom style="medium">
        <color rgb="FF000000"/>
      </bottom>
      <diagonal/>
    </border>
    <border>
      <left/>
      <right style="medium">
        <color rgb="FF000000"/>
      </right>
      <top style="medium">
        <color rgb="FFD3D3D3"/>
      </top>
      <bottom style="medium">
        <color rgb="FF000000"/>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theme="1"/>
      </left>
      <right/>
      <top style="thin">
        <color theme="1"/>
      </top>
      <bottom style="thin">
        <color theme="1"/>
      </bottom>
      <diagonal/>
    </border>
  </borders>
  <cellStyleXfs count="9">
    <xf numFmtId="0" fontId="0" fillId="0" borderId="0"/>
    <xf numFmtId="43" fontId="16" fillId="0" borderId="0" applyFont="0" applyFill="0" applyBorder="0" applyAlignment="0" applyProtection="0"/>
    <xf numFmtId="44" fontId="17" fillId="0" borderId="0" applyFont="0" applyFill="0" applyBorder="0" applyAlignment="0" applyProtection="0"/>
    <xf numFmtId="0" fontId="32" fillId="0" borderId="0" applyNumberFormat="0" applyFill="0" applyBorder="0" applyAlignment="0" applyProtection="0">
      <alignment vertical="top"/>
      <protection locked="0"/>
    </xf>
    <xf numFmtId="9" fontId="19"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748">
    <xf numFmtId="0" fontId="0" fillId="0" borderId="0" xfId="0"/>
    <xf numFmtId="0" fontId="3" fillId="0" borderId="0" xfId="0" applyFont="1"/>
    <xf numFmtId="0" fontId="1" fillId="0" borderId="0" xfId="0" applyFont="1" applyAlignment="1">
      <alignment vertical="top" wrapText="1"/>
    </xf>
    <xf numFmtId="0" fontId="0" fillId="0" borderId="0" xfId="0" applyAlignment="1">
      <alignment vertical="top"/>
    </xf>
    <xf numFmtId="0" fontId="4" fillId="2" borderId="1" xfId="0" applyFont="1" applyFill="1" applyBorder="1" applyAlignment="1" applyProtection="1"/>
    <xf numFmtId="0" fontId="5" fillId="3" borderId="2" xfId="0" applyFont="1" applyFill="1" applyBorder="1" applyAlignment="1" applyProtection="1"/>
    <xf numFmtId="0" fontId="6" fillId="3" borderId="0" xfId="0" applyFont="1" applyFill="1" applyAlignment="1" applyProtection="1"/>
    <xf numFmtId="0" fontId="2" fillId="0" borderId="0" xfId="0" applyFont="1"/>
    <xf numFmtId="14" fontId="0" fillId="0" borderId="0" xfId="0" applyNumberFormat="1"/>
    <xf numFmtId="0" fontId="0" fillId="0" borderId="0" xfId="0" applyBorder="1"/>
    <xf numFmtId="0" fontId="3" fillId="0" borderId="0" xfId="0" applyFont="1" applyAlignment="1">
      <alignment horizontal="center" wrapText="1"/>
    </xf>
    <xf numFmtId="0" fontId="0" fillId="3" borderId="0" xfId="0" applyFill="1"/>
    <xf numFmtId="0" fontId="0" fillId="2" borderId="1" xfId="0" applyFill="1" applyBorder="1"/>
    <xf numFmtId="0" fontId="4" fillId="2" borderId="1" xfId="0" applyFont="1" applyFill="1" applyBorder="1"/>
    <xf numFmtId="0" fontId="6" fillId="3" borderId="0" xfId="0" applyFont="1" applyFill="1"/>
    <xf numFmtId="0" fontId="3" fillId="0" borderId="0" xfId="0" applyFont="1" applyAlignment="1">
      <alignment vertical="top" wrapText="1"/>
    </xf>
    <xf numFmtId="0" fontId="3" fillId="0" borderId="0" xfId="0" applyFont="1" applyBorder="1"/>
    <xf numFmtId="0" fontId="7" fillId="0" borderId="0" xfId="0" applyFont="1" applyAlignment="1">
      <alignment vertical="top"/>
    </xf>
    <xf numFmtId="0" fontId="8" fillId="0" borderId="0" xfId="0" applyFont="1" applyAlignment="1">
      <alignment vertical="top"/>
    </xf>
    <xf numFmtId="0" fontId="9" fillId="0" borderId="0" xfId="0" applyFont="1" applyAlignment="1">
      <alignment vertical="top"/>
    </xf>
    <xf numFmtId="0" fontId="10" fillId="0" borderId="0" xfId="0" applyFont="1" applyAlignment="1">
      <alignment vertical="top"/>
    </xf>
    <xf numFmtId="0" fontId="1" fillId="0" borderId="0" xfId="0" applyFont="1" applyFill="1" applyAlignment="1">
      <alignment vertical="top"/>
    </xf>
    <xf numFmtId="0" fontId="11" fillId="0" borderId="0" xfId="0" applyFont="1" applyAlignment="1">
      <alignment vertical="top"/>
    </xf>
    <xf numFmtId="0" fontId="11" fillId="4" borderId="0" xfId="0" applyFont="1" applyFill="1" applyAlignment="1">
      <alignment vertical="top"/>
    </xf>
    <xf numFmtId="0" fontId="11" fillId="5" borderId="0" xfId="0" applyFont="1" applyFill="1" applyAlignment="1">
      <alignment vertical="top"/>
    </xf>
    <xf numFmtId="0" fontId="1" fillId="0" borderId="0" xfId="0" applyFont="1" applyBorder="1"/>
    <xf numFmtId="0" fontId="1" fillId="0" borderId="0" xfId="0" applyFont="1" applyFill="1" applyBorder="1"/>
    <xf numFmtId="0" fontId="5" fillId="3" borderId="0" xfId="0" applyFont="1" applyFill="1"/>
    <xf numFmtId="14" fontId="1" fillId="0" borderId="0" xfId="0" applyNumberFormat="1" applyFont="1" applyAlignment="1">
      <alignment vertical="top" wrapText="1"/>
    </xf>
    <xf numFmtId="0" fontId="1" fillId="0" borderId="0" xfId="0" applyFont="1"/>
    <xf numFmtId="0" fontId="1" fillId="0" borderId="3" xfId="0" applyFont="1" applyBorder="1"/>
    <xf numFmtId="0" fontId="3" fillId="2" borderId="1" xfId="0" applyFont="1" applyFill="1" applyBorder="1"/>
    <xf numFmtId="0" fontId="3" fillId="3" borderId="0" xfId="0" applyFont="1" applyFill="1"/>
    <xf numFmtId="0" fontId="20" fillId="0" borderId="0" xfId="0" applyFont="1"/>
    <xf numFmtId="14" fontId="20" fillId="0" borderId="0" xfId="0" applyNumberFormat="1" applyFont="1"/>
    <xf numFmtId="0" fontId="32" fillId="0" borderId="0" xfId="3" applyAlignment="1" applyProtection="1"/>
    <xf numFmtId="0" fontId="20" fillId="0" borderId="0" xfId="0" applyNumberFormat="1" applyFont="1"/>
    <xf numFmtId="44" fontId="0" fillId="0" borderId="0" xfId="0" applyNumberFormat="1"/>
    <xf numFmtId="10" fontId="20" fillId="0" borderId="0" xfId="0" applyNumberFormat="1" applyFont="1"/>
    <xf numFmtId="0" fontId="32" fillId="0" borderId="0" xfId="3" applyAlignment="1" applyProtection="1">
      <alignment vertical="top" wrapText="1"/>
    </xf>
    <xf numFmtId="0" fontId="0" fillId="0" borderId="0" xfId="0" applyAlignment="1">
      <alignment wrapText="1"/>
    </xf>
    <xf numFmtId="0" fontId="3" fillId="0" borderId="0" xfId="0" applyFont="1" applyAlignment="1">
      <alignment wrapText="1"/>
    </xf>
    <xf numFmtId="14" fontId="0" fillId="0" borderId="14" xfId="0" applyNumberFormat="1" applyBorder="1"/>
    <xf numFmtId="14" fontId="0" fillId="0" borderId="15" xfId="0" applyNumberFormat="1" applyBorder="1"/>
    <xf numFmtId="14" fontId="0" fillId="0" borderId="16" xfId="0" applyNumberFormat="1" applyBorder="1"/>
    <xf numFmtId="14" fontId="1" fillId="0" borderId="19" xfId="0" applyNumberFormat="1" applyFont="1" applyBorder="1"/>
    <xf numFmtId="14" fontId="0" fillId="0" borderId="20" xfId="0" applyNumberFormat="1" applyBorder="1"/>
    <xf numFmtId="0" fontId="0" fillId="0" borderId="21" xfId="0" applyBorder="1"/>
    <xf numFmtId="0" fontId="0" fillId="0" borderId="0" xfId="0" applyProtection="1">
      <protection hidden="1"/>
    </xf>
    <xf numFmtId="0" fontId="1" fillId="0" borderId="0" xfId="0" applyFont="1" applyProtection="1">
      <protection hidden="1"/>
    </xf>
    <xf numFmtId="0" fontId="3" fillId="0" borderId="0" xfId="0" applyFont="1" applyProtection="1">
      <protection hidden="1"/>
    </xf>
    <xf numFmtId="14" fontId="0" fillId="0" borderId="0" xfId="0" applyNumberFormat="1" applyProtection="1">
      <protection hidden="1"/>
    </xf>
    <xf numFmtId="0" fontId="20" fillId="0" borderId="0" xfId="0" applyFont="1" applyProtection="1">
      <protection hidden="1"/>
    </xf>
    <xf numFmtId="0" fontId="1" fillId="6" borderId="0" xfId="0" applyFont="1" applyFill="1" applyProtection="1">
      <protection hidden="1"/>
    </xf>
    <xf numFmtId="0" fontId="0" fillId="6" borderId="0" xfId="0" applyFill="1" applyProtection="1">
      <protection hidden="1"/>
    </xf>
    <xf numFmtId="14" fontId="1" fillId="0" borderId="0" xfId="0" applyNumberFormat="1" applyFont="1" applyProtection="1">
      <protection hidden="1"/>
    </xf>
    <xf numFmtId="0" fontId="1" fillId="0" borderId="0" xfId="0" applyFont="1" applyFill="1" applyProtection="1">
      <protection hidden="1"/>
    </xf>
    <xf numFmtId="43" fontId="1" fillId="0" borderId="0" xfId="1" applyFont="1" applyProtection="1">
      <protection hidden="1"/>
    </xf>
    <xf numFmtId="0" fontId="1" fillId="0" borderId="0" xfId="0" applyFont="1" applyAlignment="1" applyProtection="1">
      <alignment horizontal="right"/>
      <protection hidden="1"/>
    </xf>
    <xf numFmtId="2" fontId="1" fillId="0" borderId="0" xfId="0" applyNumberFormat="1" applyFont="1" applyProtection="1">
      <protection hidden="1"/>
    </xf>
    <xf numFmtId="0" fontId="23" fillId="0" borderId="0" xfId="0" applyFont="1" applyProtection="1">
      <protection hidden="1"/>
    </xf>
    <xf numFmtId="0" fontId="22" fillId="0" borderId="0" xfId="0" applyFont="1" applyProtection="1">
      <protection hidden="1"/>
    </xf>
    <xf numFmtId="0" fontId="3" fillId="0" borderId="0" xfId="0" applyFont="1" applyAlignment="1" applyProtection="1">
      <alignment wrapText="1"/>
      <protection hidden="1"/>
    </xf>
    <xf numFmtId="0" fontId="3" fillId="0" borderId="0" xfId="0" applyFont="1" applyAlignment="1" applyProtection="1">
      <protection hidden="1"/>
    </xf>
    <xf numFmtId="14" fontId="1" fillId="0" borderId="0" xfId="0" applyNumberFormat="1" applyFont="1"/>
    <xf numFmtId="0" fontId="8" fillId="0" borderId="0" xfId="0" applyFont="1" applyProtection="1">
      <protection hidden="1"/>
    </xf>
    <xf numFmtId="1" fontId="1" fillId="0" borderId="0" xfId="0" applyNumberFormat="1" applyFont="1" applyProtection="1">
      <protection hidden="1"/>
    </xf>
    <xf numFmtId="0" fontId="32" fillId="0" borderId="0" xfId="3" applyAlignment="1" applyProtection="1">
      <alignment wrapText="1"/>
    </xf>
    <xf numFmtId="14" fontId="33" fillId="0" borderId="0" xfId="0" applyNumberFormat="1" applyFont="1"/>
    <xf numFmtId="2" fontId="0" fillId="0" borderId="0" xfId="0" applyNumberFormat="1"/>
    <xf numFmtId="167" fontId="0" fillId="0" borderId="0" xfId="0" applyNumberFormat="1"/>
    <xf numFmtId="0" fontId="1" fillId="0" borderId="17" xfId="0" applyFont="1" applyBorder="1"/>
    <xf numFmtId="0" fontId="0" fillId="0" borderId="17" xfId="0" applyBorder="1"/>
    <xf numFmtId="0" fontId="32" fillId="0" borderId="17" xfId="3" applyBorder="1" applyAlignment="1" applyProtection="1"/>
    <xf numFmtId="14" fontId="0" fillId="0" borderId="17" xfId="0" applyNumberFormat="1" applyBorder="1"/>
    <xf numFmtId="0" fontId="3" fillId="0" borderId="17" xfId="0" applyFont="1" applyBorder="1" applyAlignment="1">
      <alignment wrapText="1"/>
    </xf>
    <xf numFmtId="0" fontId="34" fillId="3" borderId="0" xfId="0" applyFont="1" applyFill="1"/>
    <xf numFmtId="0" fontId="34" fillId="3" borderId="0" xfId="0" applyFont="1" applyFill="1" applyAlignment="1" applyProtection="1"/>
    <xf numFmtId="0" fontId="35" fillId="0" borderId="0" xfId="0" applyFont="1" applyAlignment="1">
      <alignment vertical="top"/>
    </xf>
    <xf numFmtId="3" fontId="0" fillId="0" borderId="0" xfId="0" applyNumberFormat="1"/>
    <xf numFmtId="0" fontId="33" fillId="0" borderId="0" xfId="0" applyFont="1"/>
    <xf numFmtId="0" fontId="3" fillId="0" borderId="8" xfId="0" applyFont="1" applyBorder="1" applyAlignment="1">
      <alignment horizontal="center" vertical="center"/>
    </xf>
    <xf numFmtId="0" fontId="1" fillId="0" borderId="4" xfId="0" applyFont="1" applyBorder="1" applyAlignment="1">
      <alignment horizontal="center" vertical="center"/>
    </xf>
    <xf numFmtId="2" fontId="0" fillId="0" borderId="0" xfId="0" applyNumberFormat="1" applyBorder="1"/>
    <xf numFmtId="2" fontId="0" fillId="0" borderId="23" xfId="0" applyNumberFormat="1" applyBorder="1"/>
    <xf numFmtId="0" fontId="36" fillId="0" borderId="0" xfId="0" applyFont="1"/>
    <xf numFmtId="0" fontId="37" fillId="0" borderId="0" xfId="0" applyFont="1"/>
    <xf numFmtId="0" fontId="1" fillId="0" borderId="17" xfId="0" applyFont="1" applyBorder="1" applyAlignment="1">
      <alignment vertical="top" wrapText="1"/>
    </xf>
    <xf numFmtId="0" fontId="1" fillId="0" borderId="17" xfId="0" applyFont="1" applyBorder="1" applyAlignment="1">
      <alignment vertical="top"/>
    </xf>
    <xf numFmtId="14" fontId="0" fillId="0" borderId="17" xfId="0" applyNumberFormat="1" applyBorder="1" applyAlignment="1">
      <alignment vertical="top"/>
    </xf>
    <xf numFmtId="169" fontId="1" fillId="0" borderId="0" xfId="1" applyNumberFormat="1" applyFont="1"/>
    <xf numFmtId="169" fontId="0" fillId="0" borderId="0" xfId="0" applyNumberFormat="1"/>
    <xf numFmtId="1" fontId="0" fillId="0" borderId="0" xfId="0" applyNumberFormat="1" applyProtection="1">
      <protection hidden="1"/>
    </xf>
    <xf numFmtId="0" fontId="1" fillId="7" borderId="0" xfId="0" applyFont="1" applyFill="1" applyProtection="1">
      <protection hidden="1"/>
    </xf>
    <xf numFmtId="14" fontId="1" fillId="7" borderId="0" xfId="0" applyNumberFormat="1" applyFont="1" applyFill="1" applyProtection="1">
      <protection hidden="1"/>
    </xf>
    <xf numFmtId="4" fontId="0" fillId="0" borderId="0" xfId="0" applyNumberFormat="1"/>
    <xf numFmtId="4" fontId="0" fillId="0" borderId="0" xfId="0" applyNumberFormat="1" applyAlignment="1">
      <alignment horizontal="right"/>
    </xf>
    <xf numFmtId="4" fontId="22" fillId="0" borderId="0" xfId="0" applyNumberFormat="1" applyFont="1"/>
    <xf numFmtId="0" fontId="3" fillId="0" borderId="22" xfId="0" applyFont="1" applyBorder="1"/>
    <xf numFmtId="3" fontId="0" fillId="0" borderId="23" xfId="0" applyNumberFormat="1" applyBorder="1"/>
    <xf numFmtId="4" fontId="0" fillId="0" borderId="23" xfId="0" applyNumberFormat="1" applyBorder="1"/>
    <xf numFmtId="4" fontId="0" fillId="0" borderId="5" xfId="0" applyNumberFormat="1" applyBorder="1"/>
    <xf numFmtId="0" fontId="3" fillId="0" borderId="25" xfId="0" applyFont="1" applyBorder="1"/>
    <xf numFmtId="0" fontId="3" fillId="0" borderId="12" xfId="0" applyFont="1" applyBorder="1"/>
    <xf numFmtId="0" fontId="3" fillId="0" borderId="4" xfId="0" applyFont="1" applyBorder="1"/>
    <xf numFmtId="2" fontId="0" fillId="0" borderId="25" xfId="0" applyNumberFormat="1" applyBorder="1"/>
    <xf numFmtId="0" fontId="0" fillId="0" borderId="4" xfId="0" applyBorder="1"/>
    <xf numFmtId="0" fontId="3" fillId="0" borderId="0" xfId="0" applyFont="1" applyFill="1" applyBorder="1"/>
    <xf numFmtId="0" fontId="3" fillId="0" borderId="26" xfId="0" applyFont="1" applyBorder="1"/>
    <xf numFmtId="0" fontId="3" fillId="0" borderId="27" xfId="0" applyFont="1" applyBorder="1"/>
    <xf numFmtId="0" fontId="1" fillId="8" borderId="23" xfId="0" applyFont="1" applyFill="1" applyBorder="1"/>
    <xf numFmtId="0" fontId="0" fillId="0" borderId="23" xfId="0" applyBorder="1"/>
    <xf numFmtId="0" fontId="3" fillId="0" borderId="12" xfId="0" applyFont="1" applyFill="1" applyBorder="1"/>
    <xf numFmtId="0" fontId="3" fillId="0" borderId="4" xfId="0" applyFont="1" applyFill="1" applyBorder="1"/>
    <xf numFmtId="0" fontId="0" fillId="0" borderId="25" xfId="0" applyBorder="1"/>
    <xf numFmtId="3" fontId="0" fillId="0" borderId="0" xfId="0" applyNumberFormat="1" applyBorder="1"/>
    <xf numFmtId="3" fontId="1" fillId="0" borderId="0" xfId="0" applyNumberFormat="1" applyFont="1" applyBorder="1"/>
    <xf numFmtId="0" fontId="0" fillId="0" borderId="8" xfId="0" applyBorder="1"/>
    <xf numFmtId="0" fontId="3" fillId="0" borderId="10" xfId="0" applyFont="1" applyBorder="1"/>
    <xf numFmtId="0" fontId="3" fillId="0" borderId="9" xfId="0" applyFont="1" applyBorder="1"/>
    <xf numFmtId="0" fontId="3" fillId="0" borderId="8" xfId="0" applyFont="1" applyBorder="1"/>
    <xf numFmtId="3" fontId="0" fillId="0" borderId="28" xfId="0" applyNumberFormat="1" applyBorder="1"/>
    <xf numFmtId="4" fontId="0" fillId="0" borderId="7" xfId="0" applyNumberFormat="1" applyBorder="1"/>
    <xf numFmtId="3" fontId="0" fillId="0" borderId="6" xfId="0" applyNumberFormat="1" applyBorder="1"/>
    <xf numFmtId="0" fontId="3" fillId="0" borderId="11" xfId="0" applyFont="1" applyBorder="1"/>
    <xf numFmtId="3" fontId="1" fillId="0" borderId="28" xfId="0" applyNumberFormat="1" applyFont="1" applyBorder="1"/>
    <xf numFmtId="3" fontId="1" fillId="0" borderId="7" xfId="0" applyNumberFormat="1" applyFont="1" applyBorder="1"/>
    <xf numFmtId="0" fontId="0" fillId="0" borderId="6" xfId="0" applyBorder="1"/>
    <xf numFmtId="0" fontId="0" fillId="0" borderId="26" xfId="0" applyBorder="1"/>
    <xf numFmtId="10" fontId="36" fillId="0" borderId="0" xfId="0" applyNumberFormat="1" applyFont="1"/>
    <xf numFmtId="168" fontId="36" fillId="0" borderId="0" xfId="4" applyNumberFormat="1" applyFont="1"/>
    <xf numFmtId="14" fontId="0" fillId="0" borderId="27" xfId="0" applyNumberFormat="1" applyBorder="1"/>
    <xf numFmtId="0" fontId="1" fillId="0" borderId="6" xfId="0" applyFont="1" applyBorder="1"/>
    <xf numFmtId="14" fontId="0" fillId="0" borderId="10" xfId="0" applyNumberFormat="1" applyBorder="1"/>
    <xf numFmtId="14" fontId="0" fillId="0" borderId="9" xfId="0" applyNumberFormat="1" applyBorder="1"/>
    <xf numFmtId="14" fontId="0" fillId="0" borderId="11" xfId="0" applyNumberFormat="1" applyBorder="1"/>
    <xf numFmtId="14" fontId="0" fillId="0" borderId="22" xfId="0" applyNumberFormat="1" applyBorder="1"/>
    <xf numFmtId="0" fontId="0" fillId="0" borderId="28" xfId="0" applyBorder="1"/>
    <xf numFmtId="167" fontId="0" fillId="0" borderId="28" xfId="0" applyNumberFormat="1" applyBorder="1"/>
    <xf numFmtId="167" fontId="0" fillId="0" borderId="0" xfId="0" applyNumberFormat="1" applyBorder="1"/>
    <xf numFmtId="167" fontId="0" fillId="0" borderId="23" xfId="0" applyNumberFormat="1" applyBorder="1"/>
    <xf numFmtId="4" fontId="0" fillId="0" borderId="28" xfId="0" applyNumberFormat="1" applyBorder="1" applyAlignment="1">
      <alignment horizontal="right"/>
    </xf>
    <xf numFmtId="4" fontId="0" fillId="0" borderId="0" xfId="0" applyNumberFormat="1" applyBorder="1" applyAlignment="1">
      <alignment horizontal="right"/>
    </xf>
    <xf numFmtId="4" fontId="0" fillId="0" borderId="28" xfId="0" applyNumberFormat="1" applyBorder="1"/>
    <xf numFmtId="4" fontId="0" fillId="0" borderId="0" xfId="0" applyNumberFormat="1" applyBorder="1"/>
    <xf numFmtId="0" fontId="3" fillId="0" borderId="23" xfId="0" applyFont="1" applyBorder="1"/>
    <xf numFmtId="0" fontId="3" fillId="0" borderId="5" xfId="0" applyFont="1" applyBorder="1"/>
    <xf numFmtId="167" fontId="0" fillId="0" borderId="6" xfId="0" applyNumberFormat="1" applyBorder="1"/>
    <xf numFmtId="167" fontId="0" fillId="0" borderId="5" xfId="0" applyNumberFormat="1" applyBorder="1"/>
    <xf numFmtId="4" fontId="0" fillId="0" borderId="22" xfId="0" applyNumberFormat="1" applyBorder="1"/>
    <xf numFmtId="4" fontId="0" fillId="0" borderId="26" xfId="0" applyNumberFormat="1" applyBorder="1"/>
    <xf numFmtId="4" fontId="0" fillId="0" borderId="27" xfId="0" applyNumberFormat="1" applyBorder="1"/>
    <xf numFmtId="4" fontId="0" fillId="0" borderId="6" xfId="0" applyNumberFormat="1" applyBorder="1"/>
    <xf numFmtId="0" fontId="3" fillId="0" borderId="29" xfId="0" applyFont="1" applyBorder="1"/>
    <xf numFmtId="4" fontId="0" fillId="0" borderId="30" xfId="0" applyNumberFormat="1" applyBorder="1"/>
    <xf numFmtId="4" fontId="0" fillId="0" borderId="17" xfId="0" applyNumberFormat="1" applyBorder="1"/>
    <xf numFmtId="4" fontId="0" fillId="0" borderId="31" xfId="0" applyNumberFormat="1" applyBorder="1"/>
    <xf numFmtId="0" fontId="3" fillId="0" borderId="32" xfId="0" applyFont="1" applyBorder="1"/>
    <xf numFmtId="4" fontId="0" fillId="0" borderId="33" xfId="0" applyNumberFormat="1" applyBorder="1"/>
    <xf numFmtId="4" fontId="0" fillId="0" borderId="18" xfId="0" applyNumberFormat="1" applyBorder="1"/>
    <xf numFmtId="4" fontId="0" fillId="0" borderId="34" xfId="0" applyNumberFormat="1" applyBorder="1"/>
    <xf numFmtId="4" fontId="0" fillId="0" borderId="22" xfId="0" applyNumberFormat="1" applyBorder="1" applyAlignment="1">
      <alignment horizontal="right"/>
    </xf>
    <xf numFmtId="3" fontId="0" fillId="0" borderId="5" xfId="0" applyNumberFormat="1" applyBorder="1"/>
    <xf numFmtId="0" fontId="1" fillId="0" borderId="12" xfId="0" applyFont="1" applyBorder="1"/>
    <xf numFmtId="0" fontId="1" fillId="0" borderId="4" xfId="0" applyFont="1" applyBorder="1"/>
    <xf numFmtId="0" fontId="1" fillId="0" borderId="25" xfId="0" applyFont="1" applyBorder="1"/>
    <xf numFmtId="14" fontId="0" fillId="0" borderId="25" xfId="0" applyNumberFormat="1" applyBorder="1"/>
    <xf numFmtId="10" fontId="1" fillId="0" borderId="12" xfId="4" applyNumberFormat="1" applyFont="1" applyBorder="1"/>
    <xf numFmtId="10" fontId="0" fillId="0" borderId="4" xfId="4" applyNumberFormat="1" applyFont="1" applyBorder="1"/>
    <xf numFmtId="14" fontId="0" fillId="0" borderId="0" xfId="0" applyNumberFormat="1" applyBorder="1"/>
    <xf numFmtId="14" fontId="0" fillId="0" borderId="23" xfId="0" applyNumberFormat="1" applyBorder="1"/>
    <xf numFmtId="44" fontId="0" fillId="0" borderId="0" xfId="0" applyNumberFormat="1" applyBorder="1"/>
    <xf numFmtId="44" fontId="0" fillId="0" borderId="23" xfId="0" applyNumberFormat="1" applyBorder="1"/>
    <xf numFmtId="44" fontId="0" fillId="0" borderId="6" xfId="0" applyNumberFormat="1" applyBorder="1"/>
    <xf numFmtId="44" fontId="0" fillId="0" borderId="5" xfId="0" applyNumberFormat="1" applyBorder="1"/>
    <xf numFmtId="14" fontId="0" fillId="0" borderId="26" xfId="0" applyNumberFormat="1" applyBorder="1"/>
    <xf numFmtId="14" fontId="0" fillId="0" borderId="6" xfId="0" applyNumberFormat="1" applyBorder="1"/>
    <xf numFmtId="14" fontId="0" fillId="0" borderId="5" xfId="0" applyNumberFormat="1" applyBorder="1"/>
    <xf numFmtId="167" fontId="0" fillId="0" borderId="0" xfId="0" applyNumberFormat="1" applyBorder="1" applyAlignment="1">
      <alignment horizontal="right"/>
    </xf>
    <xf numFmtId="44" fontId="0" fillId="0" borderId="26" xfId="0" applyNumberFormat="1" applyBorder="1"/>
    <xf numFmtId="44" fontId="0" fillId="0" borderId="27" xfId="0" applyNumberFormat="1" applyBorder="1"/>
    <xf numFmtId="44" fontId="1" fillId="0" borderId="0" xfId="0" applyNumberFormat="1" applyFont="1" applyBorder="1"/>
    <xf numFmtId="44" fontId="1" fillId="0" borderId="23" xfId="0" applyNumberFormat="1" applyFont="1" applyBorder="1"/>
    <xf numFmtId="0" fontId="0" fillId="0" borderId="0" xfId="0" applyNumberFormat="1" applyBorder="1"/>
    <xf numFmtId="0" fontId="0" fillId="0" borderId="23" xfId="0" applyNumberFormat="1" applyBorder="1"/>
    <xf numFmtId="0" fontId="1" fillId="0" borderId="6" xfId="0" applyNumberFormat="1" applyFont="1" applyBorder="1"/>
    <xf numFmtId="0" fontId="1" fillId="0" borderId="5" xfId="0" applyNumberFormat="1" applyFont="1" applyBorder="1"/>
    <xf numFmtId="14" fontId="0" fillId="0" borderId="0" xfId="0" applyNumberFormat="1" applyAlignment="1">
      <alignment vertical="top"/>
    </xf>
    <xf numFmtId="171" fontId="1" fillId="0" borderId="0" xfId="0" quotePrefix="1" applyNumberFormat="1" applyFont="1" applyAlignment="1" applyProtection="1">
      <alignment horizontal="left" vertical="top"/>
      <protection hidden="1"/>
    </xf>
    <xf numFmtId="0" fontId="38" fillId="0" borderId="0" xfId="0" applyFont="1"/>
    <xf numFmtId="0" fontId="39" fillId="0" borderId="0" xfId="0" applyFont="1" applyFill="1" applyBorder="1"/>
    <xf numFmtId="167" fontId="0" fillId="0" borderId="26" xfId="0" applyNumberFormat="1" applyBorder="1"/>
    <xf numFmtId="167" fontId="0" fillId="0" borderId="28" xfId="0" applyNumberFormat="1" applyBorder="1" applyAlignment="1">
      <alignment horizontal="right"/>
    </xf>
    <xf numFmtId="167" fontId="1" fillId="0" borderId="25" xfId="0" applyNumberFormat="1" applyFont="1" applyBorder="1"/>
    <xf numFmtId="167" fontId="0" fillId="0" borderId="4" xfId="0" applyNumberFormat="1" applyBorder="1"/>
    <xf numFmtId="44" fontId="0" fillId="0" borderId="28" xfId="0" applyNumberFormat="1" applyBorder="1"/>
    <xf numFmtId="44" fontId="0" fillId="0" borderId="7" xfId="0" applyNumberFormat="1" applyBorder="1"/>
    <xf numFmtId="0" fontId="3" fillId="0" borderId="25" xfId="0" applyFont="1" applyFill="1" applyBorder="1"/>
    <xf numFmtId="1" fontId="0" fillId="0" borderId="22" xfId="0" applyNumberFormat="1" applyBorder="1"/>
    <xf numFmtId="1" fontId="0" fillId="0" borderId="26" xfId="0" applyNumberFormat="1" applyBorder="1"/>
    <xf numFmtId="1" fontId="0" fillId="0" borderId="27" xfId="0" applyNumberFormat="1" applyBorder="1"/>
    <xf numFmtId="0" fontId="15" fillId="0" borderId="0" xfId="0" applyFont="1" applyBorder="1" applyAlignment="1">
      <alignment horizontal="center" vertical="center" wrapText="1"/>
    </xf>
    <xf numFmtId="167" fontId="0" fillId="0" borderId="12" xfId="0" applyNumberFormat="1" applyBorder="1"/>
    <xf numFmtId="0" fontId="3" fillId="0" borderId="4" xfId="0" applyFont="1" applyBorder="1" applyAlignment="1">
      <alignment horizontal="left"/>
    </xf>
    <xf numFmtId="4" fontId="1" fillId="0" borderId="28" xfId="0" applyNumberFormat="1" applyFont="1" applyBorder="1" applyAlignment="1">
      <alignment horizontal="right"/>
    </xf>
    <xf numFmtId="4" fontId="1" fillId="0" borderId="0" xfId="0" applyNumberFormat="1" applyFont="1" applyBorder="1"/>
    <xf numFmtId="4" fontId="1" fillId="0" borderId="0" xfId="0" applyNumberFormat="1" applyFont="1" applyBorder="1" applyAlignment="1">
      <alignment horizontal="right"/>
    </xf>
    <xf numFmtId="4" fontId="1" fillId="0" borderId="23" xfId="0" applyNumberFormat="1" applyFont="1" applyBorder="1" applyAlignment="1">
      <alignment horizontal="right"/>
    </xf>
    <xf numFmtId="0" fontId="1" fillId="0" borderId="26" xfId="0" applyFont="1" applyBorder="1"/>
    <xf numFmtId="0" fontId="0" fillId="0" borderId="27" xfId="0" applyBorder="1"/>
    <xf numFmtId="0" fontId="1" fillId="0" borderId="23" xfId="0" applyFont="1" applyBorder="1"/>
    <xf numFmtId="0" fontId="1" fillId="0" borderId="5" xfId="0" applyFont="1" applyBorder="1"/>
    <xf numFmtId="14" fontId="0" fillId="0" borderId="4" xfId="0" applyNumberFormat="1" applyBorder="1"/>
    <xf numFmtId="14" fontId="37" fillId="0" borderId="0" xfId="0" applyNumberFormat="1" applyFont="1"/>
    <xf numFmtId="0" fontId="1" fillId="0" borderId="0" xfId="0" applyFont="1" applyAlignment="1">
      <alignment wrapText="1"/>
    </xf>
    <xf numFmtId="14" fontId="37" fillId="0" borderId="0" xfId="0" applyNumberFormat="1" applyFont="1" applyProtection="1">
      <protection hidden="1"/>
    </xf>
    <xf numFmtId="14" fontId="36" fillId="0" borderId="0" xfId="0" applyNumberFormat="1" applyFont="1"/>
    <xf numFmtId="0" fontId="3" fillId="0" borderId="0" xfId="0" applyFont="1" applyBorder="1" applyAlignment="1">
      <alignment horizontal="center" vertical="center" wrapText="1"/>
    </xf>
    <xf numFmtId="0" fontId="1" fillId="0" borderId="4" xfId="0" applyFont="1" applyFill="1" applyBorder="1"/>
    <xf numFmtId="1" fontId="0" fillId="0" borderId="0" xfId="0" applyNumberFormat="1" applyBorder="1"/>
    <xf numFmtId="0" fontId="0" fillId="0" borderId="22" xfId="0" applyBorder="1"/>
    <xf numFmtId="3" fontId="1" fillId="0" borderId="28" xfId="0" applyNumberFormat="1" applyFont="1" applyBorder="1" applyAlignment="1">
      <alignment horizontal="right"/>
    </xf>
    <xf numFmtId="1" fontId="0" fillId="0" borderId="23" xfId="0" applyNumberFormat="1" applyBorder="1"/>
    <xf numFmtId="1" fontId="0" fillId="0" borderId="28" xfId="0" applyNumberFormat="1" applyBorder="1"/>
    <xf numFmtId="0" fontId="33" fillId="0" borderId="5" xfId="0" applyFont="1" applyBorder="1"/>
    <xf numFmtId="0" fontId="33" fillId="0" borderId="23" xfId="0" applyFont="1" applyBorder="1"/>
    <xf numFmtId="0" fontId="18" fillId="0" borderId="0" xfId="0" quotePrefix="1" applyFont="1" applyFill="1" applyAlignment="1" applyProtection="1">
      <alignment vertical="center" wrapText="1"/>
      <protection hidden="1"/>
    </xf>
    <xf numFmtId="170" fontId="0" fillId="0" borderId="0" xfId="0" applyNumberFormat="1"/>
    <xf numFmtId="172" fontId="1" fillId="0" borderId="28" xfId="0" applyNumberFormat="1" applyFont="1" applyBorder="1" applyAlignment="1">
      <alignment horizontal="right"/>
    </xf>
    <xf numFmtId="1" fontId="0" fillId="0" borderId="0" xfId="0" applyNumberFormat="1"/>
    <xf numFmtId="167" fontId="0" fillId="0" borderId="25" xfId="0" applyNumberFormat="1" applyBorder="1"/>
    <xf numFmtId="0" fontId="3" fillId="0" borderId="25" xfId="0" applyFont="1" applyBorder="1" applyAlignment="1">
      <alignment horizontal="left"/>
    </xf>
    <xf numFmtId="0" fontId="28" fillId="9" borderId="0" xfId="0" applyFont="1" applyFill="1" applyBorder="1"/>
    <xf numFmtId="49" fontId="29" fillId="9" borderId="0" xfId="0" applyNumberFormat="1" applyFont="1" applyFill="1" applyBorder="1" applyAlignment="1">
      <alignment horizontal="left"/>
    </xf>
    <xf numFmtId="49" fontId="29" fillId="9" borderId="0" xfId="0" quotePrefix="1" applyNumberFormat="1" applyFont="1" applyFill="1" applyBorder="1" applyAlignment="1">
      <alignment horizontal="left" vertical="center"/>
    </xf>
    <xf numFmtId="49" fontId="29" fillId="9" borderId="0" xfId="0" applyNumberFormat="1" applyFont="1" applyFill="1" applyBorder="1" applyAlignment="1">
      <alignment vertical="center" wrapText="1"/>
    </xf>
    <xf numFmtId="49" fontId="26" fillId="9" borderId="0" xfId="0" applyNumberFormat="1" applyFont="1" applyFill="1" applyBorder="1" applyAlignment="1">
      <alignment vertical="center"/>
    </xf>
    <xf numFmtId="49" fontId="29" fillId="9" borderId="0" xfId="0" applyNumberFormat="1" applyFont="1" applyFill="1" applyBorder="1" applyAlignment="1">
      <alignment vertical="center"/>
    </xf>
    <xf numFmtId="0" fontId="3" fillId="0" borderId="25" xfId="0" applyFont="1" applyBorder="1" applyAlignment="1">
      <alignment horizontal="center" vertical="center" wrapText="1"/>
    </xf>
    <xf numFmtId="0" fontId="3" fillId="0" borderId="0" xfId="0" applyFont="1" applyBorder="1" applyAlignment="1">
      <alignment horizontal="center" vertical="center" wrapText="1"/>
    </xf>
    <xf numFmtId="0" fontId="35" fillId="0" borderId="0" xfId="0" applyFont="1" applyProtection="1">
      <protection hidden="1"/>
    </xf>
    <xf numFmtId="0" fontId="35" fillId="0" borderId="0" xfId="0" applyFont="1"/>
    <xf numFmtId="14" fontId="3" fillId="0" borderId="0" xfId="0" applyNumberFormat="1" applyFont="1" applyProtection="1">
      <protection hidden="1"/>
    </xf>
    <xf numFmtId="0" fontId="0" fillId="0" borderId="0" xfId="0" applyBorder="1" applyProtection="1">
      <protection hidden="1"/>
    </xf>
    <xf numFmtId="167" fontId="0" fillId="0" borderId="12" xfId="0" applyNumberFormat="1" applyBorder="1" applyAlignment="1">
      <alignment horizontal="right"/>
    </xf>
    <xf numFmtId="4" fontId="1" fillId="0" borderId="12" xfId="0" applyNumberFormat="1" applyFont="1" applyBorder="1" applyAlignment="1">
      <alignment horizontal="right"/>
    </xf>
    <xf numFmtId="4" fontId="1" fillId="0" borderId="8" xfId="0" applyNumberFormat="1" applyFont="1" applyBorder="1" applyAlignment="1">
      <alignment horizontal="right"/>
    </xf>
    <xf numFmtId="3" fontId="1" fillId="0" borderId="12" xfId="0" applyNumberFormat="1" applyFont="1" applyBorder="1" applyAlignment="1">
      <alignment horizontal="right"/>
    </xf>
    <xf numFmtId="172" fontId="1" fillId="0" borderId="12" xfId="0" applyNumberFormat="1" applyFont="1" applyBorder="1" applyAlignment="1">
      <alignment horizontal="right"/>
    </xf>
    <xf numFmtId="4" fontId="0" fillId="0" borderId="25" xfId="0" applyNumberFormat="1" applyBorder="1"/>
    <xf numFmtId="4" fontId="0" fillId="0" borderId="4" xfId="0" applyNumberFormat="1" applyBorder="1"/>
    <xf numFmtId="0" fontId="1" fillId="0" borderId="27" xfId="0" applyFont="1" applyBorder="1"/>
    <xf numFmtId="0" fontId="0" fillId="0" borderId="5" xfId="0" applyNumberFormat="1" applyBorder="1"/>
    <xf numFmtId="0" fontId="3" fillId="0" borderId="0" xfId="0" applyFont="1" applyFill="1" applyBorder="1" applyAlignment="1">
      <alignment wrapText="1"/>
    </xf>
    <xf numFmtId="173" fontId="0" fillId="0" borderId="0" xfId="0" applyNumberFormat="1" applyBorder="1"/>
    <xf numFmtId="173" fontId="0" fillId="0" borderId="23" xfId="0" applyNumberFormat="1" applyBorder="1"/>
    <xf numFmtId="0" fontId="3" fillId="0" borderId="0" xfId="0" applyFont="1" applyBorder="1" applyAlignment="1">
      <alignment horizontal="center" vertical="center" wrapText="1"/>
    </xf>
    <xf numFmtId="0" fontId="3" fillId="0" borderId="0" xfId="0" applyFont="1" applyBorder="1" applyAlignment="1">
      <alignment horizontal="left"/>
    </xf>
    <xf numFmtId="166" fontId="0" fillId="0" borderId="0" xfId="0" applyNumberFormat="1" applyBorder="1"/>
    <xf numFmtId="174" fontId="1" fillId="0" borderId="0" xfId="0" applyNumberFormat="1" applyFont="1" applyProtection="1">
      <protection hidden="1"/>
    </xf>
    <xf numFmtId="175" fontId="1" fillId="0" borderId="0" xfId="0" applyNumberFormat="1" applyFont="1" applyProtection="1">
      <protection hidden="1"/>
    </xf>
    <xf numFmtId="3" fontId="0" fillId="0" borderId="26" xfId="0" applyNumberFormat="1" applyBorder="1"/>
    <xf numFmtId="3" fontId="0" fillId="0" borderId="27" xfId="0" applyNumberFormat="1" applyBorder="1"/>
    <xf numFmtId="0" fontId="1" fillId="10" borderId="0" xfId="5" applyFill="1"/>
    <xf numFmtId="0" fontId="42" fillId="10" borderId="0" xfId="5" applyFont="1" applyFill="1"/>
    <xf numFmtId="0" fontId="42" fillId="10" borderId="22" xfId="5" applyFont="1" applyFill="1" applyBorder="1"/>
    <xf numFmtId="0" fontId="42" fillId="10" borderId="26" xfId="5" applyFont="1" applyFill="1" applyBorder="1"/>
    <xf numFmtId="0" fontId="42" fillId="10" borderId="27" xfId="5" applyFont="1" applyFill="1" applyBorder="1"/>
    <xf numFmtId="0" fontId="42" fillId="10" borderId="28" xfId="5" applyFont="1" applyFill="1" applyBorder="1"/>
    <xf numFmtId="0" fontId="43" fillId="10" borderId="0" xfId="5" applyFont="1" applyFill="1" applyBorder="1"/>
    <xf numFmtId="0" fontId="42" fillId="10" borderId="23" xfId="5" applyFont="1" applyFill="1" applyBorder="1"/>
    <xf numFmtId="0" fontId="42" fillId="10" borderId="7" xfId="5" applyFont="1" applyFill="1" applyBorder="1"/>
    <xf numFmtId="0" fontId="42" fillId="10" borderId="5" xfId="5" applyFont="1" applyFill="1" applyBorder="1"/>
    <xf numFmtId="0" fontId="42" fillId="10" borderId="0" xfId="5" applyFont="1" applyFill="1" applyBorder="1"/>
    <xf numFmtId="0" fontId="45" fillId="10" borderId="26" xfId="5" applyFont="1" applyFill="1" applyBorder="1" applyAlignment="1" applyProtection="1">
      <alignment vertical="center"/>
      <protection hidden="1"/>
    </xf>
    <xf numFmtId="0" fontId="44" fillId="10" borderId="0" xfId="5" applyFont="1" applyFill="1" applyBorder="1"/>
    <xf numFmtId="0" fontId="42" fillId="10" borderId="6" xfId="5" applyFont="1" applyFill="1" applyBorder="1"/>
    <xf numFmtId="14" fontId="42" fillId="10" borderId="0" xfId="5" applyNumberFormat="1" applyFont="1" applyFill="1"/>
    <xf numFmtId="0" fontId="46" fillId="10" borderId="0" xfId="5" applyFont="1" applyFill="1"/>
    <xf numFmtId="164" fontId="43" fillId="10" borderId="3" xfId="5" applyNumberFormat="1" applyFont="1" applyFill="1" applyBorder="1" applyAlignment="1">
      <alignment horizontal="right"/>
    </xf>
    <xf numFmtId="0" fontId="44" fillId="10" borderId="0" xfId="5" applyFont="1" applyFill="1" applyBorder="1" applyAlignment="1" applyProtection="1">
      <alignment vertical="center" wrapText="1"/>
      <protection hidden="1"/>
    </xf>
    <xf numFmtId="0" fontId="43" fillId="10" borderId="3" xfId="5" applyFont="1" applyFill="1" applyBorder="1" applyAlignment="1">
      <alignment horizontal="right"/>
    </xf>
    <xf numFmtId="0" fontId="43" fillId="10" borderId="0" xfId="5" applyFont="1" applyFill="1" applyBorder="1" applyAlignment="1">
      <alignment horizontal="right"/>
    </xf>
    <xf numFmtId="164" fontId="43" fillId="10" borderId="0" xfId="5" applyNumberFormat="1" applyFont="1" applyFill="1" applyBorder="1" applyAlignment="1">
      <alignment horizontal="right"/>
    </xf>
    <xf numFmtId="0" fontId="44" fillId="10" borderId="0" xfId="5" applyFont="1" applyFill="1" applyBorder="1" applyAlignment="1">
      <alignment wrapText="1"/>
    </xf>
    <xf numFmtId="0" fontId="42" fillId="10" borderId="0" xfId="5" applyFont="1" applyFill="1" applyBorder="1" applyAlignment="1" applyProtection="1">
      <alignment vertical="center" wrapText="1"/>
      <protection hidden="1"/>
    </xf>
    <xf numFmtId="49" fontId="46" fillId="10" borderId="0" xfId="5" quotePrefix="1" applyNumberFormat="1" applyFont="1" applyFill="1" applyBorder="1" applyAlignment="1">
      <alignment horizontal="left" vertical="center" wrapText="1"/>
    </xf>
    <xf numFmtId="0" fontId="3" fillId="0" borderId="9" xfId="0" applyFont="1" applyBorder="1" applyAlignment="1">
      <alignment horizontal="center" vertical="center"/>
    </xf>
    <xf numFmtId="0" fontId="1" fillId="0" borderId="18" xfId="0" applyFont="1" applyBorder="1"/>
    <xf numFmtId="0" fontId="0" fillId="0" borderId="18" xfId="0" applyBorder="1"/>
    <xf numFmtId="14" fontId="0" fillId="0" borderId="18" xfId="0" applyNumberFormat="1" applyBorder="1"/>
    <xf numFmtId="0" fontId="3" fillId="0" borderId="18" xfId="0" applyFont="1" applyBorder="1" applyAlignment="1">
      <alignment wrapText="1"/>
    </xf>
    <xf numFmtId="0" fontId="7" fillId="0" borderId="0" xfId="0" applyFont="1"/>
    <xf numFmtId="0" fontId="3" fillId="0" borderId="9" xfId="0" applyFont="1" applyBorder="1" applyAlignment="1">
      <alignment horizontal="center" vertical="center"/>
    </xf>
    <xf numFmtId="0" fontId="1" fillId="0" borderId="12" xfId="0" applyFont="1" applyFill="1" applyBorder="1"/>
    <xf numFmtId="0" fontId="0" fillId="0" borderId="22" xfId="0" applyFill="1" applyBorder="1"/>
    <xf numFmtId="0" fontId="3" fillId="0" borderId="11" xfId="0" applyFont="1" applyFill="1" applyBorder="1" applyAlignment="1">
      <alignment horizontal="center"/>
    </xf>
    <xf numFmtId="0" fontId="3" fillId="0" borderId="10" xfId="0" applyFont="1" applyFill="1" applyBorder="1" applyAlignment="1">
      <alignment horizontal="center"/>
    </xf>
    <xf numFmtId="0" fontId="3" fillId="0" borderId="9" xfId="0" applyFont="1" applyFill="1" applyBorder="1" applyAlignment="1">
      <alignment horizontal="center"/>
    </xf>
    <xf numFmtId="9" fontId="0" fillId="0" borderId="28" xfId="0" applyNumberFormat="1" applyFill="1" applyBorder="1"/>
    <xf numFmtId="9" fontId="0" fillId="0" borderId="0" xfId="0" applyNumberFormat="1" applyFill="1" applyBorder="1"/>
    <xf numFmtId="9" fontId="0" fillId="0" borderId="23" xfId="0" applyNumberFormat="1" applyFill="1" applyBorder="1"/>
    <xf numFmtId="0" fontId="0" fillId="0" borderId="12" xfId="0" applyFill="1" applyBorder="1"/>
    <xf numFmtId="0" fontId="0" fillId="0" borderId="4" xfId="0" applyFill="1" applyBorder="1"/>
    <xf numFmtId="9" fontId="0" fillId="0" borderId="7" xfId="0" applyNumberFormat="1" applyFill="1" applyBorder="1"/>
    <xf numFmtId="9" fontId="0" fillId="0" borderId="6" xfId="0" applyNumberFormat="1" applyFill="1" applyBorder="1"/>
    <xf numFmtId="9" fontId="0" fillId="0" borderId="5" xfId="0" applyNumberFormat="1" applyFill="1" applyBorder="1"/>
    <xf numFmtId="14" fontId="0" fillId="0" borderId="7" xfId="0" applyNumberFormat="1" applyBorder="1"/>
    <xf numFmtId="0" fontId="3" fillId="11" borderId="0" xfId="0" applyFont="1" applyFill="1"/>
    <xf numFmtId="0" fontId="0" fillId="11" borderId="0" xfId="0" applyFill="1"/>
    <xf numFmtId="0" fontId="3" fillId="11" borderId="22" xfId="0" applyFont="1" applyFill="1" applyBorder="1"/>
    <xf numFmtId="0" fontId="3" fillId="11" borderId="26" xfId="0" applyFont="1" applyFill="1" applyBorder="1"/>
    <xf numFmtId="0" fontId="3" fillId="11" borderId="27" xfId="0" applyNumberFormat="1" applyFont="1" applyFill="1" applyBorder="1"/>
    <xf numFmtId="0" fontId="0" fillId="11" borderId="8" xfId="0" applyFill="1" applyBorder="1"/>
    <xf numFmtId="0" fontId="3" fillId="11" borderId="10" xfId="0" applyFont="1" applyFill="1" applyBorder="1"/>
    <xf numFmtId="14" fontId="0" fillId="11" borderId="11" xfId="0" applyNumberFormat="1" applyFill="1" applyBorder="1"/>
    <xf numFmtId="14" fontId="0" fillId="11" borderId="10" xfId="0" applyNumberFormat="1" applyFill="1" applyBorder="1"/>
    <xf numFmtId="14" fontId="0" fillId="11" borderId="9" xfId="0" applyNumberFormat="1" applyFill="1" applyBorder="1"/>
    <xf numFmtId="14" fontId="0" fillId="11" borderId="22" xfId="0" applyNumberFormat="1" applyFill="1" applyBorder="1"/>
    <xf numFmtId="14" fontId="0" fillId="11" borderId="27" xfId="0" applyNumberFormat="1" applyFill="1" applyBorder="1"/>
    <xf numFmtId="0" fontId="3" fillId="11" borderId="0" xfId="0" applyFont="1" applyFill="1" applyBorder="1"/>
    <xf numFmtId="0" fontId="0" fillId="11" borderId="28" xfId="0" applyFill="1" applyBorder="1"/>
    <xf numFmtId="0" fontId="0" fillId="11" borderId="0" xfId="0" applyFill="1" applyBorder="1"/>
    <xf numFmtId="0" fontId="0" fillId="11" borderId="23" xfId="0" applyFill="1" applyBorder="1"/>
    <xf numFmtId="0" fontId="3" fillId="11" borderId="27" xfId="0" applyFont="1" applyFill="1" applyBorder="1"/>
    <xf numFmtId="167" fontId="0" fillId="11" borderId="28" xfId="0" applyNumberFormat="1" applyFill="1" applyBorder="1"/>
    <xf numFmtId="167" fontId="0" fillId="11" borderId="0" xfId="0" applyNumberFormat="1" applyFill="1" applyBorder="1"/>
    <xf numFmtId="167" fontId="0" fillId="11" borderId="23" xfId="0" applyNumberFormat="1" applyFill="1" applyBorder="1"/>
    <xf numFmtId="0" fontId="3" fillId="11" borderId="23" xfId="0" applyFont="1" applyFill="1" applyBorder="1"/>
    <xf numFmtId="0" fontId="3" fillId="11" borderId="5" xfId="0" applyFont="1" applyFill="1" applyBorder="1"/>
    <xf numFmtId="167" fontId="0" fillId="11" borderId="7" xfId="0" applyNumberFormat="1" applyFill="1" applyBorder="1"/>
    <xf numFmtId="167" fontId="0" fillId="11" borderId="6" xfId="0" applyNumberFormat="1" applyFill="1" applyBorder="1"/>
    <xf numFmtId="167" fontId="0" fillId="11" borderId="5" xfId="0" applyNumberFormat="1" applyFill="1" applyBorder="1"/>
    <xf numFmtId="4" fontId="0" fillId="11" borderId="22" xfId="0" applyNumberFormat="1" applyFill="1" applyBorder="1"/>
    <xf numFmtId="4" fontId="0" fillId="11" borderId="26" xfId="0" applyNumberFormat="1" applyFill="1" applyBorder="1"/>
    <xf numFmtId="4" fontId="0" fillId="11" borderId="27" xfId="0" applyNumberFormat="1" applyFill="1" applyBorder="1"/>
    <xf numFmtId="0" fontId="3" fillId="11" borderId="4" xfId="0" applyFont="1" applyFill="1" applyBorder="1"/>
    <xf numFmtId="4" fontId="0" fillId="11" borderId="7" xfId="0" applyNumberFormat="1" applyFill="1" applyBorder="1" applyAlignment="1">
      <alignment horizontal="right"/>
    </xf>
    <xf numFmtId="4" fontId="0" fillId="11" borderId="6" xfId="0" applyNumberFormat="1" applyFill="1" applyBorder="1" applyAlignment="1">
      <alignment horizontal="right"/>
    </xf>
    <xf numFmtId="4" fontId="0" fillId="11" borderId="5" xfId="0" applyNumberFormat="1" applyFill="1" applyBorder="1"/>
    <xf numFmtId="0" fontId="3" fillId="0" borderId="0" xfId="0" applyFont="1" applyFill="1"/>
    <xf numFmtId="0" fontId="1" fillId="0" borderId="0" xfId="0" applyFont="1" applyFill="1"/>
    <xf numFmtId="0" fontId="3" fillId="0" borderId="3" xfId="0" applyFont="1" applyFill="1" applyBorder="1"/>
    <xf numFmtId="0" fontId="0" fillId="0" borderId="3" xfId="0" applyFill="1" applyBorder="1"/>
    <xf numFmtId="0" fontId="0" fillId="0" borderId="0" xfId="0" applyFill="1" applyBorder="1"/>
    <xf numFmtId="0" fontId="50" fillId="0" borderId="10" xfId="0" applyFont="1" applyBorder="1"/>
    <xf numFmtId="0" fontId="50" fillId="0" borderId="0" xfId="0" applyFont="1"/>
    <xf numFmtId="0" fontId="49" fillId="0" borderId="0" xfId="0" applyFont="1"/>
    <xf numFmtId="0" fontId="50" fillId="0" borderId="17" xfId="0" applyFont="1" applyBorder="1"/>
    <xf numFmtId="166" fontId="49" fillId="0" borderId="17" xfId="0" applyNumberFormat="1" applyFont="1" applyBorder="1"/>
    <xf numFmtId="0" fontId="50" fillId="0" borderId="0" xfId="0" applyFont="1" applyBorder="1"/>
    <xf numFmtId="166" fontId="49" fillId="0" borderId="0" xfId="0" applyNumberFormat="1" applyFont="1" applyBorder="1"/>
    <xf numFmtId="0" fontId="50" fillId="0" borderId="6" xfId="0" applyFont="1" applyBorder="1"/>
    <xf numFmtId="166" fontId="49" fillId="0" borderId="6" xfId="0" applyNumberFormat="1" applyFont="1" applyBorder="1"/>
    <xf numFmtId="0" fontId="39" fillId="0" borderId="0" xfId="0" applyFont="1"/>
    <xf numFmtId="0" fontId="48" fillId="0" borderId="0" xfId="0" applyFont="1" applyAlignment="1"/>
    <xf numFmtId="0" fontId="48" fillId="0" borderId="6" xfId="0" applyFont="1" applyBorder="1" applyAlignment="1">
      <alignment wrapText="1"/>
    </xf>
    <xf numFmtId="0" fontId="48" fillId="0" borderId="6" xfId="0" applyFont="1" applyBorder="1"/>
    <xf numFmtId="0" fontId="48" fillId="0" borderId="0" xfId="0" applyFont="1"/>
    <xf numFmtId="168" fontId="0" fillId="0" borderId="0" xfId="8" applyNumberFormat="1" applyFont="1"/>
    <xf numFmtId="168" fontId="0" fillId="0" borderId="6" xfId="8" applyNumberFormat="1" applyFont="1" applyBorder="1"/>
    <xf numFmtId="0" fontId="3" fillId="11" borderId="29" xfId="0" applyFont="1" applyFill="1" applyBorder="1"/>
    <xf numFmtId="4" fontId="0" fillId="11" borderId="30" xfId="0" applyNumberFormat="1" applyFill="1" applyBorder="1" applyAlignment="1">
      <alignment horizontal="right"/>
    </xf>
    <xf numFmtId="4" fontId="0" fillId="11" borderId="17" xfId="0" applyNumberFormat="1" applyFill="1" applyBorder="1"/>
    <xf numFmtId="4" fontId="0" fillId="11" borderId="31" xfId="0" applyNumberFormat="1" applyFill="1" applyBorder="1"/>
    <xf numFmtId="0" fontId="3" fillId="11" borderId="12" xfId="0" applyFont="1" applyFill="1" applyBorder="1"/>
    <xf numFmtId="4" fontId="0" fillId="11" borderId="28" xfId="0" applyNumberFormat="1" applyFill="1" applyBorder="1" applyAlignment="1">
      <alignment horizontal="right"/>
    </xf>
    <xf numFmtId="4" fontId="0" fillId="11" borderId="0" xfId="0" applyNumberFormat="1" applyFill="1" applyBorder="1" applyAlignment="1">
      <alignment horizontal="right"/>
    </xf>
    <xf numFmtId="4" fontId="0" fillId="11" borderId="23" xfId="0" applyNumberFormat="1" applyFill="1" applyBorder="1"/>
    <xf numFmtId="2" fontId="20" fillId="0" borderId="0" xfId="0" applyNumberFormat="1" applyFont="1"/>
    <xf numFmtId="1" fontId="33" fillId="0" borderId="0" xfId="0" applyNumberFormat="1" applyFont="1" applyFill="1" applyBorder="1" applyAlignment="1">
      <alignment horizontal="right" vertical="center"/>
    </xf>
    <xf numFmtId="1" fontId="0" fillId="0" borderId="12" xfId="0" applyNumberFormat="1" applyBorder="1"/>
    <xf numFmtId="3" fontId="1" fillId="0" borderId="22" xfId="0" applyNumberFormat="1" applyFont="1" applyBorder="1"/>
    <xf numFmtId="3" fontId="1" fillId="0" borderId="27" xfId="0" applyNumberFormat="1" applyFont="1" applyBorder="1"/>
    <xf numFmtId="3" fontId="1" fillId="0" borderId="23" xfId="0" applyNumberFormat="1" applyFont="1" applyBorder="1"/>
    <xf numFmtId="3" fontId="1" fillId="0" borderId="5" xfId="0" applyNumberFormat="1" applyFont="1" applyBorder="1"/>
    <xf numFmtId="3" fontId="1" fillId="0" borderId="26" xfId="0" applyNumberFormat="1" applyFont="1" applyBorder="1"/>
    <xf numFmtId="3" fontId="1" fillId="0" borderId="6" xfId="0" applyNumberFormat="1" applyFont="1" applyBorder="1"/>
    <xf numFmtId="14" fontId="0" fillId="11" borderId="26" xfId="0" applyNumberFormat="1" applyFill="1" applyBorder="1"/>
    <xf numFmtId="14" fontId="0" fillId="11" borderId="7" xfId="0" applyNumberFormat="1" applyFill="1" applyBorder="1"/>
    <xf numFmtId="14" fontId="0" fillId="11" borderId="6" xfId="0" applyNumberFormat="1" applyFill="1" applyBorder="1"/>
    <xf numFmtId="14" fontId="0" fillId="11" borderId="5" xfId="0" applyNumberFormat="1" applyFill="1" applyBorder="1"/>
    <xf numFmtId="0" fontId="1" fillId="8" borderId="27" xfId="0" applyFont="1" applyFill="1" applyBorder="1"/>
    <xf numFmtId="0" fontId="1" fillId="0" borderId="28" xfId="0" applyFont="1" applyBorder="1"/>
    <xf numFmtId="2" fontId="0" fillId="0" borderId="28" xfId="0" applyNumberFormat="1" applyBorder="1"/>
    <xf numFmtId="2" fontId="0" fillId="0" borderId="7" xfId="0" applyNumberFormat="1" applyBorder="1"/>
    <xf numFmtId="2" fontId="1" fillId="0" borderId="22" xfId="0" applyNumberFormat="1" applyFont="1" applyFill="1" applyBorder="1"/>
    <xf numFmtId="0" fontId="0" fillId="0" borderId="27" xfId="0" applyFill="1" applyBorder="1"/>
    <xf numFmtId="0" fontId="0" fillId="0" borderId="23" xfId="0" applyFill="1" applyBorder="1"/>
    <xf numFmtId="0" fontId="0" fillId="0" borderId="5" xfId="0" applyFill="1" applyBorder="1"/>
    <xf numFmtId="0" fontId="3" fillId="0" borderId="4" xfId="0" applyFont="1" applyFill="1" applyBorder="1" applyAlignment="1">
      <alignment horizontal="left"/>
    </xf>
    <xf numFmtId="0" fontId="3" fillId="0" borderId="25" xfId="0" applyFont="1" applyFill="1" applyBorder="1" applyAlignment="1">
      <alignment horizontal="left"/>
    </xf>
    <xf numFmtId="4" fontId="0" fillId="12" borderId="26" xfId="0" applyNumberFormat="1" applyFill="1" applyBorder="1" applyAlignment="1">
      <alignment horizontal="right"/>
    </xf>
    <xf numFmtId="4" fontId="0" fillId="12" borderId="0" xfId="0" applyNumberFormat="1" applyFill="1" applyBorder="1" applyAlignment="1">
      <alignment horizontal="right"/>
    </xf>
    <xf numFmtId="167" fontId="0" fillId="12" borderId="27" xfId="0" applyNumberFormat="1" applyFill="1" applyBorder="1"/>
    <xf numFmtId="167" fontId="1" fillId="12" borderId="5" xfId="0" applyNumberFormat="1" applyFont="1" applyFill="1" applyBorder="1"/>
    <xf numFmtId="3" fontId="0" fillId="0" borderId="22" xfId="0" applyNumberFormat="1" applyFill="1" applyBorder="1"/>
    <xf numFmtId="3" fontId="0" fillId="0" borderId="26" xfId="0" applyNumberFormat="1" applyFill="1" applyBorder="1"/>
    <xf numFmtId="3" fontId="0" fillId="0" borderId="27" xfId="0" applyNumberFormat="1" applyFill="1" applyBorder="1"/>
    <xf numFmtId="3" fontId="0" fillId="0" borderId="28" xfId="0" applyNumberFormat="1" applyFill="1" applyBorder="1"/>
    <xf numFmtId="3" fontId="0" fillId="0" borderId="0" xfId="0" applyNumberFormat="1" applyFill="1" applyBorder="1"/>
    <xf numFmtId="3" fontId="0" fillId="0" borderId="23" xfId="0" applyNumberFormat="1" applyFill="1" applyBorder="1"/>
    <xf numFmtId="4" fontId="0" fillId="0" borderId="7" xfId="0" applyNumberFormat="1" applyFill="1" applyBorder="1"/>
    <xf numFmtId="4" fontId="0" fillId="0" borderId="6" xfId="0" applyNumberFormat="1" applyFill="1" applyBorder="1"/>
    <xf numFmtId="4" fontId="0" fillId="0" borderId="5" xfId="0" applyNumberFormat="1" applyFill="1" applyBorder="1"/>
    <xf numFmtId="4" fontId="0" fillId="0" borderId="25" xfId="0" applyNumberFormat="1" applyFill="1" applyBorder="1"/>
    <xf numFmtId="4" fontId="0" fillId="0" borderId="12" xfId="0" applyNumberFormat="1" applyFill="1" applyBorder="1"/>
    <xf numFmtId="4" fontId="0" fillId="0" borderId="4" xfId="0" applyNumberFormat="1" applyFill="1" applyBorder="1"/>
    <xf numFmtId="0" fontId="1" fillId="0" borderId="0" xfId="0" applyFont="1" applyFill="1" applyBorder="1" applyAlignment="1">
      <alignment wrapText="1"/>
    </xf>
    <xf numFmtId="0" fontId="0" fillId="10" borderId="0" xfId="0" applyFill="1" applyProtection="1">
      <protection hidden="1"/>
    </xf>
    <xf numFmtId="0" fontId="0" fillId="0" borderId="17" xfId="0" applyBorder="1" applyProtection="1">
      <protection hidden="1"/>
    </xf>
    <xf numFmtId="0" fontId="0" fillId="10" borderId="13" xfId="0" applyFill="1" applyBorder="1" applyProtection="1">
      <protection hidden="1"/>
    </xf>
    <xf numFmtId="0" fontId="1" fillId="10" borderId="0" xfId="0" applyFont="1" applyFill="1" applyProtection="1">
      <protection hidden="1"/>
    </xf>
    <xf numFmtId="0" fontId="0" fillId="10" borderId="37" xfId="0" applyFill="1" applyBorder="1" applyProtection="1">
      <protection hidden="1"/>
    </xf>
    <xf numFmtId="0" fontId="26" fillId="12" borderId="3" xfId="0" applyFont="1" applyFill="1" applyBorder="1" applyAlignment="1" applyProtection="1">
      <alignment horizontal="center"/>
    </xf>
    <xf numFmtId="0" fontId="27" fillId="10" borderId="0" xfId="5" applyFont="1" applyFill="1" applyBorder="1" applyProtection="1">
      <protection hidden="1"/>
    </xf>
    <xf numFmtId="0" fontId="12" fillId="10" borderId="0" xfId="5" applyFont="1" applyFill="1" applyBorder="1" applyProtection="1">
      <protection hidden="1"/>
    </xf>
    <xf numFmtId="0" fontId="1" fillId="10" borderId="0" xfId="5" applyFill="1" applyBorder="1" applyProtection="1">
      <protection hidden="1"/>
    </xf>
    <xf numFmtId="0" fontId="1" fillId="0" borderId="0" xfId="5" applyFill="1" applyBorder="1" applyProtection="1">
      <protection hidden="1"/>
    </xf>
    <xf numFmtId="0" fontId="1" fillId="0" borderId="0" xfId="5" applyBorder="1"/>
    <xf numFmtId="0" fontId="1" fillId="0" borderId="0" xfId="5" applyFont="1" applyFill="1" applyBorder="1" applyProtection="1">
      <protection hidden="1"/>
    </xf>
    <xf numFmtId="0" fontId="1" fillId="0" borderId="0" xfId="5" quotePrefix="1" applyFont="1" applyFill="1" applyBorder="1" applyAlignment="1" applyProtection="1">
      <alignment vertical="center" wrapText="1"/>
      <protection hidden="1"/>
    </xf>
    <xf numFmtId="0" fontId="1" fillId="0" borderId="0" xfId="5" applyFont="1" applyFill="1" applyBorder="1" applyAlignment="1" applyProtection="1">
      <alignment wrapText="1"/>
      <protection hidden="1"/>
    </xf>
    <xf numFmtId="0" fontId="1" fillId="0" borderId="0" xfId="5" applyBorder="1" applyAlignment="1">
      <alignment wrapText="1"/>
    </xf>
    <xf numFmtId="0" fontId="1" fillId="0" borderId="0" xfId="5" applyFill="1" applyBorder="1"/>
    <xf numFmtId="0" fontId="54" fillId="13" borderId="0" xfId="0" applyFont="1" applyFill="1" applyBorder="1" applyProtection="1"/>
    <xf numFmtId="0" fontId="1" fillId="13" borderId="0" xfId="0" applyFont="1" applyFill="1" applyBorder="1" applyProtection="1">
      <protection hidden="1"/>
    </xf>
    <xf numFmtId="0" fontId="1" fillId="10" borderId="0" xfId="0" applyFont="1" applyFill="1" applyBorder="1" applyProtection="1">
      <protection hidden="1"/>
    </xf>
    <xf numFmtId="0" fontId="0" fillId="10" borderId="0" xfId="0" applyFill="1" applyBorder="1" applyProtection="1">
      <protection hidden="1"/>
    </xf>
    <xf numFmtId="0" fontId="58" fillId="9" borderId="0" xfId="0" applyFont="1" applyFill="1" applyBorder="1"/>
    <xf numFmtId="49" fontId="1" fillId="9" borderId="0" xfId="0" quotePrefix="1" applyNumberFormat="1" applyFont="1" applyFill="1" applyBorder="1" applyAlignment="1">
      <alignment horizontal="left" vertical="center"/>
    </xf>
    <xf numFmtId="49" fontId="1" fillId="9" borderId="0" xfId="0" applyNumberFormat="1" applyFont="1" applyFill="1" applyBorder="1" applyAlignment="1">
      <alignment vertical="center" wrapText="1"/>
    </xf>
    <xf numFmtId="0" fontId="59" fillId="14" borderId="39" xfId="0" applyFont="1" applyFill="1" applyBorder="1" applyAlignment="1">
      <alignment horizontal="center" wrapText="1"/>
    </xf>
    <xf numFmtId="14" fontId="61" fillId="14" borderId="39" xfId="0" applyNumberFormat="1" applyFont="1" applyFill="1" applyBorder="1" applyAlignment="1">
      <alignment horizontal="center" wrapText="1"/>
    </xf>
    <xf numFmtId="0" fontId="59" fillId="14" borderId="40" xfId="0" applyFont="1" applyFill="1" applyBorder="1" applyAlignment="1">
      <alignment horizontal="center" vertical="top" wrapText="1"/>
    </xf>
    <xf numFmtId="0" fontId="59" fillId="14" borderId="41" xfId="0" applyFont="1" applyFill="1" applyBorder="1" applyAlignment="1">
      <alignment horizontal="center" wrapText="1"/>
    </xf>
    <xf numFmtId="0" fontId="60" fillId="14" borderId="39" xfId="0" applyFont="1" applyFill="1" applyBorder="1" applyAlignment="1">
      <alignment horizontal="center" vertical="top" wrapText="1"/>
    </xf>
    <xf numFmtId="14" fontId="61" fillId="14" borderId="41" xfId="0" applyNumberFormat="1" applyFont="1" applyFill="1" applyBorder="1" applyAlignment="1">
      <alignment horizontal="center" wrapText="1"/>
    </xf>
    <xf numFmtId="0" fontId="62" fillId="0" borderId="0" xfId="0" applyFont="1" applyAlignment="1">
      <alignment horizontal="left" vertical="center"/>
    </xf>
    <xf numFmtId="0" fontId="1" fillId="0" borderId="0" xfId="0" applyFont="1" applyBorder="1" applyAlignment="1">
      <alignment horizontal="center"/>
    </xf>
    <xf numFmtId="14" fontId="1" fillId="0" borderId="0" xfId="0" applyNumberFormat="1" applyFont="1" applyBorder="1" applyAlignment="1">
      <alignment horizontal="center"/>
    </xf>
    <xf numFmtId="0" fontId="21" fillId="0" borderId="0" xfId="0" applyFont="1" applyBorder="1" applyAlignment="1">
      <alignment horizontal="center" vertical="top"/>
    </xf>
    <xf numFmtId="14" fontId="21" fillId="0" borderId="0" xfId="0" applyNumberFormat="1" applyFont="1" applyBorder="1" applyAlignment="1">
      <alignment horizontal="center" vertical="top"/>
    </xf>
    <xf numFmtId="0" fontId="59" fillId="14" borderId="39" xfId="0" applyFont="1" applyFill="1" applyBorder="1" applyAlignment="1">
      <alignment horizontal="left" wrapText="1"/>
    </xf>
    <xf numFmtId="0" fontId="59" fillId="14" borderId="40" xfId="0" applyFont="1" applyFill="1" applyBorder="1" applyAlignment="1">
      <alignment horizontal="left" vertical="top" wrapText="1"/>
    </xf>
    <xf numFmtId="0" fontId="59" fillId="14" borderId="41" xfId="0" applyFont="1" applyFill="1" applyBorder="1" applyAlignment="1">
      <alignment horizontal="left" wrapText="1"/>
    </xf>
    <xf numFmtId="0" fontId="60" fillId="14" borderId="39" xfId="0" applyFont="1" applyFill="1" applyBorder="1" applyAlignment="1">
      <alignment horizontal="left" vertical="top" wrapText="1"/>
    </xf>
    <xf numFmtId="14" fontId="61" fillId="14" borderId="39" xfId="0" applyNumberFormat="1" applyFont="1" applyFill="1" applyBorder="1" applyAlignment="1">
      <alignment horizontal="center" vertical="top" wrapText="1"/>
    </xf>
    <xf numFmtId="14" fontId="61" fillId="14" borderId="41" xfId="0" applyNumberFormat="1" applyFont="1" applyFill="1" applyBorder="1" applyAlignment="1">
      <alignment horizontal="center" vertical="top" wrapText="1"/>
    </xf>
    <xf numFmtId="0" fontId="61" fillId="14" borderId="39" xfId="0" applyFont="1" applyFill="1" applyBorder="1" applyAlignment="1">
      <alignment horizontal="center" vertical="top" wrapText="1"/>
    </xf>
    <xf numFmtId="0" fontId="61" fillId="14" borderId="41" xfId="0" applyFont="1" applyFill="1" applyBorder="1" applyAlignment="1">
      <alignment horizontal="center" vertical="top" wrapText="1"/>
    </xf>
    <xf numFmtId="0" fontId="59" fillId="14" borderId="39" xfId="0" applyFont="1" applyFill="1" applyBorder="1" applyAlignment="1">
      <alignment horizontal="center" vertical="top" wrapText="1"/>
    </xf>
    <xf numFmtId="0" fontId="59" fillId="14" borderId="41" xfId="0" applyFont="1" applyFill="1" applyBorder="1" applyAlignment="1">
      <alignment horizontal="center" vertical="top" wrapText="1"/>
    </xf>
    <xf numFmtId="0" fontId="1" fillId="0" borderId="7" xfId="0" applyFont="1" applyFill="1" applyBorder="1"/>
    <xf numFmtId="0" fontId="0" fillId="0" borderId="5" xfId="0" applyBorder="1"/>
    <xf numFmtId="0" fontId="1" fillId="0" borderId="22" xfId="0" applyFont="1" applyBorder="1"/>
    <xf numFmtId="0" fontId="1" fillId="0" borderId="28" xfId="0" applyFont="1" applyFill="1" applyBorder="1"/>
    <xf numFmtId="166" fontId="0" fillId="0" borderId="25" xfId="0" applyNumberFormat="1" applyBorder="1"/>
    <xf numFmtId="166" fontId="0" fillId="0" borderId="12" xfId="0" applyNumberFormat="1" applyBorder="1"/>
    <xf numFmtId="0" fontId="0" fillId="0" borderId="12" xfId="0" applyBorder="1"/>
    <xf numFmtId="166" fontId="0" fillId="0" borderId="12" xfId="0" applyNumberFormat="1" applyBorder="1" applyAlignment="1">
      <alignment horizontal="right"/>
    </xf>
    <xf numFmtId="0" fontId="0" fillId="0" borderId="12" xfId="0" applyBorder="1" applyAlignment="1">
      <alignment horizontal="right"/>
    </xf>
    <xf numFmtId="0" fontId="0" fillId="0" borderId="12" xfId="0" applyNumberFormat="1" applyBorder="1"/>
    <xf numFmtId="0" fontId="0" fillId="0" borderId="36" xfId="0" applyBorder="1"/>
    <xf numFmtId="0" fontId="1" fillId="0" borderId="15" xfId="0" applyFont="1" applyBorder="1"/>
    <xf numFmtId="0" fontId="0" fillId="0" borderId="13" xfId="0" applyBorder="1"/>
    <xf numFmtId="0" fontId="0" fillId="0" borderId="37" xfId="0" applyBorder="1"/>
    <xf numFmtId="0" fontId="0" fillId="0" borderId="15" xfId="0" applyBorder="1"/>
    <xf numFmtId="0" fontId="1" fillId="0" borderId="35" xfId="0" applyFont="1" applyBorder="1"/>
    <xf numFmtId="0" fontId="1" fillId="0" borderId="44" xfId="0" applyFont="1" applyBorder="1"/>
    <xf numFmtId="0" fontId="0" fillId="0" borderId="24" xfId="0" applyBorder="1"/>
    <xf numFmtId="0" fontId="0" fillId="0" borderId="44" xfId="0" applyBorder="1"/>
    <xf numFmtId="0" fontId="0" fillId="0" borderId="35" xfId="0" applyBorder="1"/>
    <xf numFmtId="0" fontId="0" fillId="0" borderId="16" xfId="0" applyBorder="1"/>
    <xf numFmtId="0" fontId="1" fillId="0" borderId="35" xfId="0" applyFont="1" applyFill="1" applyBorder="1"/>
    <xf numFmtId="0" fontId="37" fillId="0" borderId="0" xfId="0" applyFont="1" applyFill="1" applyBorder="1"/>
    <xf numFmtId="0" fontId="37" fillId="0" borderId="28" xfId="0" applyFont="1" applyBorder="1"/>
    <xf numFmtId="14" fontId="0" fillId="0" borderId="24" xfId="0" applyNumberFormat="1" applyBorder="1"/>
    <xf numFmtId="0" fontId="0" fillId="0" borderId="19" xfId="0" applyBorder="1"/>
    <xf numFmtId="0" fontId="0" fillId="0" borderId="20" xfId="0" applyBorder="1"/>
    <xf numFmtId="0" fontId="1" fillId="0" borderId="11" xfId="0" applyFont="1" applyFill="1" applyBorder="1"/>
    <xf numFmtId="0" fontId="1" fillId="0" borderId="8" xfId="0" applyFont="1" applyBorder="1"/>
    <xf numFmtId="0" fontId="1" fillId="0" borderId="45" xfId="0" applyFont="1" applyBorder="1"/>
    <xf numFmtId="0" fontId="0" fillId="0" borderId="30" xfId="0" applyBorder="1"/>
    <xf numFmtId="0" fontId="0" fillId="0" borderId="46" xfId="0" applyFont="1" applyFill="1" applyBorder="1"/>
    <xf numFmtId="0" fontId="0" fillId="0" borderId="47" xfId="0" applyBorder="1"/>
    <xf numFmtId="0" fontId="0" fillId="0" borderId="33" xfId="0" applyBorder="1"/>
    <xf numFmtId="0" fontId="0" fillId="0" borderId="45" xfId="0" applyBorder="1"/>
    <xf numFmtId="0" fontId="1" fillId="0" borderId="30" xfId="0" applyFont="1" applyBorder="1"/>
    <xf numFmtId="0" fontId="0" fillId="0" borderId="30" xfId="0" applyFill="1" applyBorder="1"/>
    <xf numFmtId="0" fontId="1" fillId="0" borderId="45" xfId="0" applyFont="1" applyFill="1" applyBorder="1"/>
    <xf numFmtId="0" fontId="37" fillId="0" borderId="7" xfId="0" applyFont="1" applyBorder="1"/>
    <xf numFmtId="0" fontId="3" fillId="0" borderId="9" xfId="0" applyNumberFormat="1" applyFont="1" applyBorder="1"/>
    <xf numFmtId="4" fontId="37" fillId="0" borderId="0" xfId="0" applyNumberFormat="1" applyFont="1"/>
    <xf numFmtId="1" fontId="1" fillId="0" borderId="28" xfId="0" applyNumberFormat="1" applyFont="1" applyBorder="1"/>
    <xf numFmtId="0" fontId="1" fillId="0" borderId="0" xfId="0" applyFont="1" applyFill="1" applyBorder="1" applyProtection="1">
      <protection hidden="1"/>
    </xf>
    <xf numFmtId="0" fontId="54" fillId="0" borderId="0" xfId="0" applyFont="1" applyFill="1" applyBorder="1" applyAlignment="1" applyProtection="1">
      <alignment horizontal="left"/>
      <protection hidden="1"/>
    </xf>
    <xf numFmtId="0" fontId="24" fillId="10" borderId="0" xfId="0" applyFont="1" applyFill="1" applyProtection="1">
      <protection hidden="1"/>
    </xf>
    <xf numFmtId="0" fontId="56" fillId="10" borderId="0" xfId="0" applyFont="1" applyFill="1" applyBorder="1" applyProtection="1">
      <protection hidden="1"/>
    </xf>
    <xf numFmtId="0" fontId="27" fillId="10" borderId="0" xfId="0" applyFont="1" applyFill="1" applyBorder="1" applyProtection="1">
      <protection hidden="1"/>
    </xf>
    <xf numFmtId="0" fontId="12" fillId="10" borderId="0" xfId="0" applyFont="1" applyFill="1" applyBorder="1" applyProtection="1">
      <protection hidden="1"/>
    </xf>
    <xf numFmtId="0" fontId="0" fillId="10" borderId="18" xfId="0" applyFill="1" applyBorder="1" applyProtection="1">
      <protection hidden="1"/>
    </xf>
    <xf numFmtId="0" fontId="54" fillId="10" borderId="0" xfId="0" applyFont="1" applyFill="1" applyBorder="1" applyProtection="1">
      <protection hidden="1"/>
    </xf>
    <xf numFmtId="164" fontId="56" fillId="10" borderId="0" xfId="0" applyNumberFormat="1" applyFont="1" applyFill="1" applyBorder="1" applyAlignment="1" applyProtection="1">
      <alignment horizontal="center"/>
      <protection hidden="1"/>
    </xf>
    <xf numFmtId="168" fontId="54" fillId="10" borderId="0" xfId="4" quotePrefix="1" applyNumberFormat="1" applyFont="1" applyFill="1" applyBorder="1" applyAlignment="1" applyProtection="1">
      <alignment horizontal="center" vertical="center"/>
      <protection hidden="1"/>
    </xf>
    <xf numFmtId="168" fontId="54" fillId="10" borderId="0" xfId="4" applyNumberFormat="1" applyFont="1" applyFill="1" applyBorder="1" applyAlignment="1" applyProtection="1">
      <alignment horizontal="center" vertical="center"/>
      <protection hidden="1"/>
    </xf>
    <xf numFmtId="164" fontId="54" fillId="10" borderId="0" xfId="0" applyNumberFormat="1" applyFont="1" applyFill="1" applyBorder="1" applyAlignment="1" applyProtection="1">
      <alignment horizontal="center"/>
      <protection hidden="1"/>
    </xf>
    <xf numFmtId="0" fontId="54" fillId="10" borderId="0" xfId="0" applyFont="1" applyFill="1" applyBorder="1" applyAlignment="1" applyProtection="1">
      <alignment horizontal="center" vertical="center"/>
      <protection hidden="1"/>
    </xf>
    <xf numFmtId="0" fontId="54" fillId="10" borderId="18" xfId="0" applyFont="1" applyFill="1" applyBorder="1" applyProtection="1">
      <protection hidden="1"/>
    </xf>
    <xf numFmtId="0" fontId="56" fillId="10" borderId="18" xfId="0" applyFont="1" applyFill="1" applyBorder="1" applyProtection="1">
      <protection hidden="1"/>
    </xf>
    <xf numFmtId="0" fontId="1" fillId="10" borderId="18" xfId="0" applyFont="1" applyFill="1" applyBorder="1" applyProtection="1">
      <protection hidden="1"/>
    </xf>
    <xf numFmtId="0" fontId="37" fillId="10" borderId="0" xfId="0" applyFont="1" applyFill="1" applyBorder="1" applyProtection="1">
      <protection hidden="1"/>
    </xf>
    <xf numFmtId="0" fontId="66" fillId="10" borderId="0" xfId="0" applyFont="1" applyFill="1" applyBorder="1" applyProtection="1">
      <protection hidden="1"/>
    </xf>
    <xf numFmtId="0" fontId="3" fillId="10" borderId="0" xfId="0" applyFont="1" applyFill="1" applyBorder="1" applyProtection="1">
      <protection hidden="1"/>
    </xf>
    <xf numFmtId="0" fontId="0" fillId="10" borderId="17" xfId="0" applyFill="1" applyBorder="1" applyProtection="1">
      <protection hidden="1"/>
    </xf>
    <xf numFmtId="0" fontId="0" fillId="10" borderId="36" xfId="0" applyFill="1" applyBorder="1" applyProtection="1">
      <protection hidden="1"/>
    </xf>
    <xf numFmtId="0" fontId="25" fillId="10" borderId="17" xfId="0" applyFont="1" applyFill="1" applyBorder="1" applyProtection="1"/>
    <xf numFmtId="0" fontId="3" fillId="10" borderId="17" xfId="0" applyFont="1" applyFill="1" applyBorder="1" applyProtection="1">
      <protection hidden="1"/>
    </xf>
    <xf numFmtId="0" fontId="24" fillId="10" borderId="0" xfId="0" applyFont="1" applyFill="1" applyBorder="1" applyProtection="1"/>
    <xf numFmtId="2" fontId="0" fillId="10" borderId="0" xfId="0" applyNumberFormat="1" applyFill="1" applyBorder="1" applyProtection="1">
      <protection hidden="1"/>
    </xf>
    <xf numFmtId="0" fontId="12" fillId="10" borderId="0" xfId="0" applyFont="1" applyFill="1" applyBorder="1" applyProtection="1"/>
    <xf numFmtId="0" fontId="54" fillId="10" borderId="0" xfId="0" applyFont="1" applyFill="1" applyBorder="1" applyAlignment="1" applyProtection="1">
      <alignment horizontal="left"/>
      <protection hidden="1"/>
    </xf>
    <xf numFmtId="0" fontId="54" fillId="10" borderId="0" xfId="2" applyNumberFormat="1" applyFont="1" applyFill="1" applyBorder="1" applyProtection="1">
      <protection locked="0"/>
    </xf>
    <xf numFmtId="0" fontId="37" fillId="10" borderId="13" xfId="0" applyFont="1" applyFill="1" applyBorder="1" applyProtection="1">
      <protection hidden="1"/>
    </xf>
    <xf numFmtId="0" fontId="0" fillId="10" borderId="0" xfId="0" applyFill="1" applyBorder="1" applyAlignment="1" applyProtection="1">
      <alignment horizontal="center"/>
      <protection hidden="1"/>
    </xf>
    <xf numFmtId="10" fontId="54" fillId="10" borderId="0" xfId="0" applyNumberFormat="1" applyFont="1" applyFill="1" applyBorder="1" applyProtection="1">
      <protection locked="0"/>
    </xf>
    <xf numFmtId="0" fontId="26" fillId="10" borderId="0" xfId="0" applyFont="1" applyFill="1" applyBorder="1" applyAlignment="1" applyProtection="1">
      <alignment horizontal="center"/>
    </xf>
    <xf numFmtId="0" fontId="24" fillId="10" borderId="0" xfId="2" applyNumberFormat="1" applyFont="1" applyFill="1" applyBorder="1" applyProtection="1">
      <protection locked="0"/>
    </xf>
    <xf numFmtId="0" fontId="24" fillId="10" borderId="18" xfId="0" applyFont="1" applyFill="1" applyBorder="1" applyProtection="1"/>
    <xf numFmtId="0" fontId="24" fillId="10" borderId="18" xfId="2" applyNumberFormat="1" applyFont="1" applyFill="1" applyBorder="1" applyProtection="1">
      <protection locked="0"/>
    </xf>
    <xf numFmtId="0" fontId="0" fillId="10" borderId="18" xfId="0" applyFill="1" applyBorder="1" applyAlignment="1" applyProtection="1">
      <alignment horizontal="center"/>
      <protection hidden="1"/>
    </xf>
    <xf numFmtId="0" fontId="1" fillId="10" borderId="13" xfId="0" applyFont="1" applyFill="1" applyBorder="1" applyProtection="1">
      <protection hidden="1"/>
    </xf>
    <xf numFmtId="0" fontId="1" fillId="10" borderId="37" xfId="0" applyFont="1" applyFill="1" applyBorder="1" applyProtection="1">
      <protection hidden="1"/>
    </xf>
    <xf numFmtId="0" fontId="0" fillId="10" borderId="0" xfId="0" applyFill="1" applyAlignment="1" applyProtection="1">
      <alignment wrapText="1"/>
      <protection hidden="1"/>
    </xf>
    <xf numFmtId="2" fontId="1" fillId="0" borderId="0" xfId="0" applyNumberFormat="1" applyFont="1"/>
    <xf numFmtId="0" fontId="55" fillId="10" borderId="0" xfId="0" applyNumberFormat="1" applyFont="1" applyFill="1" applyBorder="1" applyProtection="1">
      <protection locked="0"/>
    </xf>
    <xf numFmtId="14" fontId="37" fillId="0" borderId="0" xfId="0" applyNumberFormat="1" applyFont="1" applyBorder="1" applyAlignment="1">
      <alignment horizontal="left"/>
    </xf>
    <xf numFmtId="0" fontId="1" fillId="0" borderId="14" xfId="0" applyFont="1" applyBorder="1"/>
    <xf numFmtId="0" fontId="1" fillId="0" borderId="33" xfId="0" applyFont="1" applyBorder="1"/>
    <xf numFmtId="0" fontId="0" fillId="0" borderId="0" xfId="0" applyFill="1"/>
    <xf numFmtId="14" fontId="0" fillId="0" borderId="48" xfId="0" applyNumberFormat="1" applyBorder="1"/>
    <xf numFmtId="14" fontId="21" fillId="0" borderId="0" xfId="0" applyNumberFormat="1" applyFont="1" applyBorder="1" applyAlignment="1">
      <alignment horizontal="right"/>
    </xf>
    <xf numFmtId="0" fontId="0" fillId="0" borderId="0" xfId="0" applyAlignment="1"/>
    <xf numFmtId="14" fontId="21" fillId="0" borderId="0" xfId="0" applyNumberFormat="1" applyFont="1" applyBorder="1" applyAlignment="1">
      <alignment horizontal="right" vertical="top"/>
    </xf>
    <xf numFmtId="4" fontId="56" fillId="10" borderId="0" xfId="0" applyNumberFormat="1" applyFont="1" applyFill="1" applyBorder="1" applyAlignment="1" applyProtection="1">
      <alignment horizontal="center"/>
      <protection hidden="1"/>
    </xf>
    <xf numFmtId="0" fontId="0" fillId="0" borderId="11" xfId="0" applyBorder="1"/>
    <xf numFmtId="14" fontId="0" fillId="0" borderId="8" xfId="0" applyNumberFormat="1" applyBorder="1"/>
    <xf numFmtId="176" fontId="0" fillId="10" borderId="0" xfId="0" applyNumberFormat="1" applyFill="1" applyBorder="1" applyProtection="1">
      <protection hidden="1"/>
    </xf>
    <xf numFmtId="176" fontId="1" fillId="0" borderId="0" xfId="0" applyNumberFormat="1" applyFont="1" applyProtection="1">
      <protection hidden="1"/>
    </xf>
    <xf numFmtId="176" fontId="0" fillId="0" borderId="0" xfId="0" applyNumberFormat="1" applyProtection="1">
      <protection hidden="1"/>
    </xf>
    <xf numFmtId="0" fontId="40" fillId="10" borderId="0" xfId="5" applyFont="1" applyFill="1" applyAlignment="1"/>
    <xf numFmtId="0" fontId="41" fillId="0" borderId="0" xfId="5" applyFont="1" applyAlignment="1"/>
    <xf numFmtId="2" fontId="1" fillId="0" borderId="0" xfId="0" applyNumberFormat="1" applyFont="1" applyFill="1" applyProtection="1">
      <protection hidden="1"/>
    </xf>
    <xf numFmtId="177" fontId="0" fillId="0" borderId="0" xfId="0" applyNumberFormat="1" applyProtection="1">
      <protection hidden="1"/>
    </xf>
    <xf numFmtId="14" fontId="1" fillId="0" borderId="0" xfId="0" applyNumberFormat="1" applyFont="1" applyFill="1" applyProtection="1">
      <protection hidden="1"/>
    </xf>
    <xf numFmtId="0" fontId="1" fillId="0" borderId="0" xfId="0" applyFont="1" applyAlignment="1" applyProtection="1">
      <alignment wrapText="1"/>
      <protection hidden="1"/>
    </xf>
    <xf numFmtId="0" fontId="0" fillId="0" borderId="0" xfId="0" applyAlignment="1" applyProtection="1">
      <alignment wrapText="1"/>
      <protection hidden="1"/>
    </xf>
    <xf numFmtId="0" fontId="37" fillId="0" borderId="0" xfId="0" applyFont="1" applyProtection="1">
      <protection hidden="1"/>
    </xf>
    <xf numFmtId="166" fontId="0" fillId="0" borderId="0" xfId="0" applyNumberFormat="1" applyProtection="1">
      <protection hidden="1"/>
    </xf>
    <xf numFmtId="2" fontId="0" fillId="0" borderId="0" xfId="0" applyNumberFormat="1" applyProtection="1">
      <protection hidden="1"/>
    </xf>
    <xf numFmtId="0" fontId="12" fillId="0" borderId="0" xfId="2" applyNumberFormat="1" applyFont="1" applyFill="1" applyBorder="1" applyProtection="1">
      <protection locked="0"/>
    </xf>
    <xf numFmtId="44" fontId="55" fillId="0" borderId="0" xfId="0" applyNumberFormat="1" applyFont="1" applyFill="1" applyBorder="1" applyProtection="1">
      <protection locked="0"/>
    </xf>
    <xf numFmtId="0" fontId="56" fillId="12" borderId="24" xfId="0" applyFont="1" applyFill="1" applyBorder="1" applyAlignment="1" applyProtection="1">
      <alignment horizontal="center"/>
    </xf>
    <xf numFmtId="0" fontId="54" fillId="10" borderId="0" xfId="0" quotePrefix="1" applyFont="1" applyFill="1" applyBorder="1" applyAlignment="1" applyProtection="1">
      <alignment horizontal="right"/>
    </xf>
    <xf numFmtId="0" fontId="54" fillId="13" borderId="15" xfId="0" applyFont="1" applyFill="1" applyBorder="1" applyAlignment="1" applyProtection="1">
      <alignment horizontal="right"/>
    </xf>
    <xf numFmtId="178" fontId="1" fillId="13" borderId="0" xfId="0" quotePrefix="1" applyNumberFormat="1" applyFont="1" applyFill="1" applyBorder="1" applyAlignment="1" applyProtection="1">
      <alignment horizontal="right"/>
      <protection hidden="1"/>
    </xf>
    <xf numFmtId="14" fontId="0" fillId="0" borderId="36" xfId="0" applyNumberFormat="1" applyBorder="1"/>
    <xf numFmtId="14" fontId="0" fillId="0" borderId="13" xfId="0" applyNumberFormat="1" applyBorder="1"/>
    <xf numFmtId="0" fontId="1" fillId="0" borderId="20" xfId="0" applyFont="1" applyFill="1" applyBorder="1"/>
    <xf numFmtId="0" fontId="1" fillId="0" borderId="20" xfId="0" applyFont="1" applyFill="1" applyBorder="1" applyAlignment="1">
      <alignment wrapText="1"/>
    </xf>
    <xf numFmtId="167" fontId="0" fillId="0" borderId="13" xfId="0" applyNumberFormat="1" applyBorder="1"/>
    <xf numFmtId="0" fontId="1" fillId="0" borderId="21" xfId="0" applyFont="1" applyFill="1" applyBorder="1"/>
    <xf numFmtId="167" fontId="1" fillId="0" borderId="18" xfId="0" applyNumberFormat="1" applyFont="1" applyBorder="1"/>
    <xf numFmtId="167" fontId="1" fillId="0" borderId="37" xfId="0" applyNumberFormat="1" applyFont="1" applyBorder="1"/>
    <xf numFmtId="167" fontId="1" fillId="0" borderId="0" xfId="0" applyNumberFormat="1" applyFont="1" applyBorder="1"/>
    <xf numFmtId="44" fontId="0" fillId="0" borderId="26" xfId="0" applyNumberFormat="1" applyFill="1" applyBorder="1"/>
    <xf numFmtId="0" fontId="1" fillId="0" borderId="0" xfId="0" applyFont="1" applyBorder="1" applyProtection="1">
      <protection hidden="1"/>
    </xf>
    <xf numFmtId="0" fontId="54" fillId="10" borderId="0" xfId="0" quotePrefix="1" applyFont="1" applyFill="1" applyBorder="1" applyAlignment="1" applyProtection="1">
      <alignment wrapText="1"/>
      <protection hidden="1"/>
    </xf>
    <xf numFmtId="0" fontId="0" fillId="10" borderId="0" xfId="0" applyFill="1" applyBorder="1" applyAlignment="1">
      <alignment wrapText="1"/>
    </xf>
    <xf numFmtId="0" fontId="0" fillId="0" borderId="14" xfId="0" applyBorder="1" applyProtection="1">
      <protection hidden="1"/>
    </xf>
    <xf numFmtId="0" fontId="1" fillId="0" borderId="17" xfId="0" applyFont="1" applyBorder="1" applyProtection="1">
      <protection hidden="1"/>
    </xf>
    <xf numFmtId="0" fontId="0" fillId="10" borderId="15" xfId="0" applyFill="1" applyBorder="1" applyProtection="1">
      <protection hidden="1"/>
    </xf>
    <xf numFmtId="0" fontId="1" fillId="10" borderId="14" xfId="0" applyFont="1" applyFill="1" applyBorder="1" applyProtection="1">
      <protection hidden="1"/>
    </xf>
    <xf numFmtId="0" fontId="0" fillId="0" borderId="15" xfId="0" applyBorder="1" applyProtection="1">
      <protection hidden="1"/>
    </xf>
    <xf numFmtId="0" fontId="0" fillId="10" borderId="16" xfId="0" applyFill="1" applyBorder="1" applyProtection="1">
      <protection hidden="1"/>
    </xf>
    <xf numFmtId="0" fontId="54" fillId="10" borderId="0" xfId="0" applyFont="1" applyFill="1" applyBorder="1" applyProtection="1"/>
    <xf numFmtId="0" fontId="57" fillId="10" borderId="0" xfId="0" applyFont="1" applyFill="1" applyBorder="1" applyProtection="1">
      <protection hidden="1"/>
    </xf>
    <xf numFmtId="0" fontId="63" fillId="10" borderId="0" xfId="0" applyFont="1" applyFill="1" applyBorder="1" applyProtection="1">
      <protection hidden="1"/>
    </xf>
    <xf numFmtId="0" fontId="54" fillId="10" borderId="0" xfId="0" applyFont="1" applyFill="1" applyBorder="1" applyAlignment="1" applyProtection="1">
      <alignment vertical="center"/>
      <protection hidden="1"/>
    </xf>
    <xf numFmtId="0" fontId="64" fillId="10" borderId="0" xfId="0" applyFont="1" applyFill="1" applyBorder="1" applyProtection="1">
      <protection hidden="1"/>
    </xf>
    <xf numFmtId="0" fontId="1" fillId="10" borderId="15" xfId="0" applyFont="1" applyFill="1" applyBorder="1" applyProtection="1">
      <protection hidden="1"/>
    </xf>
    <xf numFmtId="0" fontId="57" fillId="10" borderId="17" xfId="0" applyFont="1" applyFill="1" applyBorder="1" applyProtection="1"/>
    <xf numFmtId="0" fontId="54" fillId="10" borderId="18" xfId="0" applyFont="1" applyFill="1" applyBorder="1" applyProtection="1"/>
    <xf numFmtId="0" fontId="57" fillId="10" borderId="17" xfId="0" applyFont="1" applyFill="1" applyBorder="1" applyProtection="1">
      <protection hidden="1"/>
    </xf>
    <xf numFmtId="14" fontId="55" fillId="16" borderId="3" xfId="0" applyNumberFormat="1" applyFont="1" applyFill="1" applyBorder="1" applyAlignment="1" applyProtection="1">
      <alignment horizontal="right"/>
      <protection locked="0"/>
    </xf>
    <xf numFmtId="0" fontId="55" fillId="16" borderId="3" xfId="0" applyNumberFormat="1" applyFont="1" applyFill="1" applyBorder="1" applyProtection="1">
      <protection locked="0"/>
    </xf>
    <xf numFmtId="165" fontId="55" fillId="16" borderId="3" xfId="0" applyNumberFormat="1" applyFont="1" applyFill="1" applyBorder="1" applyProtection="1">
      <protection locked="0"/>
    </xf>
    <xf numFmtId="0" fontId="55" fillId="16" borderId="38" xfId="0" applyNumberFormat="1" applyFont="1" applyFill="1" applyBorder="1" applyAlignment="1" applyProtection="1">
      <alignment horizontal="left"/>
      <protection locked="0"/>
    </xf>
    <xf numFmtId="44" fontId="55" fillId="16" borderId="35" xfId="0" applyNumberFormat="1" applyFont="1" applyFill="1" applyBorder="1" applyProtection="1">
      <protection locked="0"/>
    </xf>
    <xf numFmtId="10" fontId="55" fillId="16" borderId="3" xfId="0" applyNumberFormat="1" applyFont="1" applyFill="1" applyBorder="1" applyProtection="1">
      <protection locked="0"/>
    </xf>
    <xf numFmtId="0" fontId="55" fillId="16" borderId="38" xfId="0" applyNumberFormat="1" applyFont="1" applyFill="1" applyBorder="1" applyProtection="1">
      <protection locked="0"/>
    </xf>
    <xf numFmtId="1" fontId="55" fillId="16" borderId="3" xfId="0" applyNumberFormat="1" applyFont="1" applyFill="1" applyBorder="1" applyProtection="1">
      <protection locked="0"/>
    </xf>
    <xf numFmtId="0" fontId="42" fillId="10" borderId="28" xfId="5" applyFont="1" applyFill="1" applyBorder="1" applyProtection="1">
      <protection hidden="1"/>
    </xf>
    <xf numFmtId="0" fontId="43" fillId="10" borderId="0" xfId="5" applyFont="1" applyFill="1" applyBorder="1" applyProtection="1">
      <protection hidden="1"/>
    </xf>
    <xf numFmtId="14" fontId="43" fillId="10" borderId="3" xfId="5" applyNumberFormat="1" applyFont="1" applyFill="1" applyBorder="1" applyProtection="1">
      <protection hidden="1"/>
    </xf>
    <xf numFmtId="0" fontId="42" fillId="10" borderId="23" xfId="5" applyFont="1" applyFill="1" applyBorder="1" applyProtection="1">
      <protection hidden="1"/>
    </xf>
    <xf numFmtId="14" fontId="43" fillId="10" borderId="0" xfId="5" applyNumberFormat="1" applyFont="1" applyFill="1" applyBorder="1" applyProtection="1">
      <protection hidden="1"/>
    </xf>
    <xf numFmtId="0" fontId="42" fillId="0" borderId="23" xfId="5" applyFont="1" applyBorder="1" applyAlignment="1" applyProtection="1">
      <protection hidden="1"/>
    </xf>
    <xf numFmtId="0" fontId="43" fillId="10" borderId="0" xfId="5" applyFont="1" applyFill="1" applyBorder="1" applyAlignment="1" applyProtection="1">
      <protection hidden="1"/>
    </xf>
    <xf numFmtId="164" fontId="43" fillId="10" borderId="3" xfId="5" applyNumberFormat="1" applyFont="1" applyFill="1" applyBorder="1" applyAlignment="1" applyProtection="1">
      <alignment horizontal="right"/>
      <protection hidden="1"/>
    </xf>
    <xf numFmtId="0" fontId="42" fillId="10" borderId="7" xfId="5" applyFont="1" applyFill="1" applyBorder="1" applyProtection="1">
      <protection hidden="1"/>
    </xf>
    <xf numFmtId="0" fontId="43" fillId="10" borderId="6" xfId="5" applyFont="1" applyFill="1" applyBorder="1" applyProtection="1">
      <protection hidden="1"/>
    </xf>
    <xf numFmtId="164" fontId="43" fillId="10" borderId="6" xfId="5" applyNumberFormat="1" applyFont="1" applyFill="1" applyBorder="1" applyProtection="1">
      <protection hidden="1"/>
    </xf>
    <xf numFmtId="0" fontId="42" fillId="10" borderId="5" xfId="5" applyFont="1" applyFill="1" applyBorder="1" applyProtection="1">
      <protection hidden="1"/>
    </xf>
    <xf numFmtId="0" fontId="42" fillId="10" borderId="0" xfId="5" applyFont="1" applyFill="1" applyProtection="1">
      <protection hidden="1"/>
    </xf>
    <xf numFmtId="164" fontId="43" fillId="10" borderId="0" xfId="5" applyNumberFormat="1" applyFont="1" applyFill="1" applyBorder="1" applyProtection="1">
      <protection hidden="1"/>
    </xf>
    <xf numFmtId="0" fontId="42" fillId="10" borderId="0" xfId="5" applyFont="1" applyFill="1" applyBorder="1" applyProtection="1">
      <protection hidden="1"/>
    </xf>
    <xf numFmtId="0" fontId="43" fillId="10" borderId="0" xfId="5" applyFont="1" applyFill="1" applyProtection="1">
      <protection hidden="1"/>
    </xf>
    <xf numFmtId="0" fontId="43" fillId="10" borderId="0" xfId="5" applyFont="1" applyFill="1" applyAlignment="1" applyProtection="1">
      <protection hidden="1"/>
    </xf>
    <xf numFmtId="0" fontId="42" fillId="0" borderId="0" xfId="5" applyFont="1" applyAlignment="1" applyProtection="1">
      <protection hidden="1"/>
    </xf>
    <xf numFmtId="0" fontId="47" fillId="10" borderId="0" xfId="5" applyFont="1" applyFill="1" applyProtection="1">
      <protection hidden="1"/>
    </xf>
    <xf numFmtId="0" fontId="42" fillId="10" borderId="22" xfId="5" applyFont="1" applyFill="1" applyBorder="1" applyProtection="1">
      <protection hidden="1"/>
    </xf>
    <xf numFmtId="0" fontId="43" fillId="10" borderId="26" xfId="5" applyFont="1" applyFill="1" applyBorder="1" applyProtection="1">
      <protection hidden="1"/>
    </xf>
    <xf numFmtId="0" fontId="42" fillId="10" borderId="27" xfId="5" applyFont="1" applyFill="1" applyBorder="1" applyProtection="1">
      <protection hidden="1"/>
    </xf>
    <xf numFmtId="0" fontId="44" fillId="10" borderId="0" xfId="5" applyFont="1" applyFill="1" applyBorder="1" applyProtection="1">
      <protection hidden="1"/>
    </xf>
    <xf numFmtId="0" fontId="43" fillId="10" borderId="3" xfId="5" applyFont="1" applyFill="1" applyBorder="1" applyAlignment="1" applyProtection="1">
      <alignment horizontal="right"/>
      <protection hidden="1"/>
    </xf>
    <xf numFmtId="0" fontId="43" fillId="10" borderId="0" xfId="5" applyFont="1" applyFill="1" applyBorder="1" applyAlignment="1" applyProtection="1">
      <alignment horizontal="right"/>
      <protection hidden="1"/>
    </xf>
    <xf numFmtId="0" fontId="44" fillId="10" borderId="6" xfId="5" applyFont="1" applyFill="1" applyBorder="1" applyProtection="1">
      <protection hidden="1"/>
    </xf>
    <xf numFmtId="164" fontId="43" fillId="10" borderId="6" xfId="5" applyNumberFormat="1" applyFont="1" applyFill="1" applyBorder="1" applyAlignment="1" applyProtection="1">
      <alignment horizontal="right"/>
      <protection hidden="1"/>
    </xf>
    <xf numFmtId="0" fontId="0" fillId="0" borderId="0" xfId="0"/>
    <xf numFmtId="0" fontId="1" fillId="0" borderId="0" xfId="0" applyFont="1"/>
    <xf numFmtId="0" fontId="0" fillId="12" borderId="0" xfId="0" applyFill="1"/>
    <xf numFmtId="0" fontId="37" fillId="12" borderId="0" xfId="3" applyFont="1" applyFill="1" applyAlignment="1" applyProtection="1"/>
    <xf numFmtId="0" fontId="37" fillId="12" borderId="0" xfId="0" applyFont="1" applyFill="1"/>
    <xf numFmtId="173" fontId="68" fillId="0" borderId="7" xfId="0" applyNumberFormat="1" applyFont="1" applyBorder="1" applyAlignment="1">
      <alignment horizontal="center" vertical="center"/>
    </xf>
    <xf numFmtId="2" fontId="68" fillId="0" borderId="10" xfId="0" applyNumberFormat="1" applyFont="1" applyBorder="1"/>
    <xf numFmtId="2" fontId="68" fillId="0" borderId="9" xfId="0" applyNumberFormat="1" applyFont="1" applyBorder="1"/>
    <xf numFmtId="173" fontId="68" fillId="0" borderId="4" xfId="0" applyNumberFormat="1" applyFont="1" applyBorder="1" applyAlignment="1">
      <alignment horizontal="center" vertical="center"/>
    </xf>
    <xf numFmtId="173" fontId="68" fillId="0" borderId="5" xfId="0" applyNumberFormat="1" applyFont="1" applyBorder="1" applyAlignment="1">
      <alignment horizontal="center" vertical="center"/>
    </xf>
    <xf numFmtId="0" fontId="68" fillId="0" borderId="0" xfId="0" applyFont="1"/>
    <xf numFmtId="173" fontId="68" fillId="0" borderId="4" xfId="5" applyNumberFormat="1" applyFont="1" applyBorder="1" applyAlignment="1">
      <alignment horizontal="center" vertical="center"/>
    </xf>
    <xf numFmtId="2" fontId="68" fillId="0" borderId="11" xfId="5" applyNumberFormat="1" applyFont="1" applyBorder="1"/>
    <xf numFmtId="2" fontId="68" fillId="0" borderId="10" xfId="5" applyNumberFormat="1" applyFont="1" applyBorder="1"/>
    <xf numFmtId="0" fontId="1" fillId="0" borderId="4" xfId="5" applyFont="1" applyBorder="1" applyAlignment="1">
      <alignment horizontal="center" vertical="center"/>
    </xf>
    <xf numFmtId="2" fontId="68" fillId="0" borderId="9" xfId="5" applyNumberFormat="1" applyFont="1" applyBorder="1"/>
    <xf numFmtId="173" fontId="68" fillId="0" borderId="5" xfId="5" applyNumberFormat="1" applyFont="1" applyBorder="1" applyAlignment="1">
      <alignment horizontal="center" vertical="center"/>
    </xf>
    <xf numFmtId="0" fontId="68" fillId="0" borderId="0" xfId="5" applyFont="1"/>
    <xf numFmtId="166" fontId="0" fillId="0" borderId="3" xfId="0" applyNumberFormat="1" applyFill="1" applyBorder="1"/>
    <xf numFmtId="0" fontId="48" fillId="0" borderId="6" xfId="0" applyFont="1" applyBorder="1" applyAlignment="1"/>
    <xf numFmtId="0" fontId="0" fillId="17" borderId="0" xfId="0" applyFill="1"/>
    <xf numFmtId="16" fontId="54" fillId="0" borderId="49" xfId="0" applyNumberFormat="1" applyFont="1" applyFill="1" applyBorder="1" applyAlignment="1" applyProtection="1">
      <alignment horizontal="right"/>
      <protection locked="0"/>
    </xf>
    <xf numFmtId="167" fontId="0" fillId="17" borderId="7" xfId="0" applyNumberFormat="1" applyFill="1" applyBorder="1"/>
    <xf numFmtId="4" fontId="1" fillId="0" borderId="7" xfId="0" applyNumberFormat="1" applyFont="1" applyBorder="1" applyAlignment="1">
      <alignment horizontal="right"/>
    </xf>
    <xf numFmtId="4" fontId="1" fillId="0" borderId="6" xfId="0" applyNumberFormat="1" applyFont="1" applyBorder="1" applyAlignment="1">
      <alignment horizontal="right"/>
    </xf>
    <xf numFmtId="4" fontId="1" fillId="0" borderId="5" xfId="0" applyNumberFormat="1" applyFont="1" applyBorder="1" applyAlignment="1">
      <alignment horizontal="right"/>
    </xf>
    <xf numFmtId="4" fontId="1" fillId="0" borderId="22" xfId="0" applyNumberFormat="1" applyFont="1" applyBorder="1" applyAlignment="1">
      <alignment horizontal="right"/>
    </xf>
    <xf numFmtId="4" fontId="1" fillId="0" borderId="26" xfId="0" applyNumberFormat="1" applyFont="1" applyBorder="1" applyAlignment="1">
      <alignment horizontal="right"/>
    </xf>
    <xf numFmtId="4" fontId="1" fillId="0" borderId="27" xfId="0" applyNumberFormat="1" applyFont="1" applyBorder="1" applyAlignment="1">
      <alignment horizontal="right"/>
    </xf>
    <xf numFmtId="0" fontId="0" fillId="0" borderId="0" xfId="0" applyAlignment="1">
      <alignment horizontal="left"/>
    </xf>
    <xf numFmtId="0" fontId="70" fillId="0" borderId="0" xfId="0" applyFont="1" applyFill="1" applyBorder="1" applyProtection="1">
      <protection hidden="1"/>
    </xf>
    <xf numFmtId="14" fontId="71" fillId="16" borderId="3" xfId="0" applyNumberFormat="1" applyFont="1" applyFill="1" applyBorder="1" applyProtection="1">
      <protection locked="0"/>
    </xf>
    <xf numFmtId="14" fontId="72" fillId="16" borderId="0" xfId="0" applyNumberFormat="1" applyFont="1" applyFill="1" applyProtection="1">
      <protection locked="0"/>
    </xf>
    <xf numFmtId="0" fontId="1" fillId="10" borderId="22" xfId="5" applyFont="1" applyFill="1" applyBorder="1" applyAlignment="1">
      <alignment horizontal="left" wrapText="1"/>
    </xf>
    <xf numFmtId="0" fontId="1" fillId="10" borderId="26" xfId="5" applyFont="1" applyFill="1" applyBorder="1" applyAlignment="1">
      <alignment horizontal="left"/>
    </xf>
    <xf numFmtId="0" fontId="1" fillId="10" borderId="27" xfId="5" applyFont="1" applyFill="1" applyBorder="1" applyAlignment="1">
      <alignment horizontal="left"/>
    </xf>
    <xf numFmtId="0" fontId="1" fillId="10" borderId="28" xfId="5" applyFont="1" applyFill="1" applyBorder="1" applyAlignment="1">
      <alignment horizontal="left"/>
    </xf>
    <xf numFmtId="0" fontId="1" fillId="10" borderId="0" xfId="5" applyFont="1" applyFill="1" applyBorder="1" applyAlignment="1">
      <alignment horizontal="left"/>
    </xf>
    <xf numFmtId="0" fontId="1" fillId="10" borderId="23" xfId="5" applyFont="1" applyFill="1" applyBorder="1" applyAlignment="1">
      <alignment horizontal="left"/>
    </xf>
    <xf numFmtId="0" fontId="1" fillId="10" borderId="7" xfId="5" applyFont="1" applyFill="1" applyBorder="1" applyAlignment="1">
      <alignment horizontal="left"/>
    </xf>
    <xf numFmtId="0" fontId="1" fillId="10" borderId="6" xfId="5" applyFont="1" applyFill="1" applyBorder="1" applyAlignment="1">
      <alignment horizontal="left"/>
    </xf>
    <xf numFmtId="0" fontId="1" fillId="10" borderId="5" xfId="5" applyFont="1" applyFill="1" applyBorder="1" applyAlignment="1">
      <alignment horizontal="left"/>
    </xf>
    <xf numFmtId="49" fontId="1" fillId="0" borderId="0" xfId="5" quotePrefix="1" applyNumberFormat="1" applyFont="1" applyFill="1" applyBorder="1" applyAlignment="1">
      <alignment horizontal="left" vertical="top"/>
    </xf>
    <xf numFmtId="0" fontId="52" fillId="10" borderId="0" xfId="0" applyFont="1" applyFill="1" applyBorder="1" applyAlignment="1" applyProtection="1">
      <alignment horizontal="left"/>
    </xf>
    <xf numFmtId="0" fontId="53" fillId="0" borderId="0" xfId="0" applyFont="1" applyBorder="1" applyAlignment="1">
      <alignment horizontal="left"/>
    </xf>
    <xf numFmtId="0" fontId="51" fillId="10" borderId="0" xfId="0" applyFont="1" applyFill="1" applyBorder="1" applyAlignment="1" applyProtection="1">
      <alignment horizontal="left"/>
    </xf>
    <xf numFmtId="0" fontId="54" fillId="10" borderId="0" xfId="0" quotePrefix="1" applyFont="1" applyFill="1" applyBorder="1" applyAlignment="1">
      <alignment horizontal="left" vertical="center" wrapText="1"/>
    </xf>
    <xf numFmtId="49" fontId="18" fillId="9" borderId="0" xfId="0" quotePrefix="1" applyNumberFormat="1" applyFont="1" applyFill="1" applyBorder="1" applyAlignment="1">
      <alignment horizontal="left" vertical="center"/>
    </xf>
    <xf numFmtId="49" fontId="29" fillId="9" borderId="0" xfId="0" quotePrefix="1" applyNumberFormat="1" applyFont="1" applyFill="1" applyBorder="1" applyAlignment="1">
      <alignment horizontal="left" vertical="center"/>
    </xf>
    <xf numFmtId="0" fontId="29" fillId="9" borderId="0" xfId="0" quotePrefix="1" applyNumberFormat="1" applyFont="1" applyFill="1" applyAlignment="1" applyProtection="1">
      <alignment vertical="center" wrapText="1"/>
      <protection hidden="1"/>
    </xf>
    <xf numFmtId="0" fontId="18" fillId="9" borderId="0" xfId="0" quotePrefix="1" applyFont="1" applyFill="1" applyBorder="1" applyAlignment="1">
      <alignment horizontal="left" vertical="center"/>
    </xf>
    <xf numFmtId="49" fontId="29" fillId="9" borderId="0" xfId="0" quotePrefix="1" applyNumberFormat="1" applyFont="1" applyFill="1" applyBorder="1" applyAlignment="1">
      <alignment horizontal="left" vertical="center" wrapText="1"/>
    </xf>
    <xf numFmtId="49" fontId="18" fillId="9" borderId="0" xfId="0" quotePrefix="1" applyNumberFormat="1" applyFont="1" applyFill="1" applyBorder="1" applyAlignment="1">
      <alignment horizontal="left" vertical="center" wrapText="1"/>
    </xf>
    <xf numFmtId="0" fontId="18" fillId="9" borderId="0" xfId="0" quotePrefix="1" applyFont="1" applyFill="1" applyAlignment="1" applyProtection="1">
      <alignment horizontal="left" vertical="center" wrapText="1"/>
      <protection hidden="1"/>
    </xf>
    <xf numFmtId="49" fontId="29" fillId="9" borderId="0" xfId="0" quotePrefix="1" applyNumberFormat="1" applyFont="1" applyFill="1" applyBorder="1" applyAlignment="1">
      <alignment vertical="center" wrapText="1"/>
    </xf>
    <xf numFmtId="49" fontId="18" fillId="9" borderId="0" xfId="0" quotePrefix="1" applyNumberFormat="1" applyFont="1" applyFill="1" applyBorder="1" applyAlignment="1">
      <alignment vertical="center" wrapText="1"/>
    </xf>
    <xf numFmtId="49" fontId="1" fillId="9" borderId="0" xfId="0" quotePrefix="1" applyNumberFormat="1" applyFont="1" applyFill="1" applyBorder="1" applyAlignment="1">
      <alignment horizontal="left" vertical="center" wrapText="1"/>
    </xf>
    <xf numFmtId="0" fontId="0" fillId="0" borderId="0" xfId="0" applyAlignment="1">
      <alignment horizontal="left" vertical="center" wrapText="1"/>
    </xf>
    <xf numFmtId="0" fontId="54" fillId="10" borderId="0" xfId="0" applyFont="1" applyFill="1" applyBorder="1" applyAlignment="1" applyProtection="1">
      <alignment horizontal="center"/>
      <protection hidden="1"/>
    </xf>
    <xf numFmtId="49" fontId="29" fillId="9" borderId="0" xfId="0" applyNumberFormat="1" applyFont="1" applyFill="1" applyBorder="1" applyAlignment="1">
      <alignment vertical="center" wrapText="1"/>
    </xf>
    <xf numFmtId="0" fontId="18" fillId="9" borderId="0" xfId="0" quotePrefix="1" applyFont="1" applyFill="1" applyAlignment="1" applyProtection="1">
      <alignment vertical="center" wrapText="1"/>
      <protection hidden="1"/>
    </xf>
    <xf numFmtId="0" fontId="18" fillId="9" borderId="0" xfId="0" quotePrefix="1" applyNumberFormat="1" applyFont="1" applyFill="1" applyAlignment="1" applyProtection="1">
      <alignment vertical="center" wrapText="1"/>
      <protection hidden="1"/>
    </xf>
    <xf numFmtId="176" fontId="54" fillId="10" borderId="0" xfId="0" quotePrefix="1" applyNumberFormat="1" applyFont="1" applyFill="1" applyBorder="1" applyAlignment="1" applyProtection="1">
      <alignment wrapText="1"/>
      <protection hidden="1"/>
    </xf>
    <xf numFmtId="176" fontId="0" fillId="0" borderId="0" xfId="0" applyNumberFormat="1" applyBorder="1" applyAlignment="1">
      <alignment wrapText="1"/>
    </xf>
    <xf numFmtId="14" fontId="55" fillId="16" borderId="3" xfId="0" applyNumberFormat="1" applyFont="1" applyFill="1" applyBorder="1" applyAlignment="1" applyProtection="1">
      <alignment horizontal="center"/>
      <protection locked="0"/>
    </xf>
    <xf numFmtId="0" fontId="67" fillId="15" borderId="22" xfId="3" applyFont="1" applyFill="1" applyBorder="1" applyAlignment="1" applyProtection="1">
      <alignment horizontal="center" vertical="center"/>
      <protection hidden="1"/>
    </xf>
    <xf numFmtId="0" fontId="67" fillId="15" borderId="26" xfId="3" applyFont="1" applyFill="1" applyBorder="1" applyAlignment="1" applyProtection="1">
      <alignment horizontal="center" vertical="center"/>
    </xf>
    <xf numFmtId="0" fontId="67" fillId="15" borderId="27" xfId="3" applyFont="1" applyFill="1" applyBorder="1" applyAlignment="1" applyProtection="1">
      <alignment horizontal="center" vertical="center"/>
    </xf>
    <xf numFmtId="0" fontId="67" fillId="15" borderId="7" xfId="3" applyFont="1" applyFill="1" applyBorder="1" applyAlignment="1" applyProtection="1">
      <alignment horizontal="center" vertical="center"/>
    </xf>
    <xf numFmtId="0" fontId="67" fillId="15" borderId="6" xfId="3" applyFont="1" applyFill="1" applyBorder="1" applyAlignment="1" applyProtection="1">
      <alignment horizontal="center" vertical="center"/>
    </xf>
    <xf numFmtId="0" fontId="67" fillId="15" borderId="5" xfId="3" applyFont="1" applyFill="1" applyBorder="1" applyAlignment="1" applyProtection="1">
      <alignment horizontal="center" vertical="center"/>
    </xf>
    <xf numFmtId="0" fontId="65" fillId="15" borderId="22" xfId="3" applyFont="1" applyFill="1" applyBorder="1" applyAlignment="1" applyProtection="1">
      <alignment horizontal="center" vertical="center"/>
      <protection hidden="1"/>
    </xf>
    <xf numFmtId="0" fontId="65" fillId="15" borderId="26" xfId="3" applyFont="1" applyFill="1" applyBorder="1" applyAlignment="1" applyProtection="1">
      <alignment horizontal="center" vertical="center"/>
    </xf>
    <xf numFmtId="0" fontId="65" fillId="15" borderId="27" xfId="3" applyFont="1" applyFill="1" applyBorder="1" applyAlignment="1" applyProtection="1">
      <alignment horizontal="center" vertical="center"/>
    </xf>
    <xf numFmtId="0" fontId="65" fillId="15" borderId="7" xfId="3" applyFont="1" applyFill="1" applyBorder="1" applyAlignment="1" applyProtection="1">
      <alignment horizontal="center" vertical="center"/>
    </xf>
    <xf numFmtId="0" fontId="65" fillId="15" borderId="6" xfId="3" applyFont="1" applyFill="1" applyBorder="1" applyAlignment="1" applyProtection="1">
      <alignment horizontal="center" vertical="center"/>
    </xf>
    <xf numFmtId="0" fontId="65" fillId="15" borderId="5" xfId="3" applyFont="1" applyFill="1" applyBorder="1" applyAlignment="1" applyProtection="1">
      <alignment horizontal="center" vertical="center"/>
    </xf>
    <xf numFmtId="49" fontId="46" fillId="10" borderId="0" xfId="5" quotePrefix="1" applyNumberFormat="1" applyFont="1" applyFill="1" applyBorder="1" applyAlignment="1">
      <alignment horizontal="left" vertical="center" wrapText="1"/>
    </xf>
    <xf numFmtId="0" fontId="43" fillId="10" borderId="0" xfId="5" applyFont="1" applyFill="1" applyBorder="1" applyAlignment="1" applyProtection="1">
      <alignment wrapText="1"/>
      <protection hidden="1"/>
    </xf>
    <xf numFmtId="0" fontId="43" fillId="10" borderId="0" xfId="5" applyFont="1" applyFill="1" applyBorder="1" applyAlignment="1" applyProtection="1">
      <protection hidden="1"/>
    </xf>
    <xf numFmtId="0" fontId="43" fillId="0" borderId="0" xfId="5" applyFont="1" applyAlignment="1" applyProtection="1">
      <protection hidden="1"/>
    </xf>
    <xf numFmtId="14" fontId="43" fillId="10" borderId="35" xfId="5" applyNumberFormat="1" applyFont="1" applyFill="1" applyBorder="1" applyAlignment="1" applyProtection="1">
      <alignment horizontal="center"/>
      <protection hidden="1"/>
    </xf>
    <xf numFmtId="14" fontId="43" fillId="10" borderId="24" xfId="5" applyNumberFormat="1" applyFont="1" applyFill="1" applyBorder="1" applyAlignment="1" applyProtection="1">
      <alignment horizontal="center"/>
      <protection hidden="1"/>
    </xf>
    <xf numFmtId="0" fontId="44" fillId="10" borderId="0" xfId="5" applyFont="1" applyFill="1" applyBorder="1" applyAlignment="1">
      <alignment horizontal="left" wrapText="1"/>
    </xf>
    <xf numFmtId="0" fontId="44" fillId="10" borderId="0" xfId="5" applyFont="1" applyFill="1" applyBorder="1" applyAlignment="1" applyProtection="1">
      <alignment horizontal="left" vertical="center" wrapText="1"/>
      <protection hidden="1"/>
    </xf>
    <xf numFmtId="0" fontId="1" fillId="0" borderId="0" xfId="0" applyFont="1" applyAlignment="1">
      <alignment horizontal="center"/>
    </xf>
    <xf numFmtId="0" fontId="3" fillId="0" borderId="11" xfId="0" applyFont="1" applyFill="1" applyBorder="1" applyAlignment="1">
      <alignment horizontal="center"/>
    </xf>
    <xf numFmtId="0" fontId="3" fillId="0" borderId="10" xfId="0" applyFont="1" applyFill="1" applyBorder="1" applyAlignment="1">
      <alignment horizontal="center"/>
    </xf>
    <xf numFmtId="0" fontId="3" fillId="0" borderId="9" xfId="0" applyFont="1" applyFill="1" applyBorder="1" applyAlignment="1">
      <alignment horizontal="center"/>
    </xf>
    <xf numFmtId="0" fontId="59" fillId="14" borderId="42" xfId="0" applyFont="1" applyFill="1" applyBorder="1" applyAlignment="1">
      <alignment horizontal="center" vertical="top" wrapText="1"/>
    </xf>
    <xf numFmtId="0" fontId="59" fillId="14" borderId="43" xfId="0" applyFont="1" applyFill="1" applyBorder="1" applyAlignment="1">
      <alignment horizontal="center" vertical="top" wrapText="1"/>
    </xf>
    <xf numFmtId="0" fontId="3" fillId="0" borderId="25" xfId="0" applyFont="1" applyBorder="1" applyAlignment="1">
      <alignment horizontal="center" vertical="center"/>
    </xf>
    <xf numFmtId="0" fontId="3" fillId="0" borderId="4"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3" fillId="0" borderId="2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4" xfId="0" applyFont="1" applyBorder="1" applyAlignment="1">
      <alignment horizontal="center" vertical="center" wrapText="1"/>
    </xf>
    <xf numFmtId="0" fontId="3" fillId="11" borderId="25" xfId="0" applyFont="1" applyFill="1" applyBorder="1" applyAlignment="1">
      <alignment horizontal="center" vertical="center" wrapText="1"/>
    </xf>
    <xf numFmtId="0" fontId="3" fillId="11" borderId="4" xfId="0" applyFont="1" applyFill="1" applyBorder="1" applyAlignment="1">
      <alignment horizontal="center" vertical="center" wrapText="1"/>
    </xf>
    <xf numFmtId="0" fontId="3" fillId="11" borderId="12" xfId="0" applyFont="1" applyFill="1" applyBorder="1" applyAlignment="1">
      <alignment horizontal="center" vertical="center" wrapText="1"/>
    </xf>
    <xf numFmtId="0" fontId="3" fillId="0" borderId="12" xfId="0" applyFont="1" applyBorder="1" applyAlignment="1">
      <alignment horizontal="center" vertical="center"/>
    </xf>
    <xf numFmtId="0" fontId="3" fillId="0" borderId="11"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5"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5" fillId="0" borderId="22"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7" xfId="0" applyFont="1" applyBorder="1" applyAlignment="1">
      <alignment horizontal="center" vertical="center" wrapText="1"/>
    </xf>
    <xf numFmtId="0" fontId="3" fillId="0" borderId="22"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7" xfId="0" applyFont="1" applyFill="1" applyBorder="1" applyAlignment="1">
      <alignment horizontal="center" vertical="center"/>
    </xf>
  </cellXfs>
  <cellStyles count="9">
    <cellStyle name="Comma" xfId="1" builtinId="3"/>
    <cellStyle name="Comma 2" xfId="6" xr:uid="{00000000-0005-0000-0000-000001000000}"/>
    <cellStyle name="Currency" xfId="2" builtinId="4"/>
    <cellStyle name="Currency 2" xfId="7" xr:uid="{00000000-0005-0000-0000-000003000000}"/>
    <cellStyle name="Hyperlink" xfId="3" builtinId="8"/>
    <cellStyle name="Normal" xfId="0" builtinId="0"/>
    <cellStyle name="Normal 2" xfId="5" xr:uid="{00000000-0005-0000-0000-000006000000}"/>
    <cellStyle name="Percent" xfId="4" builtinId="5"/>
    <cellStyle name="Percent 2" xfId="8" xr:uid="{00000000-0005-0000-0000-000008000000}"/>
  </cellStyles>
  <dxfs count="23">
    <dxf>
      <border>
        <left/>
        <right/>
        <bottom/>
        <vertical/>
        <horizontal/>
      </border>
    </dxf>
    <dxf>
      <font>
        <color theme="0"/>
      </font>
      <fill>
        <patternFill>
          <bgColor theme="0"/>
        </patternFill>
      </fill>
      <border>
        <left/>
        <right/>
        <top/>
        <bottom/>
        <vertical/>
        <horizontal/>
      </border>
    </dxf>
    <dxf>
      <border>
        <bottom/>
        <vertical/>
        <horizontal/>
      </border>
    </dxf>
    <dxf>
      <font>
        <color theme="0"/>
      </font>
      <fill>
        <patternFill>
          <bgColor theme="0"/>
        </patternFill>
      </fill>
      <border>
        <left/>
        <right/>
        <top/>
        <bottom/>
        <vertical/>
        <horizontal/>
      </border>
    </dxf>
    <dxf>
      <font>
        <color theme="0"/>
      </font>
      <fill>
        <patternFill patternType="solid">
          <bgColor theme="0"/>
        </patternFill>
      </fill>
      <border>
        <left/>
        <right/>
        <top/>
        <bottom/>
      </border>
    </dxf>
    <dxf>
      <font>
        <color theme="0"/>
      </font>
      <fill>
        <patternFill>
          <bgColor theme="0"/>
        </patternFill>
      </fill>
    </dxf>
    <dxf>
      <font>
        <strike val="0"/>
        <color theme="0"/>
      </font>
      <fill>
        <patternFill patternType="solid">
          <fgColor theme="0"/>
          <bgColor theme="0"/>
        </patternFill>
      </fill>
      <border>
        <left/>
        <right/>
        <top/>
        <bottom/>
        <vertical/>
        <horizontal/>
      </border>
    </dxf>
    <dxf>
      <font>
        <color theme="0"/>
      </font>
      <fill>
        <patternFill>
          <fgColor theme="0"/>
        </patternFill>
      </fill>
    </dxf>
    <dxf>
      <font>
        <color theme="0"/>
      </font>
      <fill>
        <patternFill>
          <fgColor theme="0"/>
        </patternFill>
      </fill>
    </dxf>
    <dxf>
      <font>
        <color theme="0"/>
      </font>
      <fill>
        <patternFill>
          <f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border>
        <left/>
        <right/>
        <top/>
        <bottom/>
        <vertical/>
        <horizontal/>
      </border>
    </dxf>
    <dxf>
      <font>
        <color theme="0"/>
      </font>
      <fill>
        <patternFill>
          <bgColor theme="0"/>
        </patternFill>
      </fill>
    </dxf>
    <dxf>
      <font>
        <color theme="0"/>
      </font>
      <fill>
        <patternFill>
          <bgColor theme="0"/>
        </patternFill>
      </fill>
    </dxf>
    <dxf>
      <font>
        <color theme="0"/>
      </font>
      <fill>
        <patternFill>
          <bgColor theme="0"/>
        </patternFill>
      </fill>
      <border>
        <left/>
        <right/>
        <top/>
        <bottom/>
      </border>
    </dxf>
    <dxf>
      <font>
        <color rgb="FFFF0000"/>
      </font>
    </dxf>
    <dxf>
      <font>
        <color theme="0"/>
      </font>
      <fill>
        <patternFill>
          <bgColor theme="0"/>
        </patternFill>
      </fill>
      <border>
        <left/>
        <right/>
        <top/>
        <bottom/>
      </border>
    </dxf>
    <dxf>
      <font>
        <color theme="0"/>
      </font>
      <fill>
        <patternFill>
          <bgColor theme="0"/>
        </patternFill>
      </fill>
      <border>
        <left style="thin">
          <color auto="1"/>
        </left>
        <right/>
        <top/>
      </border>
    </dxf>
    <dxf>
      <font>
        <color theme="0"/>
      </font>
      <fill>
        <patternFill>
          <bgColor theme="0"/>
        </patternFill>
      </fill>
      <border>
        <left/>
        <right/>
        <top/>
        <bottom/>
        <vertical/>
        <horizontal/>
      </border>
    </dxf>
    <dxf>
      <font>
        <color theme="0"/>
      </font>
      <fill>
        <patternFill>
          <bgColor theme="0"/>
        </patternFill>
      </fill>
      <border>
        <left/>
        <right/>
        <top/>
        <bottom/>
      </border>
    </dxf>
    <dxf>
      <font>
        <color theme="0"/>
      </font>
      <fill>
        <patternFill>
          <bgColor theme="0"/>
        </patternFill>
      </fill>
      <border>
        <left/>
        <right/>
        <top/>
        <bottom/>
      </border>
    </dxf>
  </dxfs>
  <tableStyles count="0" defaultTableStyle="TableStyleMedium9" defaultPivotStyle="PivotStyleLight16"/>
  <colors>
    <mruColors>
      <color rgb="FF808080"/>
      <color rgb="FF002060"/>
      <color rgb="FFBACCCF"/>
      <color rgb="FFECE69C"/>
      <color rgb="FFCCC0DA"/>
      <color rgb="FFFF33CC"/>
      <color rgb="FFD8E4BC"/>
      <color rgb="FFFDE9D9"/>
      <color rgb="FFE4DFEC"/>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Drop" dropLines="4" dropStyle="combo" dx="22" fmlaLink="Classification_Key" fmlaRange="Class_Select" sel="2" val="0"/>
</file>

<file path=xl/ctrlProps/ctrlProp2.xml><?xml version="1.0" encoding="utf-8"?>
<formControlPr xmlns="http://schemas.microsoft.com/office/spreadsheetml/2009/9/main" objectType="Drop" dropLines="4" dropStyle="combo" dx="22" fmlaLink="Descriptor_Key" fmlaRange="Descriptor_Select" sel="7" val="4"/>
</file>

<file path=xl/ctrlProps/ctrlProp3.xml><?xml version="1.0" encoding="utf-8"?>
<formControlPr xmlns="http://schemas.microsoft.com/office/spreadsheetml/2009/9/main" objectType="CheckBox" fmlaLink="Parameters!B126"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xdr:row>
          <xdr:rowOff>7620</xdr:rowOff>
        </xdr:from>
        <xdr:to>
          <xdr:col>1</xdr:col>
          <xdr:colOff>1935480</xdr:colOff>
          <xdr:row>5</xdr:row>
          <xdr:rowOff>220980</xdr:rowOff>
        </xdr:to>
        <xdr:sp macro="" textlink="">
          <xdr:nvSpPr>
            <xdr:cNvPr id="1025" name="ClassificationCbo"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xdr:row>
          <xdr:rowOff>7620</xdr:rowOff>
        </xdr:from>
        <xdr:to>
          <xdr:col>1</xdr:col>
          <xdr:colOff>1927860</xdr:colOff>
          <xdr:row>7</xdr:row>
          <xdr:rowOff>0</xdr:rowOff>
        </xdr:to>
        <xdr:sp macro="" textlink="">
          <xdr:nvSpPr>
            <xdr:cNvPr id="1026" name="DescriptorCbo"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624840</xdr:colOff>
      <xdr:row>5</xdr:row>
      <xdr:rowOff>9525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6705600" cy="819150"/>
        </a:xfrm>
        <a:prstGeom prst="rect">
          <a:avLst/>
        </a:prstGeom>
      </xdr:spPr>
    </xdr:pic>
    <xdr:clientData/>
  </xdr:twoCellAnchor>
  <xdr:twoCellAnchor editAs="oneCell">
    <xdr:from>
      <xdr:col>0</xdr:col>
      <xdr:colOff>0</xdr:colOff>
      <xdr:row>0</xdr:row>
      <xdr:rowOff>0</xdr:rowOff>
    </xdr:from>
    <xdr:to>
      <xdr:col>12</xdr:col>
      <xdr:colOff>0</xdr:colOff>
      <xdr:row>5</xdr:row>
      <xdr:rowOff>563212</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707880" cy="14014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594360</xdr:colOff>
          <xdr:row>39</xdr:row>
          <xdr:rowOff>83820</xdr:rowOff>
        </xdr:from>
        <xdr:to>
          <xdr:col>9</xdr:col>
          <xdr:colOff>822960</xdr:colOff>
          <xdr:row>41</xdr:row>
          <xdr:rowOff>121920</xdr:rowOff>
        </xdr:to>
        <xdr:sp macro="" textlink="">
          <xdr:nvSpPr>
            <xdr:cNvPr id="4359" name="Check Box 263" hidden="1">
              <a:extLst>
                <a:ext uri="{63B3BB69-23CF-44E3-9099-C40C66FF867C}">
                  <a14:compatExt spid="_x0000_s4359"/>
                </a:ext>
                <a:ext uri="{FF2B5EF4-FFF2-40B4-BE49-F238E27FC236}">
                  <a16:creationId xmlns:a16="http://schemas.microsoft.com/office/drawing/2014/main" id="{00000000-0008-0000-0400-00000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0</xdr:colOff>
      <xdr:row>0</xdr:row>
      <xdr:rowOff>0</xdr:rowOff>
    </xdr:from>
    <xdr:to>
      <xdr:col>14</xdr:col>
      <xdr:colOff>601300</xdr:colOff>
      <xdr:row>12</xdr:row>
      <xdr:rowOff>49325</xdr:rowOff>
    </xdr:to>
    <xdr:pic>
      <xdr:nvPicPr>
        <xdr:cNvPr id="6" name="Picture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8160" y="0"/>
          <a:ext cx="11490280" cy="206100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95250</xdr:colOff>
      <xdr:row>2</xdr:row>
      <xdr:rowOff>95250</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142875"/>
          <a:ext cx="2266950" cy="552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NEW%20DATA\FPT%20Clients\Police\Scotland\General\Benefits%20Projection%20Calculator\Pension%20calculator%20Updated%20v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ad-a2\a2data\Police%20Pensions\0140-00972%20Home%20Office%20Police\Actuarial%20Factors\2011\transfers%20and%20divorce\PPS%20Non-IH%20ERFs%20v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ersion control"/>
      <sheetName val="Calculator"/>
      <sheetName val="Guidance Notes"/>
      <sheetName val="Printable Estimate"/>
      <sheetName val="Parameters"/>
      <sheetName val="Tapers"/>
      <sheetName val="Commutation Factors"/>
      <sheetName val="ERF and LRF"/>
      <sheetName val="PPS and NPPS calcs"/>
      <sheetName val="Past Service CARE Calcs"/>
      <sheetName val="CARE calcs"/>
      <sheetName val="CARE calcs ABS"/>
      <sheetName val="Lump Sum"/>
      <sheetName val="Summary"/>
    </sheetNames>
    <sheetDataSet>
      <sheetData sheetId="0"/>
      <sheetData sheetId="1"/>
      <sheetData sheetId="2"/>
      <sheetData sheetId="3"/>
      <sheetData sheetId="4"/>
      <sheetData sheetId="5">
        <row r="119">
          <cell r="B119">
            <v>2016</v>
          </cell>
        </row>
        <row r="120">
          <cell r="B120">
            <v>2017</v>
          </cell>
        </row>
        <row r="121">
          <cell r="B121">
            <v>2018</v>
          </cell>
        </row>
        <row r="122">
          <cell r="B122">
            <v>2019</v>
          </cell>
        </row>
        <row r="123">
          <cell r="B123">
            <v>2020</v>
          </cell>
        </row>
        <row r="124">
          <cell r="B124">
            <v>2021</v>
          </cell>
        </row>
        <row r="125">
          <cell r="B125">
            <v>2022</v>
          </cell>
        </row>
        <row r="126">
          <cell r="B126">
            <v>2023</v>
          </cell>
        </row>
        <row r="127">
          <cell r="B127">
            <v>2024</v>
          </cell>
        </row>
        <row r="128">
          <cell r="B128">
            <v>2025</v>
          </cell>
        </row>
      </sheetData>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ersion control"/>
      <sheetName val="Instructions and Inputs"/>
      <sheetName val="Factor Calculation"/>
      <sheetName val="Final Factors (P&amp;LS)"/>
      <sheetName val="Final Factors (Combined)"/>
      <sheetName val="TAS M"/>
      <sheetName val="Determine C Proxy for YoU"/>
      <sheetName val="Check"/>
      <sheetName val="Version_control20"/>
      <sheetName val="Instructions_and_Inputs20"/>
      <sheetName val="Factor_Calculation20"/>
      <sheetName val="Final_Factors_(P&amp;LS)20"/>
      <sheetName val="Final_Factors_(Combined)20"/>
      <sheetName val="TAS_M20"/>
      <sheetName val="Determine_C_Proxy_for_YoU20"/>
      <sheetName val="Version_control18"/>
      <sheetName val="Instructions_and_Inputs18"/>
      <sheetName val="Factor_Calculation18"/>
      <sheetName val="Final_Factors_(P&amp;LS)18"/>
      <sheetName val="Final_Factors_(Combined)18"/>
      <sheetName val="TAS_M18"/>
      <sheetName val="Determine_C_Proxy_for_YoU18"/>
      <sheetName val="Version_control3"/>
      <sheetName val="Instructions_and_Inputs3"/>
      <sheetName val="Factor_Calculation3"/>
      <sheetName val="Final_Factors_(P&amp;LS)3"/>
      <sheetName val="Final_Factors_(Combined)3"/>
      <sheetName val="TAS_M3"/>
      <sheetName val="Determine_C_Proxy_for_YoU3"/>
      <sheetName val="Version_control1"/>
      <sheetName val="Instructions_and_Inputs1"/>
      <sheetName val="Factor_Calculation1"/>
      <sheetName val="Final_Factors_(P&amp;LS)1"/>
      <sheetName val="Final_Factors_(Combined)1"/>
      <sheetName val="TAS_M1"/>
      <sheetName val="Determine_C_Proxy_for_YoU1"/>
      <sheetName val="Version_control"/>
      <sheetName val="Instructions_and_Inputs"/>
      <sheetName val="Factor_Calculation"/>
      <sheetName val="Final_Factors_(P&amp;LS)"/>
      <sheetName val="Final_Factors_(Combined)"/>
      <sheetName val="TAS_M"/>
      <sheetName val="Determine_C_Proxy_for_YoU"/>
      <sheetName val="Version_control2"/>
      <sheetName val="Instructions_and_Inputs2"/>
      <sheetName val="Factor_Calculation2"/>
      <sheetName val="Final_Factors_(P&amp;LS)2"/>
      <sheetName val="Final_Factors_(Combined)2"/>
      <sheetName val="TAS_M2"/>
      <sheetName val="Determine_C_Proxy_for_YoU2"/>
      <sheetName val="Version_control15"/>
      <sheetName val="Instructions_and_Inputs15"/>
      <sheetName val="Factor_Calculation15"/>
      <sheetName val="Final_Factors_(P&amp;LS)15"/>
      <sheetName val="Final_Factors_(Combined)15"/>
      <sheetName val="TAS_M15"/>
      <sheetName val="Determine_C_Proxy_for_YoU15"/>
      <sheetName val="Version_control4"/>
      <sheetName val="Instructions_and_Inputs4"/>
      <sheetName val="Factor_Calculation4"/>
      <sheetName val="Final_Factors_(P&amp;LS)4"/>
      <sheetName val="Final_Factors_(Combined)4"/>
      <sheetName val="TAS_M4"/>
      <sheetName val="Determine_C_Proxy_for_YoU4"/>
      <sheetName val="Version_control5"/>
      <sheetName val="Instructions_and_Inputs5"/>
      <sheetName val="Factor_Calculation5"/>
      <sheetName val="Final_Factors_(P&amp;LS)5"/>
      <sheetName val="Final_Factors_(Combined)5"/>
      <sheetName val="TAS_M5"/>
      <sheetName val="Determine_C_Proxy_for_YoU5"/>
      <sheetName val="Version_control6"/>
      <sheetName val="Instructions_and_Inputs6"/>
      <sheetName val="Factor_Calculation6"/>
      <sheetName val="Final_Factors_(P&amp;LS)6"/>
      <sheetName val="Final_Factors_(Combined)6"/>
      <sheetName val="TAS_M6"/>
      <sheetName val="Determine_C_Proxy_for_YoU6"/>
      <sheetName val="Version_control7"/>
      <sheetName val="Instructions_and_Inputs7"/>
      <sheetName val="Factor_Calculation7"/>
      <sheetName val="Final_Factors_(P&amp;LS)7"/>
      <sheetName val="Final_Factors_(Combined)7"/>
      <sheetName val="TAS_M7"/>
      <sheetName val="Determine_C_Proxy_for_YoU7"/>
      <sheetName val="Version_control8"/>
      <sheetName val="Instructions_and_Inputs8"/>
      <sheetName val="Factor_Calculation8"/>
      <sheetName val="Final_Factors_(P&amp;LS)8"/>
      <sheetName val="Final_Factors_(Combined)8"/>
      <sheetName val="TAS_M8"/>
      <sheetName val="Determine_C_Proxy_for_YoU8"/>
      <sheetName val="Version_control9"/>
      <sheetName val="Instructions_and_Inputs9"/>
      <sheetName val="Factor_Calculation9"/>
      <sheetName val="Final_Factors_(P&amp;LS)9"/>
      <sheetName val="Final_Factors_(Combined)9"/>
      <sheetName val="TAS_M9"/>
      <sheetName val="Determine_C_Proxy_for_YoU9"/>
      <sheetName val="Version_control10"/>
      <sheetName val="Instructions_and_Inputs10"/>
      <sheetName val="Factor_Calculation10"/>
      <sheetName val="Final_Factors_(P&amp;LS)10"/>
      <sheetName val="Final_Factors_(Combined)10"/>
      <sheetName val="TAS_M10"/>
      <sheetName val="Determine_C_Proxy_for_YoU10"/>
      <sheetName val="Version_control11"/>
      <sheetName val="Instructions_and_Inputs11"/>
      <sheetName val="Factor_Calculation11"/>
      <sheetName val="Final_Factors_(P&amp;LS)11"/>
      <sheetName val="Final_Factors_(Combined)11"/>
      <sheetName val="TAS_M11"/>
      <sheetName val="Determine_C_Proxy_for_YoU11"/>
      <sheetName val="Version_control12"/>
      <sheetName val="Instructions_and_Inputs12"/>
      <sheetName val="Factor_Calculation12"/>
      <sheetName val="Final_Factors_(P&amp;LS)12"/>
      <sheetName val="Final_Factors_(Combined)12"/>
      <sheetName val="TAS_M12"/>
      <sheetName val="Determine_C_Proxy_for_YoU12"/>
      <sheetName val="Version_control13"/>
      <sheetName val="Instructions_and_Inputs13"/>
      <sheetName val="Factor_Calculation13"/>
      <sheetName val="Final_Factors_(P&amp;LS)13"/>
      <sheetName val="Final_Factors_(Combined)13"/>
      <sheetName val="TAS_M13"/>
      <sheetName val="Determine_C_Proxy_for_YoU13"/>
      <sheetName val="Version_control14"/>
      <sheetName val="Instructions_and_Inputs14"/>
      <sheetName val="Factor_Calculation14"/>
      <sheetName val="Final_Factors_(P&amp;LS)14"/>
      <sheetName val="Final_Factors_(Combined)14"/>
      <sheetName val="TAS_M14"/>
      <sheetName val="Determine_C_Proxy_for_YoU14"/>
      <sheetName val="Version_control16"/>
      <sheetName val="Instructions_and_Inputs16"/>
      <sheetName val="Factor_Calculation16"/>
      <sheetName val="Final_Factors_(P&amp;LS)16"/>
      <sheetName val="Final_Factors_(Combined)16"/>
      <sheetName val="TAS_M16"/>
      <sheetName val="Determine_C_Proxy_for_YoU16"/>
      <sheetName val="Version_control17"/>
      <sheetName val="Instructions_and_Inputs17"/>
      <sheetName val="Factor_Calculation17"/>
      <sheetName val="Final_Factors_(P&amp;LS)17"/>
      <sheetName val="Final_Factors_(Combined)17"/>
      <sheetName val="TAS_M17"/>
      <sheetName val="Determine_C_Proxy_for_YoU17"/>
      <sheetName val="Version_control19"/>
      <sheetName val="Instructions_and_Inputs19"/>
      <sheetName val="Factor_Calculation19"/>
      <sheetName val="Final_Factors_(P&amp;LS)19"/>
      <sheetName val="Final_Factors_(Combined)19"/>
      <sheetName val="TAS_M19"/>
      <sheetName val="Determine_C_Proxy_for_YoU19"/>
    </sheetNames>
    <sheetDataSet>
      <sheetData sheetId="0"/>
      <sheetData sheetId="1"/>
      <sheetData sheetId="2"/>
      <sheetData sheetId="3">
        <row r="148">
          <cell r="A148">
            <v>16</v>
          </cell>
          <cell r="J148">
            <v>0.21248252657177058</v>
          </cell>
          <cell r="K148">
            <v>0.2628886969279825</v>
          </cell>
          <cell r="L148">
            <v>0.21248252657177058</v>
          </cell>
          <cell r="M148" t="str">
            <v/>
          </cell>
          <cell r="N148" t="str">
            <v/>
          </cell>
          <cell r="O148" t="str">
            <v/>
          </cell>
          <cell r="P148">
            <v>3.4266728757428768</v>
          </cell>
          <cell r="Q148">
            <v>1.2811382796192889</v>
          </cell>
          <cell r="R148">
            <v>3.0574286081553335</v>
          </cell>
          <cell r="S148">
            <v>0.55062711078146775</v>
          </cell>
          <cell r="T148">
            <v>3.4266728757428768</v>
          </cell>
          <cell r="U148">
            <v>1.2811382796192889</v>
          </cell>
          <cell r="V148">
            <v>2.8888947829937811E-2</v>
          </cell>
          <cell r="W148" t="str">
            <v/>
          </cell>
        </row>
        <row r="149">
          <cell r="A149">
            <v>17</v>
          </cell>
          <cell r="J149">
            <v>0.21850408511104075</v>
          </cell>
          <cell r="K149">
            <v>0.27077535783582196</v>
          </cell>
          <cell r="L149">
            <v>0.21850408511104075</v>
          </cell>
          <cell r="M149" t="str">
            <v/>
          </cell>
          <cell r="N149" t="str">
            <v/>
          </cell>
          <cell r="O149" t="str">
            <v/>
          </cell>
          <cell r="P149">
            <v>3.2969071907527119</v>
          </cell>
          <cell r="Q149">
            <v>1.2811382796192889</v>
          </cell>
          <cell r="R149">
            <v>2.9416478180740389</v>
          </cell>
          <cell r="S149">
            <v>0.56131889934033119</v>
          </cell>
          <cell r="T149">
            <v>3.2969071907527123</v>
          </cell>
          <cell r="U149">
            <v>1.2811382796192889</v>
          </cell>
          <cell r="V149">
            <v>2.8649890350178481E-2</v>
          </cell>
          <cell r="W149" t="str">
            <v/>
          </cell>
        </row>
        <row r="150">
          <cell r="A150">
            <v>18</v>
          </cell>
          <cell r="J150">
            <v>0.22471465160921877</v>
          </cell>
          <cell r="K150">
            <v>0.27894252244877021</v>
          </cell>
          <cell r="L150">
            <v>0.22471465160921877</v>
          </cell>
          <cell r="M150" t="str">
            <v/>
          </cell>
          <cell r="N150" t="str">
            <v/>
          </cell>
          <cell r="O150" t="str">
            <v/>
          </cell>
          <cell r="P150">
            <v>3.1703540688944796</v>
          </cell>
          <cell r="Q150">
            <v>1.2811382796192889</v>
          </cell>
          <cell r="R150">
            <v>2.8302703359431787</v>
          </cell>
          <cell r="S150">
            <v>0.57198057016759207</v>
          </cell>
          <cell r="T150">
            <v>3.1703540688944796</v>
          </cell>
          <cell r="U150">
            <v>1.2811382796192889</v>
          </cell>
          <cell r="V150">
            <v>2.8410217171533921E-2</v>
          </cell>
          <cell r="W150" t="str">
            <v/>
          </cell>
        </row>
        <row r="151">
          <cell r="A151">
            <v>19</v>
          </cell>
          <cell r="J151">
            <v>0.23112181103798468</v>
          </cell>
          <cell r="K151">
            <v>0.287354674793391</v>
          </cell>
          <cell r="L151">
            <v>0.23112181103798468</v>
          </cell>
          <cell r="M151" t="str">
            <v/>
          </cell>
          <cell r="N151" t="str">
            <v/>
          </cell>
          <cell r="O151" t="str">
            <v/>
          </cell>
          <cell r="P151">
            <v>3.0469230745421121</v>
          </cell>
          <cell r="Q151">
            <v>1.2811382796192889</v>
          </cell>
          <cell r="R151">
            <v>2.7214741724361136</v>
          </cell>
          <cell r="S151">
            <v>0.58286856077730287</v>
          </cell>
          <cell r="T151">
            <v>3.0469230745421121</v>
          </cell>
          <cell r="U151">
            <v>1.2811382796192889</v>
          </cell>
          <cell r="V151">
            <v>2.8160844359380856E-2</v>
          </cell>
          <cell r="W151" t="str">
            <v/>
          </cell>
        </row>
        <row r="152">
          <cell r="A152">
            <v>20</v>
          </cell>
          <cell r="J152">
            <v>0.23773446684640359</v>
          </cell>
          <cell r="K152">
            <v>0.29601828431124605</v>
          </cell>
          <cell r="L152">
            <v>0.23773446684640359</v>
          </cell>
          <cell r="M152" t="str">
            <v/>
          </cell>
          <cell r="N152" t="str">
            <v/>
          </cell>
          <cell r="O152" t="str">
            <v/>
          </cell>
          <cell r="P152">
            <v>2.9265103679476367</v>
          </cell>
          <cell r="Q152">
            <v>1.2811382796192889</v>
          </cell>
          <cell r="R152">
            <v>2.6151603686640144</v>
          </cell>
          <cell r="S152">
            <v>0.59398997122088404</v>
          </cell>
          <cell r="T152">
            <v>2.9265103679476372</v>
          </cell>
          <cell r="U152">
            <v>1.2811382796192889</v>
          </cell>
          <cell r="V152">
            <v>2.7901147815604127E-2</v>
          </cell>
          <cell r="W152" t="str">
            <v/>
          </cell>
        </row>
        <row r="153">
          <cell r="A153">
            <v>21</v>
          </cell>
          <cell r="J153">
            <v>0.2445621483498083</v>
          </cell>
          <cell r="K153">
            <v>0.30494267509833889</v>
          </cell>
          <cell r="L153">
            <v>0.2445621483498083</v>
          </cell>
          <cell r="M153" t="str">
            <v/>
          </cell>
          <cell r="N153" t="str">
            <v/>
          </cell>
          <cell r="O153" t="str">
            <v/>
          </cell>
          <cell r="P153">
            <v>2.8090152432589912</v>
          </cell>
          <cell r="Q153">
            <v>1.2811382796192889</v>
          </cell>
          <cell r="R153">
            <v>2.5113085882621897</v>
          </cell>
          <cell r="S153">
            <v>0.60533996511965338</v>
          </cell>
          <cell r="T153">
            <v>2.8090152432589912</v>
          </cell>
          <cell r="U153">
            <v>1.2811382796192889</v>
          </cell>
          <cell r="V153">
            <v>2.7630973700060572E-2</v>
          </cell>
          <cell r="W153" t="str">
            <v/>
          </cell>
        </row>
        <row r="154">
          <cell r="A154">
            <v>22</v>
          </cell>
          <cell r="J154">
            <v>0.25161502489742654</v>
          </cell>
          <cell r="K154">
            <v>0.314137313334649</v>
          </cell>
          <cell r="L154">
            <v>0.25161502489742654</v>
          </cell>
          <cell r="M154" t="str">
            <v/>
          </cell>
          <cell r="N154" t="str">
            <v/>
          </cell>
          <cell r="O154" t="str">
            <v/>
          </cell>
          <cell r="P154">
            <v>2.6943407177093244</v>
          </cell>
          <cell r="Q154">
            <v>1.2811382796192889</v>
          </cell>
          <cell r="R154">
            <v>2.4098810947301619</v>
          </cell>
          <cell r="S154">
            <v>0.61691616959027651</v>
          </cell>
          <cell r="T154">
            <v>2.6943407177093244</v>
          </cell>
          <cell r="U154">
            <v>1.2811382796192889</v>
          </cell>
          <cell r="V154">
            <v>2.7350100484771364E-2</v>
          </cell>
          <cell r="W154" t="str">
            <v/>
          </cell>
        </row>
        <row r="155">
          <cell r="A155">
            <v>23</v>
          </cell>
          <cell r="J155">
            <v>0.25890396095516471</v>
          </cell>
          <cell r="K155">
            <v>0.32361250590828772</v>
          </cell>
          <cell r="L155">
            <v>0.25890396095516471</v>
          </cell>
          <cell r="M155" t="str">
            <v/>
          </cell>
          <cell r="N155" t="str">
            <v/>
          </cell>
          <cell r="O155" t="str">
            <v/>
          </cell>
          <cell r="P155">
            <v>2.5823933763072771</v>
          </cell>
          <cell r="Q155">
            <v>1.2811382796192889</v>
          </cell>
          <cell r="R155">
            <v>2.3108418456491684</v>
          </cell>
          <cell r="S155">
            <v>0.62871583316593271</v>
          </cell>
          <cell r="T155">
            <v>2.5823933763072771</v>
          </cell>
          <cell r="U155">
            <v>1.2811382796192889</v>
          </cell>
          <cell r="V155">
            <v>2.7058362305395895E-2</v>
          </cell>
          <cell r="W155" t="str">
            <v/>
          </cell>
        </row>
        <row r="156">
          <cell r="A156">
            <v>24</v>
          </cell>
          <cell r="J156">
            <v>0.26644063309946436</v>
          </cell>
          <cell r="K156">
            <v>0.33337529585614178</v>
          </cell>
          <cell r="L156">
            <v>0.26644063309946436</v>
          </cell>
          <cell r="M156" t="str">
            <v/>
          </cell>
          <cell r="N156" t="str">
            <v/>
          </cell>
          <cell r="O156" t="str">
            <v/>
          </cell>
          <cell r="P156">
            <v>2.4730824118158803</v>
          </cell>
          <cell r="Q156">
            <v>1.2811382796192889</v>
          </cell>
          <cell r="R156">
            <v>2.2140735781425742</v>
          </cell>
          <cell r="S156">
            <v>0.64074951070807529</v>
          </cell>
          <cell r="T156">
            <v>2.4730824118158798</v>
          </cell>
          <cell r="U156">
            <v>1.2811382796192889</v>
          </cell>
          <cell r="V156">
            <v>2.675493525179394E-2</v>
          </cell>
          <cell r="W156" t="str">
            <v/>
          </cell>
        </row>
        <row r="157">
          <cell r="A157">
            <v>25</v>
          </cell>
          <cell r="J157">
            <v>0.27423763848364924</v>
          </cell>
          <cell r="K157">
            <v>0.34343512678382393</v>
          </cell>
          <cell r="L157">
            <v>0.27423763848364924</v>
          </cell>
          <cell r="M157" t="str">
            <v/>
          </cell>
          <cell r="N157" t="str">
            <v/>
          </cell>
          <cell r="O157" t="str">
            <v/>
          </cell>
          <cell r="P157">
            <v>2.3663191439850659</v>
          </cell>
          <cell r="Q157">
            <v>1.2811382796192889</v>
          </cell>
          <cell r="R157">
            <v>2.1195099176144128</v>
          </cell>
          <cell r="S157">
            <v>0.65302016374426863</v>
          </cell>
          <cell r="T157">
            <v>2.3663191439850659</v>
          </cell>
          <cell r="U157">
            <v>1.2811382796192889</v>
          </cell>
          <cell r="V157">
            <v>2.6439333547175432E-2</v>
          </cell>
          <cell r="W157" t="str">
            <v/>
          </cell>
        </row>
        <row r="158">
          <cell r="A158">
            <v>26</v>
          </cell>
          <cell r="J158">
            <v>0.28230854494766483</v>
          </cell>
          <cell r="K158">
            <v>0.3538019883895645</v>
          </cell>
          <cell r="L158">
            <v>0.28230854494766483</v>
          </cell>
          <cell r="M158" t="str">
            <v/>
          </cell>
          <cell r="N158" t="str">
            <v/>
          </cell>
          <cell r="O158" t="str">
            <v/>
          </cell>
          <cell r="P158">
            <v>2.2620175405459464</v>
          </cell>
          <cell r="Q158">
            <v>1.2811382796192889</v>
          </cell>
          <cell r="R158">
            <v>2.0270871156452528</v>
          </cell>
          <cell r="S158">
            <v>0.66553062670547691</v>
          </cell>
          <cell r="T158">
            <v>2.2620175405459464</v>
          </cell>
          <cell r="U158">
            <v>1.2811382796192889</v>
          </cell>
          <cell r="V158">
            <v>2.6111070908469199E-2</v>
          </cell>
          <cell r="W158" t="str">
            <v/>
          </cell>
        </row>
        <row r="159">
          <cell r="A159">
            <v>27</v>
          </cell>
          <cell r="J159">
            <v>0.29066797282719126</v>
          </cell>
          <cell r="K159">
            <v>0.36448698972197929</v>
          </cell>
          <cell r="L159">
            <v>0.29066797282719126</v>
          </cell>
          <cell r="M159" t="str">
            <v/>
          </cell>
          <cell r="N159" t="str">
            <v/>
          </cell>
          <cell r="O159" t="str">
            <v/>
          </cell>
          <cell r="P159">
            <v>2.1600942973558488</v>
          </cell>
          <cell r="Q159">
            <v>1.2811382796192889</v>
          </cell>
          <cell r="R159">
            <v>1.9367509266644252</v>
          </cell>
          <cell r="S159">
            <v>0.67828243863848792</v>
          </cell>
          <cell r="T159">
            <v>2.1600942973558492</v>
          </cell>
          <cell r="U159">
            <v>1.2811382796192889</v>
          </cell>
          <cell r="V159">
            <v>2.5769746362635539E-2</v>
          </cell>
          <cell r="W159" t="str">
            <v/>
          </cell>
        </row>
        <row r="160">
          <cell r="A160">
            <v>28</v>
          </cell>
          <cell r="J160">
            <v>0.29933169937603954</v>
          </cell>
          <cell r="K160">
            <v>0.37550103637858195</v>
          </cell>
          <cell r="L160">
            <v>0.29933169937603954</v>
          </cell>
          <cell r="M160" t="str">
            <v/>
          </cell>
          <cell r="N160" t="str">
            <v/>
          </cell>
          <cell r="O160" t="str">
            <v/>
          </cell>
          <cell r="P160">
            <v>2.0604687341509007</v>
          </cell>
          <cell r="Q160">
            <v>1.2811382796192889</v>
          </cell>
          <cell r="R160">
            <v>1.8484350496789852</v>
          </cell>
          <cell r="S160">
            <v>0.69127942919358976</v>
          </cell>
          <cell r="T160">
            <v>2.0604687341509007</v>
          </cell>
          <cell r="U160">
            <v>1.2811382796192887</v>
          </cell>
          <cell r="V160">
            <v>2.541482224998573E-2</v>
          </cell>
          <cell r="W160" t="str">
            <v/>
          </cell>
        </row>
        <row r="161">
          <cell r="A161">
            <v>29</v>
          </cell>
          <cell r="J161">
            <v>0.30831676207349257</v>
          </cell>
          <cell r="K161">
            <v>0.38685716683552185</v>
          </cell>
          <cell r="L161">
            <v>0.30831676207349257</v>
          </cell>
          <cell r="M161" t="str">
            <v/>
          </cell>
          <cell r="N161" t="str">
            <v/>
          </cell>
          <cell r="O161" t="str">
            <v/>
          </cell>
          <cell r="P161">
            <v>1.9630628492399018</v>
          </cell>
          <cell r="Q161">
            <v>1.2811382796192889</v>
          </cell>
          <cell r="R161">
            <v>1.7620924667971036</v>
          </cell>
          <cell r="S161">
            <v>0.70452251907282526</v>
          </cell>
          <cell r="T161">
            <v>1.9630628492399018</v>
          </cell>
          <cell r="U161">
            <v>1.2811382796192889</v>
          </cell>
          <cell r="V161">
            <v>2.5045980933767999E-2</v>
          </cell>
          <cell r="W161" t="str">
            <v/>
          </cell>
        </row>
        <row r="162">
          <cell r="A162">
            <v>30</v>
          </cell>
          <cell r="J162">
            <v>0.31764155799149535</v>
          </cell>
          <cell r="K162">
            <v>0.39856913279205192</v>
          </cell>
          <cell r="L162">
            <v>0.31764155799149535</v>
          </cell>
          <cell r="M162" t="str">
            <v/>
          </cell>
          <cell r="N162" t="str">
            <v/>
          </cell>
          <cell r="O162" t="str">
            <v/>
          </cell>
          <cell r="P162">
            <v>1.8678015079002237</v>
          </cell>
          <cell r="Q162">
            <v>1.2811382796192889</v>
          </cell>
          <cell r="R162">
            <v>1.6776718703897111</v>
          </cell>
          <cell r="S162">
            <v>0.71801361131116592</v>
          </cell>
          <cell r="T162">
            <v>1.8678015079002237</v>
          </cell>
          <cell r="U162">
            <v>1.2811382796192889</v>
          </cell>
          <cell r="V162">
            <v>2.4662890257420869E-2</v>
          </cell>
          <cell r="W162" t="str">
            <v/>
          </cell>
        </row>
        <row r="163">
          <cell r="A163">
            <v>31</v>
          </cell>
          <cell r="J163">
            <v>0.32732601684583756</v>
          </cell>
          <cell r="K163">
            <v>0.41064934763392968</v>
          </cell>
          <cell r="L163">
            <v>0.32732601684583756</v>
          </cell>
          <cell r="M163" t="str">
            <v/>
          </cell>
          <cell r="N163" t="str">
            <v/>
          </cell>
          <cell r="O163" t="str">
            <v/>
          </cell>
          <cell r="P163">
            <v>1.7746119833101544</v>
          </cell>
          <cell r="Q163">
            <v>1.2811382796192889</v>
          </cell>
          <cell r="R163">
            <v>1.5950988108154922</v>
          </cell>
          <cell r="S163">
            <v>0.73175891232419821</v>
          </cell>
          <cell r="T163">
            <v>1.7746119833101544</v>
          </cell>
          <cell r="U163">
            <v>1.2811382796192889</v>
          </cell>
          <cell r="V163">
            <v>2.4264894827084944E-2</v>
          </cell>
          <cell r="W163" t="str">
            <v/>
          </cell>
        </row>
        <row r="164">
          <cell r="A164">
            <v>32</v>
          </cell>
          <cell r="J164">
            <v>0.33739179150347465</v>
          </cell>
          <cell r="K164">
            <v>0.42311139708979995</v>
          </cell>
          <cell r="L164">
            <v>0.33739179150347465</v>
          </cell>
          <cell r="M164" t="str">
            <v/>
          </cell>
          <cell r="N164" t="str">
            <v/>
          </cell>
          <cell r="O164" t="str">
            <v/>
          </cell>
          <cell r="P164">
            <v>1.6834236265125728</v>
          </cell>
          <cell r="Q164">
            <v>1.2811382796192889</v>
          </cell>
          <cell r="R164">
            <v>1.5143058931171609</v>
          </cell>
          <cell r="S164">
            <v>0.74576395400422169</v>
          </cell>
          <cell r="T164">
            <v>1.6834236265125728</v>
          </cell>
          <cell r="U164">
            <v>1.2811382796192889</v>
          </cell>
          <cell r="V164">
            <v>2.3851387114056523E-2</v>
          </cell>
          <cell r="W164" t="str">
            <v/>
          </cell>
        </row>
        <row r="165">
          <cell r="A165">
            <v>33</v>
          </cell>
          <cell r="J165">
            <v>0.34786243928115274</v>
          </cell>
          <cell r="K165">
            <v>0.43596940504698822</v>
          </cell>
          <cell r="L165">
            <v>0.34786243928115274</v>
          </cell>
          <cell r="M165" t="str">
            <v/>
          </cell>
          <cell r="N165" t="str">
            <v/>
          </cell>
          <cell r="O165" t="str">
            <v/>
          </cell>
          <cell r="P165">
            <v>1.5941678793008363</v>
          </cell>
          <cell r="Q165">
            <v>1.2811382796192889</v>
          </cell>
          <cell r="R165">
            <v>1.4352252910489465</v>
          </cell>
          <cell r="S165">
            <v>0.76003484690143919</v>
          </cell>
          <cell r="T165">
            <v>1.5941678793008363</v>
          </cell>
          <cell r="U165">
            <v>1.2811382796192889</v>
          </cell>
          <cell r="V165">
            <v>2.342170641751332E-2</v>
          </cell>
          <cell r="W165" t="str">
            <v/>
          </cell>
        </row>
        <row r="166">
          <cell r="A166">
            <v>34</v>
          </cell>
          <cell r="J166">
            <v>0.35876364875866074</v>
          </cell>
          <cell r="K166">
            <v>0.449237528219253</v>
          </cell>
          <cell r="L166">
            <v>0.35876364875866074</v>
          </cell>
          <cell r="M166" t="str">
            <v/>
          </cell>
          <cell r="N166" t="str">
            <v/>
          </cell>
          <cell r="O166" t="str">
            <v/>
          </cell>
          <cell r="P166">
            <v>1.5067781000818194</v>
          </cell>
          <cell r="Q166">
            <v>1.2811382796192889</v>
          </cell>
          <cell r="R166">
            <v>1.3577856302524429</v>
          </cell>
          <cell r="S166">
            <v>0.77457882928323074</v>
          </cell>
          <cell r="T166">
            <v>1.5067781000818194</v>
          </cell>
          <cell r="U166">
            <v>1.2811382796192889</v>
          </cell>
          <cell r="V166">
            <v>2.2975062767108999E-2</v>
          </cell>
          <cell r="W166" t="str">
            <v/>
          </cell>
        </row>
        <row r="167">
          <cell r="A167">
            <v>35</v>
          </cell>
          <cell r="J167">
            <v>0.3701234775729027</v>
          </cell>
          <cell r="K167">
            <v>0.4629317692524858</v>
          </cell>
          <cell r="L167">
            <v>0.3701234775729027</v>
          </cell>
          <cell r="M167" t="str">
            <v/>
          </cell>
          <cell r="N167" t="str">
            <v/>
          </cell>
          <cell r="O167" t="str">
            <v/>
          </cell>
          <cell r="P167">
            <v>1.4211895611559149</v>
          </cell>
          <cell r="Q167">
            <v>1.2811382796192889</v>
          </cell>
          <cell r="R167">
            <v>1.2819246317774826</v>
          </cell>
          <cell r="S167">
            <v>0.78940215020041149</v>
          </cell>
          <cell r="T167">
            <v>1.4211895611559149</v>
          </cell>
          <cell r="U167">
            <v>1.2811382796192889</v>
          </cell>
          <cell r="V167">
            <v>2.2510777049572293E-2</v>
          </cell>
          <cell r="W167" t="str">
            <v/>
          </cell>
        </row>
        <row r="168">
          <cell r="A168">
            <v>36</v>
          </cell>
          <cell r="J168">
            <v>0.3819726065402187</v>
          </cell>
          <cell r="K168">
            <v>0.47706914421561919</v>
          </cell>
          <cell r="L168">
            <v>0.3819726065402187</v>
          </cell>
          <cell r="M168" t="str">
            <v/>
          </cell>
          <cell r="N168" t="str">
            <v/>
          </cell>
          <cell r="O168" t="str">
            <v/>
          </cell>
          <cell r="P168">
            <v>1.3373395443843517</v>
          </cell>
          <cell r="Q168">
            <v>1.2811382796192889</v>
          </cell>
          <cell r="R168">
            <v>1.207580917443263</v>
          </cell>
          <cell r="S168">
            <v>0.80451144154591558</v>
          </cell>
          <cell r="T168">
            <v>1.3373395443843517</v>
          </cell>
          <cell r="U168">
            <v>1.2811382796192889</v>
          </cell>
          <cell r="V168">
            <v>2.2028154350055128E-2</v>
          </cell>
          <cell r="W168" t="str">
            <v/>
          </cell>
        </row>
        <row r="169">
          <cell r="A169">
            <v>37</v>
          </cell>
          <cell r="J169">
            <v>0.39434466267646912</v>
          </cell>
          <cell r="K169">
            <v>0.49166680422454356</v>
          </cell>
          <cell r="L169">
            <v>0.39434466267646912</v>
          </cell>
          <cell r="M169" t="str">
            <v/>
          </cell>
          <cell r="N169" t="str">
            <v/>
          </cell>
          <cell r="O169" t="str">
            <v/>
          </cell>
          <cell r="P169">
            <v>1.2551671929689405</v>
          </cell>
          <cell r="Q169">
            <v>1.2811382796192889</v>
          </cell>
          <cell r="R169">
            <v>1.1346893072036337</v>
          </cell>
          <cell r="S169">
            <v>0.81991451044774233</v>
          </cell>
          <cell r="T169">
            <v>1.2551671929689405</v>
          </cell>
          <cell r="U169">
            <v>1.2811382796192889</v>
          </cell>
          <cell r="V169">
            <v>2.1526355764820208E-2</v>
          </cell>
          <cell r="W169" t="str">
            <v/>
          </cell>
        </row>
        <row r="170">
          <cell r="A170">
            <v>38</v>
          </cell>
          <cell r="J170">
            <v>0.40727659554270712</v>
          </cell>
          <cell r="K170">
            <v>0.5067427396057268</v>
          </cell>
          <cell r="L170">
            <v>0.40727659554270712</v>
          </cell>
          <cell r="M170" t="str">
            <v/>
          </cell>
          <cell r="N170" t="str">
            <v/>
          </cell>
          <cell r="O170" t="str">
            <v/>
          </cell>
          <cell r="P170">
            <v>1.1746133585328919</v>
          </cell>
          <cell r="Q170">
            <v>1.2811382796192889</v>
          </cell>
          <cell r="R170">
            <v>1.0631854847074436</v>
          </cell>
          <cell r="S170">
            <v>0.83561958277268955</v>
          </cell>
          <cell r="T170">
            <v>1.1746133585328919</v>
          </cell>
          <cell r="U170">
            <v>1.2811382796192889</v>
          </cell>
          <cell r="V170">
            <v>2.1004479385228089E-2</v>
          </cell>
          <cell r="W170" t="str">
            <v/>
          </cell>
        </row>
        <row r="171">
          <cell r="A171">
            <v>39</v>
          </cell>
          <cell r="J171">
            <v>0.42080917042110294</v>
          </cell>
          <cell r="K171">
            <v>0.52231151321795022</v>
          </cell>
          <cell r="L171">
            <v>0.42080917042110294</v>
          </cell>
          <cell r="M171" t="str">
            <v/>
          </cell>
          <cell r="N171" t="str">
            <v/>
          </cell>
          <cell r="O171" t="str">
            <v/>
          </cell>
          <cell r="P171">
            <v>1.0956201134888057</v>
          </cell>
          <cell r="Q171">
            <v>1.2811382796192889</v>
          </cell>
          <cell r="R171">
            <v>0.99299032727883041</v>
          </cell>
          <cell r="S171">
            <v>0.85163774558961736</v>
          </cell>
          <cell r="T171">
            <v>1.0956201134888057</v>
          </cell>
          <cell r="U171">
            <v>1.2811382796192889</v>
          </cell>
          <cell r="V171">
            <v>2.046103703677904E-2</v>
          </cell>
          <cell r="W171" t="str">
            <v/>
          </cell>
        </row>
        <row r="172">
          <cell r="A172">
            <v>40</v>
          </cell>
          <cell r="J172">
            <v>0.4349875089894773</v>
          </cell>
          <cell r="K172">
            <v>0.53839056329644597</v>
          </cell>
          <cell r="L172">
            <v>0.4349875089894773</v>
          </cell>
          <cell r="M172" t="str">
            <v/>
          </cell>
          <cell r="N172" t="str">
            <v/>
          </cell>
          <cell r="O172" t="str">
            <v/>
          </cell>
          <cell r="P172">
            <v>1.0181305255689315</v>
          </cell>
          <cell r="Q172">
            <v>1.2811382796192889</v>
          </cell>
          <cell r="R172">
            <v>0.92403831835395855</v>
          </cell>
          <cell r="S172">
            <v>0.86797842532559621</v>
          </cell>
          <cell r="T172">
            <v>1.0181305255689315</v>
          </cell>
          <cell r="U172">
            <v>1.2811382796192889</v>
          </cell>
          <cell r="V172">
            <v>1.9894717841680176E-2</v>
          </cell>
          <cell r="W172" t="str">
            <v/>
          </cell>
        </row>
        <row r="173">
          <cell r="A173">
            <v>41</v>
          </cell>
          <cell r="J173">
            <v>0.44986167588463888</v>
          </cell>
          <cell r="K173">
            <v>0.55499579763890894</v>
          </cell>
          <cell r="L173">
            <v>0.44986167588463888</v>
          </cell>
          <cell r="M173" t="str">
            <v/>
          </cell>
          <cell r="N173" t="str">
            <v/>
          </cell>
          <cell r="O173" t="str">
            <v/>
          </cell>
          <cell r="P173">
            <v>0.94208869982226762</v>
          </cell>
          <cell r="Q173">
            <v>1.2811382796192889</v>
          </cell>
          <cell r="R173">
            <v>0.85626026142156064</v>
          </cell>
          <cell r="S173">
            <v>0.88465199291827679</v>
          </cell>
          <cell r="T173">
            <v>0.94208869982226762</v>
          </cell>
          <cell r="U173">
            <v>1.2811382796192889</v>
          </cell>
          <cell r="V173">
            <v>1.93038451141118E-2</v>
          </cell>
          <cell r="W173" t="str">
            <v/>
          </cell>
        </row>
        <row r="174">
          <cell r="A174">
            <v>42</v>
          </cell>
          <cell r="J174">
            <v>0.46548743030581508</v>
          </cell>
          <cell r="K174">
            <v>0.57214249240787862</v>
          </cell>
          <cell r="L174">
            <v>0.46548743030581508</v>
          </cell>
          <cell r="M174" t="str">
            <v/>
          </cell>
          <cell r="N174" t="str">
            <v/>
          </cell>
          <cell r="O174" t="str">
            <v/>
          </cell>
          <cell r="P174">
            <v>0.86743949123955544</v>
          </cell>
          <cell r="Q174">
            <v>1.2811382796192889</v>
          </cell>
          <cell r="R174">
            <v>0.78958873013937958</v>
          </cell>
          <cell r="S174">
            <v>0.90166883124289676</v>
          </cell>
          <cell r="T174">
            <v>0.86743949123955544</v>
          </cell>
          <cell r="U174">
            <v>1.2811382796192889</v>
          </cell>
          <cell r="V174">
            <v>1.868647777662414E-2</v>
          </cell>
          <cell r="W174" t="str">
            <v/>
          </cell>
        </row>
        <row r="175">
          <cell r="A175">
            <v>43</v>
          </cell>
          <cell r="J175">
            <v>0.48192717839307897</v>
          </cell>
          <cell r="K175">
            <v>0.58984007712743736</v>
          </cell>
          <cell r="L175">
            <v>0.48192717839307897</v>
          </cell>
          <cell r="M175" t="str">
            <v/>
          </cell>
          <cell r="N175" t="str">
            <v/>
          </cell>
          <cell r="O175" t="str">
            <v/>
          </cell>
          <cell r="P175">
            <v>0.79412796549195563</v>
          </cell>
          <cell r="Q175">
            <v>1.2811382796192889</v>
          </cell>
          <cell r="R175">
            <v>0.72394812619005511</v>
          </cell>
          <cell r="S175">
            <v>0.91904041211468024</v>
          </cell>
          <cell r="T175">
            <v>0.79412796549195586</v>
          </cell>
          <cell r="U175">
            <v>1.2811382796192889</v>
          </cell>
          <cell r="V175">
            <v>1.8039821440767986E-2</v>
          </cell>
          <cell r="W175" t="str">
            <v/>
          </cell>
        </row>
        <row r="176">
          <cell r="A176">
            <v>44</v>
          </cell>
          <cell r="J176">
            <v>0.49925081131688009</v>
          </cell>
          <cell r="K176">
            <v>0.60811376552308372</v>
          </cell>
          <cell r="L176">
            <v>0.49925081131688009</v>
          </cell>
          <cell r="M176" t="str">
            <v/>
          </cell>
          <cell r="N176" t="str">
            <v/>
          </cell>
          <cell r="O176" t="str">
            <v/>
          </cell>
          <cell r="P176">
            <v>0.72210013487391755</v>
          </cell>
          <cell r="Q176">
            <v>1.2811382796192889</v>
          </cell>
          <cell r="R176">
            <v>0.65930145751525482</v>
          </cell>
          <cell r="S176">
            <v>0.93677359883892253</v>
          </cell>
          <cell r="T176">
            <v>0.72210013487391755</v>
          </cell>
          <cell r="U176">
            <v>1.2811382796192889</v>
          </cell>
          <cell r="V176">
            <v>1.7362631599651568E-2</v>
          </cell>
          <cell r="W176" t="str">
            <v/>
          </cell>
        </row>
        <row r="177">
          <cell r="A177">
            <v>45</v>
          </cell>
          <cell r="J177">
            <v>0.51753676724026898</v>
          </cell>
          <cell r="K177">
            <v>0.62697747752162947</v>
          </cell>
          <cell r="L177">
            <v>0.51753676724026898</v>
          </cell>
          <cell r="M177" t="str">
            <v/>
          </cell>
          <cell r="N177" t="str">
            <v/>
          </cell>
          <cell r="O177" t="str">
            <v/>
          </cell>
          <cell r="P177">
            <v>0.65130326405051953</v>
          </cell>
          <cell r="Q177">
            <v>1.2811382796192889</v>
          </cell>
          <cell r="R177">
            <v>0.59558861053451384</v>
          </cell>
          <cell r="S177">
            <v>0.95487813032834723</v>
          </cell>
          <cell r="T177">
            <v>0.65130326405051953</v>
          </cell>
          <cell r="U177">
            <v>1.2811382796192889</v>
          </cell>
          <cell r="V177">
            <v>1.6652169770678297E-2</v>
          </cell>
          <cell r="W177" t="str">
            <v/>
          </cell>
        </row>
        <row r="178">
          <cell r="A178">
            <v>46</v>
          </cell>
          <cell r="J178">
            <v>0.53687368714129136</v>
          </cell>
          <cell r="K178">
            <v>0.64644135524856927</v>
          </cell>
          <cell r="L178">
            <v>0.53687368714129136</v>
          </cell>
          <cell r="M178" t="str">
            <v/>
          </cell>
          <cell r="N178" t="str">
            <v/>
          </cell>
          <cell r="O178" t="str">
            <v/>
          </cell>
          <cell r="P178">
            <v>0.5816847201031109</v>
          </cell>
          <cell r="Q178">
            <v>1.2811382796192889</v>
          </cell>
          <cell r="R178">
            <v>0.53274982710061369</v>
          </cell>
          <cell r="S178">
            <v>0.97336329589325943</v>
          </cell>
          <cell r="T178">
            <v>0.5816847201031109</v>
          </cell>
          <cell r="U178">
            <v>1.2811382796192889</v>
          </cell>
          <cell r="V178">
            <v>1.5905046341599498E-2</v>
          </cell>
          <cell r="W178" t="str">
            <v/>
          </cell>
        </row>
        <row r="179">
          <cell r="A179">
            <v>47</v>
          </cell>
          <cell r="J179">
            <v>0.55736213244631116</v>
          </cell>
          <cell r="K179">
            <v>0.66651754807433916</v>
          </cell>
          <cell r="L179">
            <v>0.55736213244631116</v>
          </cell>
          <cell r="M179" t="str">
            <v/>
          </cell>
          <cell r="N179" t="str">
            <v/>
          </cell>
          <cell r="O179" t="str">
            <v/>
          </cell>
          <cell r="P179">
            <v>0.51319194363812382</v>
          </cell>
          <cell r="Q179">
            <v>1.2811382796192889</v>
          </cell>
          <cell r="R179">
            <v>0.47073501972267051</v>
          </cell>
          <cell r="S179">
            <v>0.99223705234924631</v>
          </cell>
          <cell r="T179">
            <v>0.51319194363812382</v>
          </cell>
          <cell r="U179">
            <v>1.2811382796192889</v>
          </cell>
          <cell r="V179">
            <v>1.5117822108471827E-2</v>
          </cell>
          <cell r="W179" t="str">
            <v/>
          </cell>
        </row>
        <row r="180">
          <cell r="A180">
            <v>48</v>
          </cell>
          <cell r="J180">
            <v>0.57911631360284266</v>
          </cell>
          <cell r="K180">
            <v>0.68723226102600887</v>
          </cell>
          <cell r="L180">
            <v>0.57911631360284266</v>
          </cell>
          <cell r="M180" t="str">
            <v/>
          </cell>
          <cell r="N180" t="str">
            <v/>
          </cell>
          <cell r="O180" t="str">
            <v/>
          </cell>
          <cell r="P180">
            <v>0.44577345244594707</v>
          </cell>
          <cell r="Q180">
            <v>1.2811382796192889</v>
          </cell>
          <cell r="R180">
            <v>0.40951192805987219</v>
          </cell>
          <cell r="S180">
            <v>1.0115065707825837</v>
          </cell>
          <cell r="T180">
            <v>0.44577345244594713</v>
          </cell>
          <cell r="U180">
            <v>1.2811382796192889</v>
          </cell>
          <cell r="V180">
            <v>1.4288193128141075E-2</v>
          </cell>
          <cell r="W180" t="str">
            <v/>
          </cell>
        </row>
        <row r="181">
          <cell r="A181">
            <v>49</v>
          </cell>
          <cell r="J181">
            <v>0.60226647187321358</v>
          </cell>
          <cell r="K181">
            <v>0.708597602916751</v>
          </cell>
          <cell r="L181">
            <v>0.60226647187321358</v>
          </cell>
          <cell r="M181" t="str">
            <v/>
          </cell>
          <cell r="N181" t="str">
            <v/>
          </cell>
          <cell r="O181" t="str">
            <v/>
          </cell>
          <cell r="P181">
            <v>0.3793788093557301</v>
          </cell>
          <cell r="Q181">
            <v>1.2811382796192889</v>
          </cell>
          <cell r="R181">
            <v>0.34903426571282781</v>
          </cell>
          <cell r="S181">
            <v>1.0311792930098145</v>
          </cell>
          <cell r="T181">
            <v>0.3793788093557301</v>
          </cell>
          <cell r="U181">
            <v>1.2811382796192889</v>
          </cell>
          <cell r="V181">
            <v>1.3412053340309328E-2</v>
          </cell>
          <cell r="W181" t="str">
            <v/>
          </cell>
        </row>
        <row r="182">
          <cell r="A182">
            <v>50</v>
          </cell>
          <cell r="J182">
            <v>0.62696135347206494</v>
          </cell>
          <cell r="K182">
            <v>0.73066421194615061</v>
          </cell>
          <cell r="L182">
            <v>0.62696135347206494</v>
          </cell>
          <cell r="M182" t="str">
            <v/>
          </cell>
          <cell r="N182" t="str">
            <v/>
          </cell>
          <cell r="O182" t="str">
            <v/>
          </cell>
          <cell r="P182">
            <v>0.31395968254739953</v>
          </cell>
          <cell r="Q182">
            <v>1.2811382796192889</v>
          </cell>
          <cell r="R182">
            <v>0.28928302197261407</v>
          </cell>
          <cell r="S182">
            <v>1.0512648109823906</v>
          </cell>
          <cell r="T182">
            <v>0.31395968254739953</v>
          </cell>
          <cell r="U182">
            <v>1.2811382796192889</v>
          </cell>
          <cell r="V182">
            <v>1.2488718825808284E-2</v>
          </cell>
          <cell r="W182" t="str">
            <v/>
          </cell>
        </row>
        <row r="183">
          <cell r="A183">
            <v>51</v>
          </cell>
          <cell r="J183">
            <v>0.65337105736153889</v>
          </cell>
          <cell r="K183">
            <v>0.75347376784472442</v>
          </cell>
          <cell r="L183">
            <v>0.65337105736153889</v>
          </cell>
          <cell r="M183" t="str">
            <v/>
          </cell>
          <cell r="N183" t="str">
            <v/>
          </cell>
          <cell r="O183" t="str">
            <v/>
          </cell>
          <cell r="P183">
            <v>0.24947103111792185</v>
          </cell>
          <cell r="Q183">
            <v>1.2811382796192889</v>
          </cell>
          <cell r="R183">
            <v>0.23022202714714987</v>
          </cell>
          <cell r="S183">
            <v>1.0717745887172581</v>
          </cell>
          <cell r="T183">
            <v>0.2494710311179219</v>
          </cell>
          <cell r="U183">
            <v>1.2811382796192889</v>
          </cell>
          <cell r="V183">
            <v>1.1516131532760232E-2</v>
          </cell>
          <cell r="W183" t="str">
            <v/>
          </cell>
        </row>
        <row r="184">
          <cell r="A184">
            <v>52</v>
          </cell>
          <cell r="J184">
            <v>0.68169128352785191</v>
          </cell>
          <cell r="K184">
            <v>0.77707344992532645</v>
          </cell>
          <cell r="L184">
            <v>0.68169128352785191</v>
          </cell>
          <cell r="M184" t="str">
            <v/>
          </cell>
          <cell r="N184" t="str">
            <v/>
          </cell>
          <cell r="O184" t="str">
            <v/>
          </cell>
          <cell r="P184">
            <v>0.18587031495957881</v>
          </cell>
          <cell r="Q184">
            <v>1.2811382796192889</v>
          </cell>
          <cell r="R184">
            <v>0.17181099145842613</v>
          </cell>
          <cell r="S184">
            <v>1.0927222511946029</v>
          </cell>
          <cell r="T184">
            <v>0.18587031495957884</v>
          </cell>
          <cell r="U184">
            <v>1.2811382796192889</v>
          </cell>
          <cell r="V184">
            <v>1.0492239173124415E-2</v>
          </cell>
          <cell r="W184" t="str">
            <v/>
          </cell>
        </row>
        <row r="185">
          <cell r="A185">
            <v>53</v>
          </cell>
          <cell r="J185">
            <v>0.71214852569270404</v>
          </cell>
          <cell r="K185">
            <v>0.80150349505136875</v>
          </cell>
          <cell r="L185">
            <v>0.71214852569270404</v>
          </cell>
          <cell r="M185" t="str">
            <v/>
          </cell>
          <cell r="N185" t="str">
            <v/>
          </cell>
          <cell r="O185" t="str">
            <v/>
          </cell>
          <cell r="P185">
            <v>0.1231169779399801</v>
          </cell>
          <cell r="Q185">
            <v>1.2811382796192889</v>
          </cell>
          <cell r="R185">
            <v>0.11400240961173098</v>
          </cell>
          <cell r="S185">
            <v>1.1141216832991971</v>
          </cell>
          <cell r="T185">
            <v>0.12311697793998011</v>
          </cell>
          <cell r="U185">
            <v>1.2811382796192889</v>
          </cell>
          <cell r="V185">
            <v>9.4137772381596985E-3</v>
          </cell>
          <cell r="W185" t="str">
            <v/>
          </cell>
        </row>
        <row r="186">
          <cell r="A186">
            <v>54</v>
          </cell>
          <cell r="J186">
            <v>0.74500630898501052</v>
          </cell>
          <cell r="K186">
            <v>0.82682224320723774</v>
          </cell>
          <cell r="L186">
            <v>0.74500630898501052</v>
          </cell>
          <cell r="M186" t="str">
            <v/>
          </cell>
          <cell r="N186" t="str">
            <v/>
          </cell>
          <cell r="O186" t="str">
            <v/>
          </cell>
          <cell r="P186">
            <v>6.1172455900733204E-2</v>
          </cell>
          <cell r="Q186">
            <v>1.2811382796192889</v>
          </cell>
          <cell r="R186">
            <v>5.674951664531383E-2</v>
          </cell>
          <cell r="S186">
            <v>1.1359905979435265</v>
          </cell>
          <cell r="T186">
            <v>6.1172455900733204E-2</v>
          </cell>
          <cell r="U186">
            <v>1.2811382796192889</v>
          </cell>
          <cell r="V186">
            <v>8.2785606514394153E-3</v>
          </cell>
          <cell r="W186" t="str">
            <v/>
          </cell>
        </row>
        <row r="187">
          <cell r="A187">
            <v>55</v>
          </cell>
          <cell r="J187">
            <v>0.78057311889825931</v>
          </cell>
          <cell r="K187">
            <v>0.85307539563095203</v>
          </cell>
          <cell r="L187">
            <v>0.78057311889825931</v>
          </cell>
          <cell r="M187" t="str">
            <v/>
          </cell>
          <cell r="N187" t="str">
            <v/>
          </cell>
          <cell r="O187" t="str">
            <v/>
          </cell>
          <cell r="P187" t="str">
            <v/>
          </cell>
          <cell r="Q187" t="str">
            <v/>
          </cell>
          <cell r="R187">
            <v>0</v>
          </cell>
          <cell r="S187">
            <v>1.1583453675902111</v>
          </cell>
          <cell r="T187" t="str">
            <v/>
          </cell>
          <cell r="U187">
            <v>1.2811382796192889</v>
          </cell>
          <cell r="V187">
            <v>7.0825844232639129E-3</v>
          </cell>
          <cell r="W187" t="str">
            <v/>
          </cell>
        </row>
        <row r="188">
          <cell r="A188">
            <v>56</v>
          </cell>
          <cell r="J188">
            <v>0.81881716010381</v>
          </cell>
          <cell r="K188">
            <v>0.88030730898619747</v>
          </cell>
          <cell r="L188">
            <v>0.81881716010381</v>
          </cell>
          <cell r="M188" t="str">
            <v/>
          </cell>
          <cell r="N188" t="str">
            <v/>
          </cell>
          <cell r="O188" t="str">
            <v/>
          </cell>
          <cell r="P188" t="str">
            <v/>
          </cell>
          <cell r="Q188" t="str">
            <v/>
          </cell>
          <cell r="R188" t="str">
            <v/>
          </cell>
          <cell r="S188" t="str">
            <v/>
          </cell>
          <cell r="T188" t="str">
            <v/>
          </cell>
          <cell r="U188" t="str">
            <v/>
          </cell>
          <cell r="V188">
            <v>5.821005876534671E-3</v>
          </cell>
          <cell r="W188" t="str">
            <v/>
          </cell>
        </row>
        <row r="189">
          <cell r="A189">
            <v>57</v>
          </cell>
          <cell r="J189">
            <v>0.85962943874710185</v>
          </cell>
          <cell r="K189">
            <v>0.90856429583928477</v>
          </cell>
          <cell r="L189">
            <v>0.85962943874710185</v>
          </cell>
          <cell r="M189" t="str">
            <v/>
          </cell>
          <cell r="N189" t="str">
            <v/>
          </cell>
          <cell r="O189" t="str">
            <v/>
          </cell>
          <cell r="P189" t="str">
            <v/>
          </cell>
          <cell r="Q189" t="str">
            <v/>
          </cell>
          <cell r="R189" t="str">
            <v/>
          </cell>
          <cell r="S189" t="str">
            <v/>
          </cell>
          <cell r="T189" t="str">
            <v/>
          </cell>
          <cell r="U189" t="str">
            <v/>
          </cell>
          <cell r="V189">
            <v>4.4883667445937024E-3</v>
          </cell>
          <cell r="W189" t="str">
            <v/>
          </cell>
        </row>
        <row r="190">
          <cell r="A190">
            <v>58</v>
          </cell>
          <cell r="J190">
            <v>0.9032473682430191</v>
          </cell>
          <cell r="K190">
            <v>0.9378967731709662</v>
          </cell>
          <cell r="L190">
            <v>0.9032473682430191</v>
          </cell>
          <cell r="M190" t="str">
            <v/>
          </cell>
          <cell r="N190" t="str">
            <v/>
          </cell>
          <cell r="O190" t="str">
            <v/>
          </cell>
          <cell r="P190" t="str">
            <v/>
          </cell>
          <cell r="Q190" t="str">
            <v/>
          </cell>
          <cell r="R190" t="str">
            <v/>
          </cell>
          <cell r="S190" t="str">
            <v/>
          </cell>
          <cell r="T190" t="str">
            <v/>
          </cell>
          <cell r="U190" t="str">
            <v/>
          </cell>
          <cell r="V190">
            <v>3.0786815963995493E-3</v>
          </cell>
          <cell r="W190" t="str">
            <v/>
          </cell>
        </row>
        <row r="191">
          <cell r="A191">
            <v>59</v>
          </cell>
          <cell r="J191">
            <v>0.94993744405648828</v>
          </cell>
          <cell r="K191">
            <v>0.96835905991430382</v>
          </cell>
          <cell r="L191">
            <v>0.94993744405648828</v>
          </cell>
          <cell r="M191" t="str">
            <v/>
          </cell>
          <cell r="N191" t="str">
            <v/>
          </cell>
          <cell r="O191" t="str">
            <v/>
          </cell>
          <cell r="P191" t="str">
            <v/>
          </cell>
          <cell r="Q191" t="str">
            <v/>
          </cell>
          <cell r="R191" t="str">
            <v/>
          </cell>
          <cell r="S191" t="str">
            <v/>
          </cell>
          <cell r="T191" t="str">
            <v/>
          </cell>
          <cell r="U191" t="str">
            <v/>
          </cell>
          <cell r="V191">
            <v>1.5853058302360474E-3</v>
          </cell>
          <cell r="W191" t="str">
            <v/>
          </cell>
        </row>
        <row r="192">
          <cell r="A192">
            <v>60</v>
          </cell>
          <cell r="J192">
            <v>1</v>
          </cell>
          <cell r="K192">
            <v>1</v>
          </cell>
          <cell r="L192">
            <v>1</v>
          </cell>
          <cell r="M192">
            <v>1</v>
          </cell>
          <cell r="N192">
            <v>1</v>
          </cell>
          <cell r="O192">
            <v>1</v>
          </cell>
          <cell r="P192" t="str">
            <v/>
          </cell>
          <cell r="Q192" t="str">
            <v/>
          </cell>
          <cell r="R192" t="str">
            <v/>
          </cell>
          <cell r="S192" t="str">
            <v/>
          </cell>
          <cell r="T192" t="str">
            <v/>
          </cell>
          <cell r="U192" t="str">
            <v/>
          </cell>
          <cell r="V192">
            <v>0</v>
          </cell>
          <cell r="W192" t="str">
            <v/>
          </cell>
        </row>
        <row r="193">
          <cell r="A193">
            <v>61</v>
          </cell>
          <cell r="J193" t="str">
            <v/>
          </cell>
          <cell r="K193" t="str">
            <v/>
          </cell>
          <cell r="L193" t="str">
            <v/>
          </cell>
          <cell r="M193">
            <v>1.0537744705877468</v>
          </cell>
          <cell r="N193">
            <v>1.0328896101716685</v>
          </cell>
          <cell r="O193">
            <v>1.0537744705877468</v>
          </cell>
          <cell r="P193" t="str">
            <v/>
          </cell>
          <cell r="Q193" t="str">
            <v/>
          </cell>
          <cell r="R193" t="str">
            <v/>
          </cell>
          <cell r="S193" t="str">
            <v/>
          </cell>
          <cell r="T193" t="str">
            <v/>
          </cell>
          <cell r="U193" t="str">
            <v/>
          </cell>
          <cell r="V193" t="str">
            <v/>
          </cell>
          <cell r="W193">
            <v>2.7409738156285407E-3</v>
          </cell>
        </row>
        <row r="194">
          <cell r="A194">
            <v>62</v>
          </cell>
          <cell r="J194" t="str">
            <v/>
          </cell>
          <cell r="K194" t="str">
            <v/>
          </cell>
          <cell r="L194" t="str">
            <v/>
          </cell>
          <cell r="M194">
            <v>1.1116450444182586</v>
          </cell>
          <cell r="N194">
            <v>1.0671137676522271</v>
          </cell>
          <cell r="O194">
            <v>1.1116450444182586</v>
          </cell>
          <cell r="P194" t="str">
            <v/>
          </cell>
          <cell r="Q194" t="str">
            <v/>
          </cell>
          <cell r="R194" t="str">
            <v/>
          </cell>
          <cell r="S194" t="str">
            <v/>
          </cell>
          <cell r="T194" t="str">
            <v/>
          </cell>
          <cell r="U194" t="str">
            <v/>
          </cell>
          <cell r="V194" t="str">
            <v/>
          </cell>
          <cell r="W194">
            <v>5.6776404771954831E-3</v>
          </cell>
        </row>
        <row r="195">
          <cell r="A195">
            <v>63</v>
          </cell>
          <cell r="J195" t="str">
            <v/>
          </cell>
          <cell r="K195" t="str">
            <v/>
          </cell>
          <cell r="L195" t="str">
            <v/>
          </cell>
          <cell r="M195">
            <v>1.1740474318128369</v>
          </cell>
          <cell r="N195">
            <v>1.102778465941765</v>
          </cell>
          <cell r="O195">
            <v>1.1740474318128369</v>
          </cell>
          <cell r="P195" t="str">
            <v/>
          </cell>
          <cell r="Q195" t="str">
            <v/>
          </cell>
          <cell r="R195" t="str">
            <v/>
          </cell>
          <cell r="S195" t="str">
            <v/>
          </cell>
          <cell r="T195" t="str">
            <v/>
          </cell>
          <cell r="U195" t="str">
            <v/>
          </cell>
          <cell r="V195" t="str">
            <v/>
          </cell>
          <cell r="W195">
            <v>8.828568830968414E-3</v>
          </cell>
        </row>
        <row r="196">
          <cell r="A196">
            <v>64</v>
          </cell>
          <cell r="J196" t="str">
            <v/>
          </cell>
          <cell r="K196" t="str">
            <v/>
          </cell>
          <cell r="L196" t="str">
            <v/>
          </cell>
          <cell r="M196">
            <v>1.2414769461130324</v>
          </cell>
          <cell r="N196">
            <v>1.1400058221026954</v>
          </cell>
          <cell r="O196">
            <v>1.2414769461130324</v>
          </cell>
          <cell r="P196" t="str">
            <v/>
          </cell>
          <cell r="Q196" t="str">
            <v/>
          </cell>
          <cell r="R196" t="str">
            <v/>
          </cell>
          <cell r="S196" t="str">
            <v/>
          </cell>
          <cell r="T196" t="str">
            <v/>
          </cell>
          <cell r="U196" t="str">
            <v/>
          </cell>
          <cell r="V196" t="str">
            <v/>
          </cell>
          <cell r="W196">
            <v>1.2214539358085769E-2</v>
          </cell>
        </row>
        <row r="197">
          <cell r="A197">
            <v>65</v>
          </cell>
          <cell r="J197" t="str">
            <v/>
          </cell>
          <cell r="K197" t="str">
            <v/>
          </cell>
          <cell r="L197" t="str">
            <v/>
          </cell>
          <cell r="M197">
            <v>1.3144972912013604</v>
          </cell>
          <cell r="N197">
            <v>1.1789668890793226</v>
          </cell>
          <cell r="O197">
            <v>1.3144972912013604</v>
          </cell>
          <cell r="P197" t="str">
            <v/>
          </cell>
          <cell r="Q197" t="str">
            <v/>
          </cell>
          <cell r="R197" t="str">
            <v/>
          </cell>
          <cell r="S197" t="str">
            <v/>
          </cell>
          <cell r="T197" t="str">
            <v/>
          </cell>
          <cell r="U197" t="str">
            <v/>
          </cell>
          <cell r="V197" t="str">
            <v/>
          </cell>
          <cell r="W197">
            <v>1.5857298384948586E-2</v>
          </cell>
        </row>
        <row r="198">
          <cell r="A198">
            <v>66</v>
          </cell>
          <cell r="J198" t="str">
            <v/>
          </cell>
          <cell r="K198" t="str">
            <v/>
          </cell>
          <cell r="L198" t="str">
            <v/>
          </cell>
          <cell r="M198">
            <v>1.3937522056842737</v>
          </cell>
          <cell r="N198">
            <v>1.2198122715477786</v>
          </cell>
          <cell r="O198">
            <v>1.3937522056842737</v>
          </cell>
          <cell r="P198" t="str">
            <v/>
          </cell>
          <cell r="Q198" t="str">
            <v/>
          </cell>
          <cell r="R198" t="str">
            <v/>
          </cell>
          <cell r="S198" t="str">
            <v/>
          </cell>
          <cell r="T198" t="str">
            <v/>
          </cell>
          <cell r="U198" t="str">
            <v/>
          </cell>
          <cell r="V198" t="str">
            <v/>
          </cell>
          <cell r="W198">
            <v>1.9783582682075234E-2</v>
          </cell>
        </row>
        <row r="199">
          <cell r="A199">
            <v>67</v>
          </cell>
          <cell r="J199" t="str">
            <v/>
          </cell>
          <cell r="K199" t="str">
            <v/>
          </cell>
          <cell r="L199" t="str">
            <v/>
          </cell>
          <cell r="M199">
            <v>1.4799810125838198</v>
          </cell>
          <cell r="N199">
            <v>1.2627078063967736</v>
          </cell>
          <cell r="O199">
            <v>1.4799810125838198</v>
          </cell>
          <cell r="P199" t="str">
            <v/>
          </cell>
          <cell r="Q199" t="str">
            <v/>
          </cell>
          <cell r="R199" t="str">
            <v/>
          </cell>
          <cell r="S199" t="str">
            <v/>
          </cell>
          <cell r="T199" t="str">
            <v/>
          </cell>
          <cell r="U199" t="str">
            <v/>
          </cell>
          <cell r="V199" t="str">
            <v/>
          </cell>
          <cell r="W199">
            <v>2.4024021051878251E-2</v>
          </cell>
        </row>
        <row r="200">
          <cell r="A200">
            <v>68</v>
          </cell>
          <cell r="J200" t="str">
            <v/>
          </cell>
          <cell r="K200" t="str">
            <v/>
          </cell>
          <cell r="L200" t="str">
            <v/>
          </cell>
          <cell r="M200">
            <v>1.5740360728870433</v>
          </cell>
          <cell r="N200">
            <v>1.307845284656636</v>
          </cell>
          <cell r="O200">
            <v>1.5740360728870433</v>
          </cell>
          <cell r="P200" t="str">
            <v/>
          </cell>
          <cell r="Q200" t="str">
            <v/>
          </cell>
          <cell r="R200" t="str">
            <v/>
          </cell>
          <cell r="S200" t="str">
            <v/>
          </cell>
          <cell r="T200" t="str">
            <v/>
          </cell>
          <cell r="U200" t="str">
            <v/>
          </cell>
          <cell r="V200" t="str">
            <v/>
          </cell>
          <cell r="W200">
            <v>2.8613431810081413E-2</v>
          </cell>
        </row>
        <row r="201">
          <cell r="A201">
            <v>69</v>
          </cell>
          <cell r="J201" t="str">
            <v/>
          </cell>
          <cell r="K201" t="str">
            <v/>
          </cell>
          <cell r="L201" t="str">
            <v/>
          </cell>
          <cell r="M201">
            <v>1.6769049754888772</v>
          </cell>
          <cell r="N201">
            <v>1.355415786844161</v>
          </cell>
          <cell r="O201">
            <v>1.6769049754888772</v>
          </cell>
          <cell r="P201" t="str">
            <v/>
          </cell>
          <cell r="Q201" t="str">
            <v/>
          </cell>
          <cell r="R201" t="str">
            <v/>
          </cell>
          <cell r="S201" t="str">
            <v/>
          </cell>
          <cell r="T201" t="str">
            <v/>
          </cell>
          <cell r="U201" t="str">
            <v/>
          </cell>
          <cell r="V201" t="str">
            <v/>
          </cell>
          <cell r="W201">
            <v>3.3593128890965489E-2</v>
          </cell>
        </row>
        <row r="202">
          <cell r="A202">
            <v>70</v>
          </cell>
          <cell r="J202" t="str">
            <v/>
          </cell>
          <cell r="K202" t="str">
            <v/>
          </cell>
          <cell r="L202" t="str">
            <v/>
          </cell>
          <cell r="M202">
            <v>1.7897360040898107</v>
          </cell>
          <cell r="N202">
            <v>1.4056914734446522</v>
          </cell>
          <cell r="O202">
            <v>1.7897360040898107</v>
          </cell>
          <cell r="P202" t="str">
            <v/>
          </cell>
          <cell r="Q202" t="str">
            <v/>
          </cell>
          <cell r="R202" t="str">
            <v/>
          </cell>
          <cell r="S202" t="str">
            <v/>
          </cell>
          <cell r="T202" t="str">
            <v/>
          </cell>
          <cell r="U202" t="str">
            <v/>
          </cell>
          <cell r="V202" t="str">
            <v/>
          </cell>
          <cell r="W202">
            <v>3.9008095933786395E-2</v>
          </cell>
        </row>
        <row r="203">
          <cell r="A203">
            <v>71</v>
          </cell>
          <cell r="J203" t="str">
            <v/>
          </cell>
          <cell r="K203" t="str">
            <v/>
          </cell>
          <cell r="L203" t="str">
            <v/>
          </cell>
          <cell r="M203">
            <v>1.9138708799878179</v>
          </cell>
          <cell r="N203">
            <v>1.4589126963673533</v>
          </cell>
          <cell r="O203">
            <v>1.9138708799878179</v>
          </cell>
          <cell r="P203" t="str">
            <v/>
          </cell>
          <cell r="Q203" t="str">
            <v/>
          </cell>
          <cell r="R203" t="str">
            <v/>
          </cell>
          <cell r="S203" t="str">
            <v/>
          </cell>
          <cell r="T203" t="str">
            <v/>
          </cell>
          <cell r="U203" t="str">
            <v/>
          </cell>
          <cell r="V203" t="str">
            <v/>
          </cell>
          <cell r="W203">
            <v>4.4913818416501501E-2</v>
          </cell>
        </row>
        <row r="204">
          <cell r="A204">
            <v>72</v>
          </cell>
          <cell r="J204" t="str">
            <v/>
          </cell>
          <cell r="K204" t="str">
            <v/>
          </cell>
          <cell r="L204" t="str">
            <v/>
          </cell>
          <cell r="M204">
            <v>2.0508836752169186</v>
          </cell>
          <cell r="N204">
            <v>1.5154587949032876</v>
          </cell>
          <cell r="O204">
            <v>2.0508836752169186</v>
          </cell>
          <cell r="P204" t="str">
            <v/>
          </cell>
          <cell r="Q204" t="str">
            <v/>
          </cell>
          <cell r="R204" t="str">
            <v/>
          </cell>
          <cell r="S204" t="str">
            <v/>
          </cell>
          <cell r="T204" t="str">
            <v/>
          </cell>
          <cell r="U204" t="str">
            <v/>
          </cell>
          <cell r="V204" t="str">
            <v/>
          </cell>
          <cell r="W204">
            <v>5.1369883717947311E-2</v>
          </cell>
        </row>
        <row r="205">
          <cell r="A205">
            <v>73</v>
          </cell>
          <cell r="J205" t="str">
            <v/>
          </cell>
          <cell r="K205" t="str">
            <v/>
          </cell>
          <cell r="L205" t="str">
            <v/>
          </cell>
          <cell r="M205">
            <v>2.2026280891372298</v>
          </cell>
          <cell r="N205">
            <v>1.5756994730701417</v>
          </cell>
          <cell r="O205">
            <v>2.2026280891372298</v>
          </cell>
          <cell r="P205" t="str">
            <v/>
          </cell>
          <cell r="Q205" t="str">
            <v/>
          </cell>
          <cell r="R205" t="str">
            <v/>
          </cell>
          <cell r="S205" t="str">
            <v/>
          </cell>
          <cell r="T205" t="str">
            <v/>
          </cell>
          <cell r="U205" t="str">
            <v/>
          </cell>
          <cell r="V205" t="str">
            <v/>
          </cell>
          <cell r="W205">
            <v>5.8449029695688388E-2</v>
          </cell>
        </row>
        <row r="206">
          <cell r="A206">
            <v>74</v>
          </cell>
          <cell r="J206" t="str">
            <v/>
          </cell>
          <cell r="K206" t="str">
            <v/>
          </cell>
          <cell r="L206" t="str">
            <v/>
          </cell>
          <cell r="M206">
            <v>2.3712993909852491</v>
          </cell>
          <cell r="N206">
            <v>1.6401154814598424</v>
          </cell>
          <cell r="O206">
            <v>2.3712993909852491</v>
          </cell>
          <cell r="P206" t="str">
            <v/>
          </cell>
          <cell r="Q206" t="str">
            <v/>
          </cell>
          <cell r="R206" t="str">
            <v/>
          </cell>
          <cell r="S206" t="str">
            <v/>
          </cell>
          <cell r="T206" t="str">
            <v/>
          </cell>
          <cell r="U206" t="str">
            <v/>
          </cell>
          <cell r="V206" t="str">
            <v/>
          </cell>
          <cell r="W206">
            <v>6.6234116348220101E-2</v>
          </cell>
        </row>
        <row r="207">
          <cell r="A207">
            <v>75</v>
          </cell>
          <cell r="J207" t="str">
            <v/>
          </cell>
          <cell r="K207" t="str">
            <v/>
          </cell>
          <cell r="L207" t="str">
            <v/>
          </cell>
          <cell r="M207">
            <v>2.5595130430756643</v>
          </cell>
          <cell r="N207">
            <v>1.7091839831330893</v>
          </cell>
          <cell r="O207">
            <v>2.5595130430756643</v>
          </cell>
          <cell r="P207" t="str">
            <v/>
          </cell>
          <cell r="Q207" t="str">
            <v/>
          </cell>
          <cell r="R207" t="str">
            <v/>
          </cell>
          <cell r="S207" t="str">
            <v/>
          </cell>
          <cell r="T207" t="str">
            <v/>
          </cell>
          <cell r="U207" t="str">
            <v/>
          </cell>
          <cell r="V207" t="str">
            <v/>
          </cell>
          <cell r="W207">
            <v>7.4826737423607834E-2</v>
          </cell>
        </row>
      </sheetData>
      <sheetData sheetId="4"/>
      <sheetData sheetId="5"/>
      <sheetData sheetId="6"/>
      <sheetData sheetId="7"/>
      <sheetData sheetId="8"/>
      <sheetData sheetId="9"/>
      <sheetData sheetId="10"/>
      <sheetData sheetId="11">
        <row r="148">
          <cell r="A148">
            <v>16</v>
          </cell>
        </row>
      </sheetData>
      <sheetData sheetId="12"/>
      <sheetData sheetId="13"/>
      <sheetData sheetId="14"/>
      <sheetData sheetId="15"/>
      <sheetData sheetId="16"/>
      <sheetData sheetId="17"/>
      <sheetData sheetId="18">
        <row r="148">
          <cell r="A148">
            <v>16</v>
          </cell>
        </row>
      </sheetData>
      <sheetData sheetId="19"/>
      <sheetData sheetId="20"/>
      <sheetData sheetId="21"/>
      <sheetData sheetId="22"/>
      <sheetData sheetId="23"/>
      <sheetData sheetId="24"/>
      <sheetData sheetId="25">
        <row r="148">
          <cell r="A148">
            <v>16</v>
          </cell>
        </row>
      </sheetData>
      <sheetData sheetId="26"/>
      <sheetData sheetId="27"/>
      <sheetData sheetId="28"/>
      <sheetData sheetId="29"/>
      <sheetData sheetId="30"/>
      <sheetData sheetId="31"/>
      <sheetData sheetId="32">
        <row r="148">
          <cell r="A148">
            <v>16</v>
          </cell>
        </row>
      </sheetData>
      <sheetData sheetId="33"/>
      <sheetData sheetId="34"/>
      <sheetData sheetId="35"/>
      <sheetData sheetId="36"/>
      <sheetData sheetId="37"/>
      <sheetData sheetId="38"/>
      <sheetData sheetId="39">
        <row r="148">
          <cell r="A148">
            <v>16</v>
          </cell>
        </row>
      </sheetData>
      <sheetData sheetId="40"/>
      <sheetData sheetId="41"/>
      <sheetData sheetId="42"/>
      <sheetData sheetId="43"/>
      <sheetData sheetId="44"/>
      <sheetData sheetId="45"/>
      <sheetData sheetId="46">
        <row r="148">
          <cell r="A148">
            <v>16</v>
          </cell>
        </row>
      </sheetData>
      <sheetData sheetId="47"/>
      <sheetData sheetId="48"/>
      <sheetData sheetId="49"/>
      <sheetData sheetId="50"/>
      <sheetData sheetId="51"/>
      <sheetData sheetId="52"/>
      <sheetData sheetId="53">
        <row r="148">
          <cell r="A148">
            <v>16</v>
          </cell>
        </row>
      </sheetData>
      <sheetData sheetId="54"/>
      <sheetData sheetId="55"/>
      <sheetData sheetId="56"/>
      <sheetData sheetId="57"/>
      <sheetData sheetId="58"/>
      <sheetData sheetId="59"/>
      <sheetData sheetId="60">
        <row r="148">
          <cell r="A148">
            <v>16</v>
          </cell>
        </row>
      </sheetData>
      <sheetData sheetId="61"/>
      <sheetData sheetId="62"/>
      <sheetData sheetId="63"/>
      <sheetData sheetId="64"/>
      <sheetData sheetId="65"/>
      <sheetData sheetId="66"/>
      <sheetData sheetId="67">
        <row r="148">
          <cell r="A148">
            <v>16</v>
          </cell>
        </row>
      </sheetData>
      <sheetData sheetId="68"/>
      <sheetData sheetId="69"/>
      <sheetData sheetId="70"/>
      <sheetData sheetId="71"/>
      <sheetData sheetId="72"/>
      <sheetData sheetId="73"/>
      <sheetData sheetId="74">
        <row r="148">
          <cell r="A148">
            <v>16</v>
          </cell>
        </row>
      </sheetData>
      <sheetData sheetId="75"/>
      <sheetData sheetId="76"/>
      <sheetData sheetId="77"/>
      <sheetData sheetId="78"/>
      <sheetData sheetId="79"/>
      <sheetData sheetId="80"/>
      <sheetData sheetId="81">
        <row r="148">
          <cell r="A148">
            <v>16</v>
          </cell>
        </row>
      </sheetData>
      <sheetData sheetId="82"/>
      <sheetData sheetId="83"/>
      <sheetData sheetId="84"/>
      <sheetData sheetId="85"/>
      <sheetData sheetId="86"/>
      <sheetData sheetId="87"/>
      <sheetData sheetId="88">
        <row r="148">
          <cell r="A148">
            <v>16</v>
          </cell>
        </row>
      </sheetData>
      <sheetData sheetId="89"/>
      <sheetData sheetId="90"/>
      <sheetData sheetId="91"/>
      <sheetData sheetId="92"/>
      <sheetData sheetId="93"/>
      <sheetData sheetId="94"/>
      <sheetData sheetId="95">
        <row r="148">
          <cell r="A148">
            <v>16</v>
          </cell>
        </row>
      </sheetData>
      <sheetData sheetId="96"/>
      <sheetData sheetId="97"/>
      <sheetData sheetId="98"/>
      <sheetData sheetId="99"/>
      <sheetData sheetId="100"/>
      <sheetData sheetId="101"/>
      <sheetData sheetId="102">
        <row r="148">
          <cell r="A148">
            <v>16</v>
          </cell>
        </row>
      </sheetData>
      <sheetData sheetId="103"/>
      <sheetData sheetId="104"/>
      <sheetData sheetId="105"/>
      <sheetData sheetId="106"/>
      <sheetData sheetId="107"/>
      <sheetData sheetId="108"/>
      <sheetData sheetId="109">
        <row r="148">
          <cell r="A148">
            <v>16</v>
          </cell>
        </row>
      </sheetData>
      <sheetData sheetId="110"/>
      <sheetData sheetId="111"/>
      <sheetData sheetId="112"/>
      <sheetData sheetId="113"/>
      <sheetData sheetId="114"/>
      <sheetData sheetId="115"/>
      <sheetData sheetId="116">
        <row r="148">
          <cell r="A148">
            <v>16</v>
          </cell>
        </row>
      </sheetData>
      <sheetData sheetId="117"/>
      <sheetData sheetId="118"/>
      <sheetData sheetId="119"/>
      <sheetData sheetId="120"/>
      <sheetData sheetId="121"/>
      <sheetData sheetId="122"/>
      <sheetData sheetId="123">
        <row r="148">
          <cell r="A148">
            <v>16</v>
          </cell>
        </row>
      </sheetData>
      <sheetData sheetId="124"/>
      <sheetData sheetId="125"/>
      <sheetData sheetId="126"/>
      <sheetData sheetId="127"/>
      <sheetData sheetId="128"/>
      <sheetData sheetId="129"/>
      <sheetData sheetId="130">
        <row r="148">
          <cell r="A148">
            <v>16</v>
          </cell>
        </row>
      </sheetData>
      <sheetData sheetId="131"/>
      <sheetData sheetId="132"/>
      <sheetData sheetId="133"/>
      <sheetData sheetId="134"/>
      <sheetData sheetId="135"/>
      <sheetData sheetId="136"/>
      <sheetData sheetId="137">
        <row r="148">
          <cell r="A148">
            <v>16</v>
          </cell>
        </row>
      </sheetData>
      <sheetData sheetId="138"/>
      <sheetData sheetId="139"/>
      <sheetData sheetId="140"/>
      <sheetData sheetId="141"/>
      <sheetData sheetId="142"/>
      <sheetData sheetId="143"/>
      <sheetData sheetId="144">
        <row r="148">
          <cell r="A148">
            <v>16</v>
          </cell>
        </row>
      </sheetData>
      <sheetData sheetId="145"/>
      <sheetData sheetId="146"/>
      <sheetData sheetId="147"/>
      <sheetData sheetId="148"/>
      <sheetData sheetId="149"/>
      <sheetData sheetId="150"/>
      <sheetData sheetId="151">
        <row r="148">
          <cell r="A148">
            <v>16</v>
          </cell>
        </row>
      </sheetData>
      <sheetData sheetId="152"/>
      <sheetData sheetId="153"/>
      <sheetData sheetId="154"/>
      <sheetData sheetId="15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hyperlink" Target="file:///\\Gad-psps\psps\Fire_S\Factors\2018\Main%20Factor%20Review\ERFs\Final%20factors%20on%202.4%25\Fire%20Scotland%20ERFs%20and%20LRFs%20-%20January%202019.xlsm" TargetMode="External"/><Relationship Id="rId2" Type="http://schemas.openxmlformats.org/officeDocument/2006/relationships/hyperlink" Target="file:///\\Gad-psps\psps\Fire_S\Factors\2018\Main%20Factor%20Review\ERFs\Final%20factors%20on%202.4%25\Fire%20Scotland%20ERFs%20and%20LRFs%20-%20January%202019.xlsm" TargetMode="External"/><Relationship Id="rId1" Type="http://schemas.openxmlformats.org/officeDocument/2006/relationships/hyperlink" Target="file:///\\Gad-psps\psps\Fire_S\Factors\2018\Main%20Factor%20Review\ERFs\Final%20factors%20on%202.4%25\Fire%20Scotland%20ERFs%20and%20LRFs%20-%20January%202019.xlsm" TargetMode="External"/><Relationship Id="rId4"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8" Type="http://schemas.openxmlformats.org/officeDocument/2006/relationships/hyperlink" Target="file:///\\gad-Archive\PSPS_ARCHIVE\FPT\NEW%20DATA\FPT%20Clients\Archive\A2%20DATA\a2clients\Police%20Pensions\0140-00972%20Home%20Office%20Police\Cost%20Ceiling\Pension%20estimator\Pension%20calculator%20v0.30.xls" TargetMode="External"/><Relationship Id="rId13" Type="http://schemas.openxmlformats.org/officeDocument/2006/relationships/hyperlink" Target="file:///\\gad-Archive\PSPS_ARCHIVE\FPT\NEW%20DATA\FPT%20Clients\Fire\Police\Scotland\General\Benefits%20Projection%20Calculator\Test%20Cases\Pension%20calculator%20Updated%20v0.8.xls" TargetMode="External"/><Relationship Id="rId18" Type="http://schemas.openxmlformats.org/officeDocument/2006/relationships/hyperlink" Target="file:///\\gad-Archive\PSPS_ARCHIVE\FPT\NEW%20DATA\FPT%20Clients\Fire\Police\Scotland\General\Benefits%20Projection%20Calculator\Pension%20calculator%20Updated%20v0.13.xlsm" TargetMode="External"/><Relationship Id="rId26" Type="http://schemas.openxmlformats.org/officeDocument/2006/relationships/printerSettings" Target="../printerSettings/printerSettings2.bin"/><Relationship Id="rId3" Type="http://schemas.openxmlformats.org/officeDocument/2006/relationships/hyperlink" Target="file:///\\gad-Archive\PSPS_ARCHIVE\FPT\NEW%20DATA\FPT%20Clients\Archive\A2%20DATA\a2clients\Police%20Pensions\0140-00972%20Home%20Office%20Police\Cost%20Ceiling\Pension%20estimator\Pension%20calculator%20v0.18.xls" TargetMode="External"/><Relationship Id="rId21" Type="http://schemas.openxmlformats.org/officeDocument/2006/relationships/hyperlink" Target="file:///\\gad-Archive\PSPS_ARCHIVE\FPT\NEW%20DATA\FPT%20Clients\Fire\Police\Scotland\General\Benefits%20Projection%20Calculator\Pension%20calculator%20Updated%20v1.1.xlsm" TargetMode="External"/><Relationship Id="rId7" Type="http://schemas.openxmlformats.org/officeDocument/2006/relationships/hyperlink" Target="file:///\\gad-Archive\PSPS_ARCHIVE\FPT\NEW%20DATA\FPT%20Clients\Archive\A2%20DATA\a2clients\Police%20Pensions\0140-00972%20Home%20Office%20Police\Cost%20Ceiling\Pension%20estimator\Pension%20calculator%20v0.29.xls" TargetMode="External"/><Relationship Id="rId12" Type="http://schemas.openxmlformats.org/officeDocument/2006/relationships/hyperlink" Target="file:///\\gad-Archive\PSPS_ARCHIVE\FPT\NEW%20DATA\FPT%20Clients\Fire\Police\Scotland\General\Benefits%20Projection%20Calculator\Test%20Cases\Pension%20calculator%20Updated%20v0.7.xls" TargetMode="External"/><Relationship Id="rId17" Type="http://schemas.openxmlformats.org/officeDocument/2006/relationships/hyperlink" Target="file:///\\gad-Archive\PSPS_ARCHIVE\FPT\NEW%20DATA\FPT%20Clients\Fire\Police\Scotland\General\Benefits%20Projection%20Calculator\Pension%20calculator%20Updated%20v0.12.xls" TargetMode="External"/><Relationship Id="rId25" Type="http://schemas.openxmlformats.org/officeDocument/2006/relationships/hyperlink" Target="file:///\\gad-Archive\PSPS_ARCHIVE\FPT\NEW%20DATA\FPT%20Clients\Fire\Police\Scotland\General\Benefits%20Projection%20Calculator\Pension%20calculator%20Updated%20v1.5.xlsx" TargetMode="External"/><Relationship Id="rId2" Type="http://schemas.openxmlformats.org/officeDocument/2006/relationships/hyperlink" Target="file:///\\gad-Archive\PSPS_ARCHIVE\FPT\NEW%20DATA\FPT%20Clients\Archive\A2%20DATA\a2clients\Police%20Pensions\0140-00972%20Home%20Office%20Police\Cost%20Ceiling\Pension%20estimator\Pension%20calculator%20v0.08.xlsm" TargetMode="External"/><Relationship Id="rId16" Type="http://schemas.openxmlformats.org/officeDocument/2006/relationships/hyperlink" Target="file:///\\gad-Archive\PSPS_ARCHIVE\FPT\NEW%20DATA\FPT%20Clients\Fire\Police\Scotland\General\Benefits%20Projection%20Calculator\Pension%20calculator%20Updated%20v0.11.xls" TargetMode="External"/><Relationship Id="rId20" Type="http://schemas.openxmlformats.org/officeDocument/2006/relationships/hyperlink" Target="file:///\\gad-Archive\PSPS_ARCHIVE\FPT\NEW%20DATA\FPT%20Clients\Fire\Police\Scotland\General\Benefits%20Projection%20Calculator\161201SPPACalculatorAgreedChanges.docx" TargetMode="External"/><Relationship Id="rId1" Type="http://schemas.openxmlformats.org/officeDocument/2006/relationships/hyperlink" Target="file:///\\gad-Archive\PSPS_ARCHIVE\FPT\NEW%20DATA\FPT%20Clients\Archive\A2%20DATA\a2clients\Police%20Pensions\0140-00972%20Home%20Office%20Police\Cost%20Ceiling\Pension%20estimator\Pension%20calculator%20v0.07.xlsm" TargetMode="External"/><Relationship Id="rId6" Type="http://schemas.openxmlformats.org/officeDocument/2006/relationships/hyperlink" Target="file:///\\gad-Archive\PSPS_ARCHIVE\FPT\NEW%20DATA\FPT%20Clients\Archive\A2%20DATA\a2clients\Police%20Pensions\0140-00972%20Home%20Office%20Police\Cost%20Ceiling\Pension%20estimator\Pension%20calculator%20v0.27.xls" TargetMode="External"/><Relationship Id="rId11" Type="http://schemas.openxmlformats.org/officeDocument/2006/relationships/hyperlink" Target="file:///\\gad-Archive\PSPS_ARCHIVE\FPT\NEW%20DATA\FPT%20Clients\Fire\Police\Scotland\General\Benefits%20Projection%20Calculator\Test%20Cases\Pension%20calculator%20Updated%20v0.6.xls" TargetMode="External"/><Relationship Id="rId24" Type="http://schemas.openxmlformats.org/officeDocument/2006/relationships/hyperlink" Target="file:///\\gad-Archive\PSPS_ARCHIVE\FPT\NEW%20DATA\FPT%20Clients\Fire\Police\Scotland\General\Benefits%20Projection%20Calculator\Pension%20calculator%20Updated%20v1.4.xlsx" TargetMode="External"/><Relationship Id="rId5" Type="http://schemas.openxmlformats.org/officeDocument/2006/relationships/hyperlink" Target="file:///\\gad-Archive\PSPS_ARCHIVE\FPT\NEW%20DATA\FPT%20Clients\Archive\A2%20DATA\a2clients\Police%20Pensions\0140-00972%20Home%20Office%20Police\Cost%20Ceiling\Pension%20estimator\Pension%20calculator%20v0.26.xls" TargetMode="External"/><Relationship Id="rId15" Type="http://schemas.openxmlformats.org/officeDocument/2006/relationships/hyperlink" Target="file:///\\gad-Archive\PSPS_ARCHIVE\FPT\NEW%20DATA\FPT%20Clients\Fire\Police\Scotland\General\Benefits%20Projection%20Calculator\Test%20Cases\Pension%20calculator%20Updated%20v0.10.xls" TargetMode="External"/><Relationship Id="rId23" Type="http://schemas.openxmlformats.org/officeDocument/2006/relationships/hyperlink" Target="file:///\\gad-Archive\PSPS_ARCHIVE\FPT\NEW%20DATA\FPT%20Clients\Fire\Police\Scotland\General\Benefits%20Projection%20Calculator\Pension%20calculator%20Updated%20v1.3.xlsm" TargetMode="External"/><Relationship Id="rId10" Type="http://schemas.openxmlformats.org/officeDocument/2006/relationships/hyperlink" Target="file:///\\gad-Archive\PSPS_ARCHIVE\FPT\NEW%20DATA\FPT%20Clients\Fire\Police\Scotland\General\Benefits%20Projection%20Calculator\Test%20Cases\Pension%20calculator%20Updated%20v0.5.xls" TargetMode="External"/><Relationship Id="rId19" Type="http://schemas.openxmlformats.org/officeDocument/2006/relationships/hyperlink" Target="file:///\\gad-Archive\PSPS_ARCHIVE\FPT\NEW%20DATA\FPT%20Clients\Fire\Police\Scotland\General\Benefits%20Projection%20Calculator\Pension%20calculator%20Updated%20v1.0.xlsm" TargetMode="External"/><Relationship Id="rId4" Type="http://schemas.openxmlformats.org/officeDocument/2006/relationships/hyperlink" Target="file:///\\gad-Archive\PSPS_ARCHIVE\FPT\NEW%20DATA\FPT%20Clients\Archive\A2%20DATA\a2clients\Police%20Pensions\0140-00972%20Home%20Office%20Police\Cost%20Ceiling\Pension%20estimator\Pension%20calculator%20v0.19.xls" TargetMode="External"/><Relationship Id="rId9" Type="http://schemas.openxmlformats.org/officeDocument/2006/relationships/hyperlink" Target="file:///\\gad-Archive\PSPS_ARCHIVE\FPT\NEW%20DATA\FPT%20Clients\Fire\Police\Scotland\General\Benefits%20Projection%20Calculator\Test%20Cases\Pension%20calculator%20Updated%20v0.1.xls" TargetMode="External"/><Relationship Id="rId14" Type="http://schemas.openxmlformats.org/officeDocument/2006/relationships/hyperlink" Target="file:///\\gad-Archive\PSPS_ARCHIVE\FPT\NEW%20DATA\FPT%20Clients\Fire\Police\Scotland\General\Benefits%20Projection%20Calculator\Test%20Cases\Pension%20calculator%20Updated%20v0.9.xls" TargetMode="External"/><Relationship Id="rId22" Type="http://schemas.openxmlformats.org/officeDocument/2006/relationships/hyperlink" Target="file:///\\gad-Archive\PSPS_ARCHIVE\FPT\NEW%20DATA\FPT%20Clients\Fire\Police\Scotland\General\Benefits%20Projection%20Calculator\Pension%20calculator%20Updated%20v1.2.xls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www.sppa.gov.uk/Documents/Firefighters/Firefighters%20Useful%20Resources/Calculators/Firefighter%20Calculator%20FAQ%202017%20v2.pdf" TargetMode="External"/><Relationship Id="rId7" Type="http://schemas.openxmlformats.org/officeDocument/2006/relationships/ctrlProp" Target="../ctrlProps/ctrlProp3.xml"/><Relationship Id="rId2" Type="http://schemas.openxmlformats.org/officeDocument/2006/relationships/hyperlink" Target="http://www.sppa.gov.uk/index.php?option=com_content&amp;view=article&amp;id=263&amp;Itemid=342" TargetMode="External"/><Relationship Id="rId1" Type="http://schemas.openxmlformats.org/officeDocument/2006/relationships/hyperlink" Target="http://2015.sppa.gov.uk/scheme/firefighters" TargetMode="External"/><Relationship Id="rId6" Type="http://schemas.openxmlformats.org/officeDocument/2006/relationships/vmlDrawing" Target="../drawings/vmlDrawing2.vml"/><Relationship Id="rId5" Type="http://schemas.openxmlformats.org/officeDocument/2006/relationships/drawing" Target="../drawings/drawing3.xml"/><Relationship Id="rId4"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gov.uk/government/publications/firefighters-pension-scheme-proposed-final-agreement"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01.2018%20Factor%20Review%20and%20previous/Emails_Fire%201992%20-%20Commutation%20update%20(Oct%202018).pdf" TargetMode="External"/><Relationship Id="rId1" Type="http://schemas.openxmlformats.org/officeDocument/2006/relationships/hyperlink" Target="../../01.2018%20Factor%20Review%20and%20previous/Emails_Fire%201992%20-%20Commutation%20update%20(Oct%202018).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S67"/>
  <sheetViews>
    <sheetView workbookViewId="0"/>
  </sheetViews>
  <sheetFormatPr defaultRowHeight="13.2" x14ac:dyDescent="0.25"/>
  <cols>
    <col min="1" max="1" width="20.44140625" style="9" customWidth="1"/>
    <col min="2" max="2" width="130.6640625" style="2" customWidth="1"/>
    <col min="3" max="3" width="9.109375" style="9" customWidth="1"/>
    <col min="4" max="4" width="10.109375" style="9" bestFit="1" customWidth="1"/>
    <col min="5" max="7" width="9.109375" style="9" customWidth="1"/>
    <col min="8" max="8" width="10.109375" style="9" customWidth="1"/>
    <col min="9" max="9" width="11.44140625" style="9" customWidth="1"/>
    <col min="10" max="11" width="9.109375" style="9" customWidth="1"/>
    <col min="12" max="12" width="15.44140625" style="9" bestFit="1" customWidth="1"/>
    <col min="13" max="13" width="21" style="9" bestFit="1" customWidth="1"/>
    <col min="14" max="14" width="9.33203125" style="9" customWidth="1"/>
    <col min="15" max="15" width="9.5546875" style="9" customWidth="1"/>
    <col min="16" max="20" width="13.109375" style="9" customWidth="1"/>
    <col min="21" max="26" width="9.109375" style="9" customWidth="1"/>
    <col min="27" max="27" width="11.33203125" style="9" customWidth="1"/>
    <col min="28" max="28" width="10.109375" style="9" customWidth="1"/>
    <col min="29" max="30" width="9.109375" style="9" customWidth="1"/>
    <col min="31" max="31" width="15.44140625" style="9" bestFit="1" customWidth="1"/>
    <col min="32" max="32" width="21" style="9" bestFit="1" customWidth="1"/>
    <col min="33" max="34" width="9.5546875" style="9" bestFit="1" customWidth="1"/>
    <col min="35" max="35" width="9.5546875" style="9" customWidth="1"/>
    <col min="36" max="38" width="9.109375" style="9" customWidth="1"/>
    <col min="39" max="39" width="12.44140625" style="9" bestFit="1" customWidth="1"/>
    <col min="40" max="45" width="9.109375" style="9" customWidth="1"/>
  </cols>
  <sheetData>
    <row r="1" spans="1:45" ht="21" x14ac:dyDescent="0.4">
      <c r="A1" s="4" t="s">
        <v>19</v>
      </c>
      <c r="B1" s="4"/>
      <c r="C1"/>
      <c r="D1"/>
      <c r="E1"/>
      <c r="F1"/>
      <c r="G1"/>
      <c r="H1"/>
      <c r="I1"/>
      <c r="J1"/>
      <c r="K1"/>
      <c r="L1"/>
      <c r="M1"/>
      <c r="N1"/>
      <c r="O1"/>
      <c r="P1"/>
      <c r="Q1"/>
      <c r="R1"/>
      <c r="S1"/>
      <c r="T1"/>
      <c r="U1"/>
      <c r="V1"/>
      <c r="W1"/>
      <c r="X1"/>
      <c r="Y1"/>
      <c r="Z1"/>
      <c r="AA1"/>
      <c r="AB1"/>
      <c r="AC1"/>
      <c r="AD1"/>
      <c r="AE1"/>
      <c r="AF1"/>
      <c r="AG1"/>
      <c r="AH1"/>
      <c r="AI1"/>
      <c r="AJ1"/>
      <c r="AK1"/>
      <c r="AL1"/>
      <c r="AM1"/>
      <c r="AN1"/>
      <c r="AO1"/>
      <c r="AP1"/>
      <c r="AQ1"/>
      <c r="AR1"/>
      <c r="AS1"/>
    </row>
    <row r="2" spans="1:45" ht="15.6" x14ac:dyDescent="0.3">
      <c r="A2" s="5" t="s">
        <v>507</v>
      </c>
      <c r="B2" s="5"/>
      <c r="C2"/>
      <c r="D2"/>
      <c r="E2"/>
      <c r="F2"/>
      <c r="G2"/>
      <c r="H2"/>
      <c r="I2"/>
      <c r="J2"/>
      <c r="K2"/>
      <c r="L2"/>
      <c r="M2"/>
      <c r="N2"/>
      <c r="O2"/>
      <c r="P2"/>
      <c r="Q2"/>
      <c r="R2"/>
      <c r="S2"/>
      <c r="T2"/>
      <c r="U2"/>
      <c r="V2"/>
      <c r="W2"/>
      <c r="X2"/>
      <c r="Y2"/>
      <c r="Z2"/>
      <c r="AA2"/>
      <c r="AB2"/>
      <c r="AC2"/>
      <c r="AD2"/>
      <c r="AE2"/>
      <c r="AF2"/>
      <c r="AG2"/>
      <c r="AH2"/>
      <c r="AI2"/>
      <c r="AJ2"/>
      <c r="AK2"/>
      <c r="AL2"/>
      <c r="AM2"/>
      <c r="AN2"/>
      <c r="AO2"/>
      <c r="AP2"/>
      <c r="AQ2"/>
      <c r="AR2"/>
      <c r="AS2"/>
    </row>
    <row r="3" spans="1:45" ht="15.6" x14ac:dyDescent="0.3">
      <c r="A3" s="77" t="s">
        <v>20</v>
      </c>
      <c r="B3" s="6"/>
      <c r="C3"/>
      <c r="D3"/>
      <c r="E3"/>
      <c r="F3"/>
      <c r="G3"/>
      <c r="H3"/>
      <c r="I3"/>
      <c r="J3"/>
      <c r="K3"/>
      <c r="L3"/>
      <c r="M3"/>
      <c r="N3"/>
      <c r="O3"/>
      <c r="P3"/>
      <c r="Q3"/>
      <c r="R3"/>
      <c r="S3"/>
      <c r="T3"/>
      <c r="U3"/>
      <c r="V3"/>
      <c r="W3"/>
      <c r="X3"/>
      <c r="Y3"/>
      <c r="Z3"/>
      <c r="AA3"/>
      <c r="AB3"/>
      <c r="AC3"/>
      <c r="AD3"/>
      <c r="AE3"/>
      <c r="AF3"/>
      <c r="AG3"/>
      <c r="AH3"/>
      <c r="AI3"/>
      <c r="AJ3"/>
      <c r="AK3"/>
      <c r="AL3"/>
      <c r="AM3"/>
      <c r="AN3"/>
      <c r="AO3"/>
      <c r="AP3"/>
      <c r="AQ3"/>
      <c r="AR3"/>
      <c r="AS3"/>
    </row>
    <row r="4" spans="1:45" x14ac:dyDescent="0.25">
      <c r="A4" s="7" t="str">
        <f ca="1">CELL("filename",A1)</f>
        <v>\\Gad-ast\ast\Development_Tools\Benefit projection calculators\File sent to client team Feb 2021\[Fire Scotland - Benefit Calculator - 23Feb2021.xlsx]Cover</v>
      </c>
      <c r="C4"/>
      <c r="D4"/>
      <c r="E4"/>
      <c r="F4"/>
      <c r="G4"/>
      <c r="H4"/>
      <c r="I4"/>
      <c r="J4"/>
      <c r="K4"/>
      <c r="L4"/>
      <c r="M4"/>
      <c r="N4"/>
      <c r="O4"/>
      <c r="P4"/>
      <c r="Q4"/>
      <c r="R4"/>
      <c r="S4"/>
      <c r="T4"/>
      <c r="U4"/>
      <c r="V4"/>
      <c r="W4"/>
      <c r="X4"/>
      <c r="Y4"/>
      <c r="Z4"/>
      <c r="AA4"/>
      <c r="AB4"/>
      <c r="AC4"/>
      <c r="AD4"/>
      <c r="AE4"/>
      <c r="AF4"/>
      <c r="AG4"/>
      <c r="AH4"/>
      <c r="AI4"/>
      <c r="AJ4"/>
      <c r="AK4"/>
      <c r="AL4"/>
      <c r="AM4"/>
      <c r="AN4"/>
      <c r="AO4"/>
      <c r="AP4"/>
      <c r="AQ4"/>
      <c r="AR4"/>
      <c r="AS4"/>
    </row>
    <row r="5" spans="1:45" x14ac:dyDescent="0.25">
      <c r="A5" s="7"/>
      <c r="C5"/>
      <c r="D5"/>
      <c r="E5"/>
      <c r="F5"/>
      <c r="G5"/>
      <c r="H5"/>
      <c r="I5"/>
      <c r="J5"/>
      <c r="K5"/>
      <c r="L5"/>
      <c r="M5"/>
      <c r="N5"/>
      <c r="O5"/>
      <c r="P5"/>
      <c r="Q5"/>
      <c r="R5"/>
      <c r="S5"/>
      <c r="T5"/>
      <c r="U5"/>
      <c r="V5"/>
      <c r="W5"/>
      <c r="X5"/>
      <c r="Y5"/>
      <c r="Z5"/>
      <c r="AA5"/>
      <c r="AB5"/>
      <c r="AC5"/>
      <c r="AD5"/>
      <c r="AE5"/>
      <c r="AF5"/>
      <c r="AG5"/>
      <c r="AH5"/>
      <c r="AI5"/>
      <c r="AJ5"/>
      <c r="AK5"/>
      <c r="AL5"/>
      <c r="AM5"/>
      <c r="AN5"/>
      <c r="AO5"/>
      <c r="AP5"/>
      <c r="AQ5"/>
      <c r="AR5"/>
      <c r="AS5"/>
    </row>
    <row r="6" spans="1:45" ht="19.5" customHeight="1" x14ac:dyDescent="0.25">
      <c r="A6" s="1" t="s">
        <v>42</v>
      </c>
      <c r="C6"/>
      <c r="D6" s="8"/>
      <c r="E6"/>
      <c r="F6"/>
      <c r="G6"/>
      <c r="H6"/>
      <c r="I6"/>
      <c r="J6"/>
      <c r="K6"/>
      <c r="L6"/>
      <c r="M6"/>
      <c r="N6"/>
      <c r="O6"/>
      <c r="P6"/>
      <c r="Q6"/>
      <c r="R6"/>
      <c r="S6"/>
      <c r="T6"/>
      <c r="U6"/>
      <c r="V6"/>
      <c r="W6"/>
      <c r="X6"/>
      <c r="Y6"/>
      <c r="Z6"/>
      <c r="AA6"/>
      <c r="AB6"/>
      <c r="AC6"/>
      <c r="AD6"/>
      <c r="AE6"/>
      <c r="AF6"/>
      <c r="AG6"/>
      <c r="AH6"/>
      <c r="AI6"/>
      <c r="AJ6"/>
      <c r="AK6"/>
      <c r="AL6"/>
      <c r="AM6"/>
      <c r="AN6"/>
      <c r="AO6"/>
      <c r="AP6"/>
      <c r="AQ6"/>
      <c r="AR6"/>
      <c r="AS6"/>
    </row>
    <row r="7" spans="1:45" ht="17.25" customHeight="1" x14ac:dyDescent="0.25">
      <c r="A7" s="1" t="s">
        <v>43</v>
      </c>
      <c r="C7"/>
      <c r="D7" s="8"/>
      <c r="E7"/>
      <c r="F7"/>
      <c r="G7"/>
      <c r="H7"/>
      <c r="I7"/>
      <c r="J7"/>
      <c r="K7"/>
      <c r="L7"/>
      <c r="M7"/>
      <c r="N7"/>
      <c r="O7"/>
      <c r="P7"/>
      <c r="Q7"/>
      <c r="R7"/>
      <c r="S7"/>
      <c r="T7"/>
      <c r="U7"/>
      <c r="V7"/>
      <c r="W7"/>
      <c r="X7"/>
      <c r="Y7"/>
      <c r="Z7"/>
      <c r="AA7"/>
      <c r="AB7"/>
      <c r="AC7"/>
      <c r="AD7"/>
      <c r="AE7"/>
      <c r="AF7"/>
      <c r="AG7"/>
      <c r="AH7"/>
      <c r="AI7"/>
      <c r="AJ7"/>
      <c r="AK7"/>
      <c r="AL7"/>
      <c r="AM7"/>
      <c r="AN7"/>
      <c r="AO7"/>
      <c r="AP7"/>
      <c r="AQ7"/>
      <c r="AR7"/>
      <c r="AS7"/>
    </row>
    <row r="8" spans="1:45" x14ac:dyDescent="0.25">
      <c r="A8"/>
      <c r="C8"/>
      <c r="D8" s="8"/>
      <c r="E8"/>
      <c r="F8"/>
      <c r="G8"/>
      <c r="H8"/>
      <c r="I8"/>
      <c r="J8"/>
      <c r="K8"/>
      <c r="L8"/>
      <c r="M8"/>
      <c r="N8"/>
      <c r="O8"/>
      <c r="P8"/>
      <c r="Q8"/>
      <c r="R8"/>
      <c r="S8"/>
      <c r="T8"/>
      <c r="U8"/>
      <c r="V8"/>
      <c r="W8"/>
      <c r="X8"/>
      <c r="Y8"/>
      <c r="Z8"/>
      <c r="AA8"/>
      <c r="AB8"/>
      <c r="AC8"/>
      <c r="AD8"/>
      <c r="AE8"/>
      <c r="AF8"/>
      <c r="AG8"/>
      <c r="AH8"/>
      <c r="AI8"/>
      <c r="AJ8"/>
      <c r="AK8"/>
      <c r="AL8"/>
      <c r="AM8"/>
      <c r="AN8"/>
      <c r="AO8"/>
      <c r="AP8"/>
      <c r="AQ8"/>
      <c r="AR8"/>
      <c r="AS8"/>
    </row>
    <row r="9" spans="1:45" x14ac:dyDescent="0.25">
      <c r="A9" s="1" t="s">
        <v>11</v>
      </c>
    </row>
    <row r="10" spans="1:45" x14ac:dyDescent="0.25">
      <c r="A10"/>
    </row>
    <row r="11" spans="1:45" x14ac:dyDescent="0.25">
      <c r="A11"/>
      <c r="B11" s="2" t="s">
        <v>90</v>
      </c>
    </row>
    <row r="12" spans="1:45" x14ac:dyDescent="0.25">
      <c r="A12"/>
    </row>
    <row r="13" spans="1:45" x14ac:dyDescent="0.25">
      <c r="A13" s="1" t="s">
        <v>13</v>
      </c>
    </row>
    <row r="14" spans="1:45" x14ac:dyDescent="0.25">
      <c r="A14"/>
    </row>
    <row r="15" spans="1:45" x14ac:dyDescent="0.25">
      <c r="A15" s="1" t="s">
        <v>4</v>
      </c>
      <c r="B15" s="15" t="s">
        <v>5</v>
      </c>
    </row>
    <row r="16" spans="1:45" x14ac:dyDescent="0.25">
      <c r="A16" s="3"/>
      <c r="B16" s="2" t="s">
        <v>39</v>
      </c>
    </row>
    <row r="17" spans="1:2" x14ac:dyDescent="0.25">
      <c r="A17" s="3"/>
    </row>
    <row r="18" spans="1:2" x14ac:dyDescent="0.25">
      <c r="A18" s="3"/>
    </row>
    <row r="19" spans="1:2" x14ac:dyDescent="0.25">
      <c r="A19" s="3"/>
    </row>
    <row r="20" spans="1:2" x14ac:dyDescent="0.25">
      <c r="A20" s="3"/>
    </row>
    <row r="21" spans="1:2" x14ac:dyDescent="0.25">
      <c r="A21" s="3"/>
    </row>
    <row r="22" spans="1:2" x14ac:dyDescent="0.25">
      <c r="A22" s="3"/>
    </row>
    <row r="23" spans="1:2" x14ac:dyDescent="0.25">
      <c r="A23" s="3"/>
    </row>
    <row r="24" spans="1:2" x14ac:dyDescent="0.25">
      <c r="A24" s="3"/>
    </row>
    <row r="25" spans="1:2" x14ac:dyDescent="0.25">
      <c r="A25" s="3"/>
    </row>
    <row r="26" spans="1:2" x14ac:dyDescent="0.25">
      <c r="A26" s="1" t="s">
        <v>40</v>
      </c>
    </row>
    <row r="27" spans="1:2" ht="26.4" x14ac:dyDescent="0.25">
      <c r="A27" s="1"/>
      <c r="B27" s="2" t="s">
        <v>56</v>
      </c>
    </row>
    <row r="28" spans="1:2" x14ac:dyDescent="0.25">
      <c r="A28" s="1"/>
    </row>
    <row r="29" spans="1:2" x14ac:dyDescent="0.25">
      <c r="A29" s="1"/>
    </row>
    <row r="30" spans="1:2" x14ac:dyDescent="0.25">
      <c r="A30" s="1"/>
    </row>
    <row r="31" spans="1:2" x14ac:dyDescent="0.25">
      <c r="A31" s="1"/>
    </row>
    <row r="32" spans="1:2" x14ac:dyDescent="0.25">
      <c r="A32" s="1"/>
    </row>
    <row r="33" spans="1:2" x14ac:dyDescent="0.25">
      <c r="A33" s="1"/>
    </row>
    <row r="34" spans="1:2" x14ac:dyDescent="0.25">
      <c r="A34" s="1"/>
    </row>
    <row r="35" spans="1:2" x14ac:dyDescent="0.25">
      <c r="A35" s="3"/>
    </row>
    <row r="36" spans="1:2" x14ac:dyDescent="0.25">
      <c r="A36" s="1" t="s">
        <v>12</v>
      </c>
    </row>
    <row r="37" spans="1:2" x14ac:dyDescent="0.25">
      <c r="A37"/>
    </row>
    <row r="38" spans="1:2" ht="26.4" x14ac:dyDescent="0.25">
      <c r="A38"/>
      <c r="B38" s="2" t="s">
        <v>18</v>
      </c>
    </row>
    <row r="39" spans="1:2" x14ac:dyDescent="0.25">
      <c r="A39"/>
    </row>
    <row r="40" spans="1:2" x14ac:dyDescent="0.25">
      <c r="A40" s="1" t="s">
        <v>16</v>
      </c>
    </row>
    <row r="41" spans="1:2" x14ac:dyDescent="0.25">
      <c r="A41"/>
    </row>
    <row r="42" spans="1:2" x14ac:dyDescent="0.25">
      <c r="A42" t="s">
        <v>41</v>
      </c>
    </row>
    <row r="43" spans="1:2" x14ac:dyDescent="0.25">
      <c r="A43"/>
      <c r="B43" s="2" t="s">
        <v>17</v>
      </c>
    </row>
    <row r="45" spans="1:2" x14ac:dyDescent="0.25">
      <c r="A45" s="16" t="s">
        <v>21</v>
      </c>
    </row>
    <row r="46" spans="1:2" x14ac:dyDescent="0.25">
      <c r="A46" s="78" t="s">
        <v>23</v>
      </c>
      <c r="B46" s="21" t="s">
        <v>30</v>
      </c>
    </row>
    <row r="47" spans="1:2" x14ac:dyDescent="0.25">
      <c r="A47" s="20" t="s">
        <v>27</v>
      </c>
      <c r="B47" s="21" t="s">
        <v>38</v>
      </c>
    </row>
    <row r="48" spans="1:2" x14ac:dyDescent="0.25">
      <c r="A48" s="17" t="s">
        <v>24</v>
      </c>
      <c r="B48" s="21" t="s">
        <v>37</v>
      </c>
    </row>
    <row r="49" spans="1:2" x14ac:dyDescent="0.25">
      <c r="A49" s="19" t="s">
        <v>26</v>
      </c>
      <c r="B49" s="21" t="s">
        <v>31</v>
      </c>
    </row>
    <row r="50" spans="1:2" x14ac:dyDescent="0.25">
      <c r="A50" s="22" t="s">
        <v>22</v>
      </c>
      <c r="B50" s="21" t="s">
        <v>32</v>
      </c>
    </row>
    <row r="51" spans="1:2" x14ac:dyDescent="0.25">
      <c r="A51" s="23" t="s">
        <v>28</v>
      </c>
      <c r="B51" s="21" t="s">
        <v>34</v>
      </c>
    </row>
    <row r="52" spans="1:2" x14ac:dyDescent="0.25">
      <c r="A52" s="24" t="s">
        <v>29</v>
      </c>
      <c r="B52" s="21" t="s">
        <v>35</v>
      </c>
    </row>
    <row r="53" spans="1:2" x14ac:dyDescent="0.25">
      <c r="A53" s="18" t="s">
        <v>25</v>
      </c>
      <c r="B53" s="21" t="s">
        <v>33</v>
      </c>
    </row>
    <row r="54" spans="1:2" hidden="1" x14ac:dyDescent="0.25">
      <c r="A54" s="25" t="s">
        <v>44</v>
      </c>
    </row>
    <row r="55" spans="1:2" hidden="1" x14ac:dyDescent="0.25">
      <c r="A55" s="25" t="s">
        <v>45</v>
      </c>
    </row>
    <row r="56" spans="1:2" hidden="1" x14ac:dyDescent="0.25">
      <c r="A56" s="25" t="s">
        <v>46</v>
      </c>
    </row>
    <row r="57" spans="1:2" hidden="1" x14ac:dyDescent="0.25">
      <c r="A57" s="26" t="s">
        <v>47</v>
      </c>
    </row>
    <row r="58" spans="1:2" hidden="1" x14ac:dyDescent="0.25">
      <c r="A58" s="26" t="s">
        <v>48</v>
      </c>
    </row>
    <row r="59" spans="1:2" hidden="1" x14ac:dyDescent="0.25">
      <c r="A59" s="26" t="s">
        <v>49</v>
      </c>
    </row>
    <row r="60" spans="1:2" hidden="1" x14ac:dyDescent="0.25">
      <c r="A60" s="26" t="s">
        <v>50</v>
      </c>
    </row>
    <row r="61" spans="1:2" hidden="1" x14ac:dyDescent="0.25">
      <c r="A61" s="26" t="s">
        <v>51</v>
      </c>
    </row>
    <row r="62" spans="1:2" hidden="1" x14ac:dyDescent="0.25">
      <c r="A62" s="26" t="s">
        <v>52</v>
      </c>
    </row>
    <row r="63" spans="1:2" hidden="1" x14ac:dyDescent="0.25">
      <c r="A63" s="26" t="s">
        <v>53</v>
      </c>
    </row>
    <row r="64" spans="1:2" hidden="1" x14ac:dyDescent="0.25">
      <c r="A64" s="26" t="s">
        <v>54</v>
      </c>
    </row>
    <row r="65" spans="1:1" hidden="1" x14ac:dyDescent="0.25">
      <c r="A65" s="26" t="s">
        <v>55</v>
      </c>
    </row>
    <row r="66" spans="1:1" hidden="1" x14ac:dyDescent="0.25">
      <c r="A66" s="25">
        <v>2</v>
      </c>
    </row>
    <row r="67" spans="1:1" hidden="1" x14ac:dyDescent="0.25">
      <c r="A67" s="9">
        <v>7</v>
      </c>
    </row>
  </sheetData>
  <phoneticPr fontId="2" type="noConversion"/>
  <pageMargins left="0.75" right="0.75" top="1" bottom="1" header="0.5" footer="0.5"/>
  <pageSetup paperSize="9" scale="63" orientation="landscape" r:id="rId1"/>
  <headerFooter alignWithMargins="0">
    <oddHeader>&amp;L&amp;Z&amp;F  [&amp;A]</oddHeader>
    <oddFooter>&amp;LPage &amp;P of &amp;N&amp;R&amp;T &amp;D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lassificationCbo">
              <controlPr defaultSize="0" autoLine="0" autoPict="0" macro="[0]!Classification_Cbo_Change">
                <anchor moveWithCells="1">
                  <from>
                    <xdr:col>1</xdr:col>
                    <xdr:colOff>0</xdr:colOff>
                    <xdr:row>5</xdr:row>
                    <xdr:rowOff>7620</xdr:rowOff>
                  </from>
                  <to>
                    <xdr:col>1</xdr:col>
                    <xdr:colOff>1935480</xdr:colOff>
                    <xdr:row>5</xdr:row>
                    <xdr:rowOff>220980</xdr:rowOff>
                  </to>
                </anchor>
              </controlPr>
            </control>
          </mc:Choice>
        </mc:AlternateContent>
        <mc:AlternateContent xmlns:mc="http://schemas.openxmlformats.org/markup-compatibility/2006">
          <mc:Choice Requires="x14">
            <control shapeId="1026" r:id="rId5" name="DescriptorCbo">
              <controlPr defaultSize="0" autoLine="0" autoPict="0" macro="[0]!Classification_Cbo_Change">
                <anchor moveWithCells="1">
                  <from>
                    <xdr:col>1</xdr:col>
                    <xdr:colOff>0</xdr:colOff>
                    <xdr:row>6</xdr:row>
                    <xdr:rowOff>7620</xdr:rowOff>
                  </from>
                  <to>
                    <xdr:col>1</xdr:col>
                    <xdr:colOff>1927860</xdr:colOff>
                    <xdr:row>7</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tabColor rgb="FF92D050"/>
  </sheetPr>
  <dimension ref="A1:P55"/>
  <sheetViews>
    <sheetView workbookViewId="0"/>
  </sheetViews>
  <sheetFormatPr defaultRowHeight="13.2" x14ac:dyDescent="0.25"/>
  <cols>
    <col min="2" max="2" width="15.33203125" bestFit="1" customWidth="1"/>
    <col min="3" max="3" width="16.33203125" customWidth="1"/>
    <col min="5" max="5" width="10.44140625" customWidth="1"/>
  </cols>
  <sheetData>
    <row r="1" spans="1:16" ht="21" x14ac:dyDescent="0.4">
      <c r="A1" s="13" t="s">
        <v>19</v>
      </c>
      <c r="B1" s="12"/>
      <c r="C1" s="12"/>
      <c r="D1" s="12"/>
      <c r="E1" s="12"/>
      <c r="F1" s="12"/>
      <c r="G1" s="12"/>
      <c r="H1" s="12"/>
      <c r="I1" s="12"/>
    </row>
    <row r="2" spans="1:16" ht="15.6" x14ac:dyDescent="0.3">
      <c r="A2" s="27" t="str">
        <f>IF(title="&gt; Enter workbook title here","Enter workbook title in Cover sheet",title)</f>
        <v>Scottish Fire pension  projection calculator</v>
      </c>
      <c r="B2" s="11"/>
      <c r="C2" s="11"/>
      <c r="D2" s="11"/>
      <c r="E2" s="11"/>
      <c r="F2" s="11"/>
      <c r="G2" s="11"/>
      <c r="H2" s="11"/>
      <c r="I2" s="11"/>
    </row>
    <row r="3" spans="1:16" ht="15.6" x14ac:dyDescent="0.3">
      <c r="A3" s="14" t="s">
        <v>261</v>
      </c>
      <c r="B3" s="11"/>
      <c r="C3" s="11"/>
      <c r="D3" s="11"/>
      <c r="E3" s="11"/>
      <c r="F3" s="11"/>
      <c r="G3" s="11"/>
      <c r="H3" s="11"/>
      <c r="I3" s="11"/>
    </row>
    <row r="4" spans="1:16" x14ac:dyDescent="0.25">
      <c r="A4" s="7" t="str">
        <f ca="1">CELL("filename",A1)</f>
        <v>\\Gad-ast\ast\Development_Tools\Benefit projection calculators\File sent to client team Feb 2021\[Fire Scotland - Benefit Calculator - 23Feb2021.xlsx]ERF and LRF</v>
      </c>
    </row>
    <row r="6" spans="1:16" x14ac:dyDescent="0.25">
      <c r="B6" s="1" t="s">
        <v>425</v>
      </c>
    </row>
    <row r="7" spans="1:16" x14ac:dyDescent="0.25">
      <c r="B7" s="1"/>
    </row>
    <row r="8" spans="1:16" x14ac:dyDescent="0.25">
      <c r="B8" s="1" t="s">
        <v>521</v>
      </c>
    </row>
    <row r="9" spans="1:16" x14ac:dyDescent="0.25">
      <c r="B9" s="1"/>
    </row>
    <row r="10" spans="1:16" x14ac:dyDescent="0.25">
      <c r="B10" s="340" t="s">
        <v>522</v>
      </c>
      <c r="C10" s="35" t="s">
        <v>893</v>
      </c>
      <c r="D10" s="35"/>
    </row>
    <row r="11" spans="1:16" x14ac:dyDescent="0.25">
      <c r="A11" s="29"/>
      <c r="B11" s="341" t="s">
        <v>523</v>
      </c>
    </row>
    <row r="12" spans="1:16" x14ac:dyDescent="0.25">
      <c r="B12" s="1" t="s">
        <v>894</v>
      </c>
    </row>
    <row r="13" spans="1:16" x14ac:dyDescent="0.25">
      <c r="B13" s="342" t="s">
        <v>421</v>
      </c>
      <c r="C13" s="343">
        <v>0</v>
      </c>
      <c r="D13" s="343">
        <v>1</v>
      </c>
      <c r="E13" s="343">
        <v>2</v>
      </c>
      <c r="F13" s="343">
        <v>3</v>
      </c>
      <c r="G13" s="343">
        <v>4</v>
      </c>
      <c r="H13" s="343">
        <v>5</v>
      </c>
      <c r="I13" s="343">
        <v>6</v>
      </c>
      <c r="J13" s="343">
        <v>7</v>
      </c>
      <c r="K13" s="343">
        <v>8</v>
      </c>
      <c r="L13" s="343">
        <v>9</v>
      </c>
      <c r="M13" s="343">
        <v>10</v>
      </c>
      <c r="N13" s="343">
        <v>11</v>
      </c>
    </row>
    <row r="14" spans="1:16" x14ac:dyDescent="0.25">
      <c r="B14" s="342">
        <v>55</v>
      </c>
      <c r="C14" s="647">
        <v>0.59</v>
      </c>
      <c r="D14" s="647">
        <v>0.59199999999999997</v>
      </c>
      <c r="E14" s="647">
        <v>0.59399999999999997</v>
      </c>
      <c r="F14" s="647">
        <v>0.59699999999999998</v>
      </c>
      <c r="G14" s="647">
        <v>0.59899999999999998</v>
      </c>
      <c r="H14" s="647">
        <v>0.60099999999999998</v>
      </c>
      <c r="I14" s="647">
        <v>0.60399999999999998</v>
      </c>
      <c r="J14" s="647">
        <v>0.60599999999999998</v>
      </c>
      <c r="K14" s="647">
        <v>0.60799999999999998</v>
      </c>
      <c r="L14" s="647">
        <v>0.61099999999999999</v>
      </c>
      <c r="M14" s="647">
        <v>0.61299999999999999</v>
      </c>
      <c r="N14" s="647">
        <v>0.61499999999999999</v>
      </c>
      <c r="P14" s="29"/>
    </row>
    <row r="15" spans="1:16" x14ac:dyDescent="0.25">
      <c r="B15" s="342">
        <v>56</v>
      </c>
      <c r="C15" s="647">
        <v>0.61799999999999999</v>
      </c>
      <c r="D15" s="647">
        <v>0.62</v>
      </c>
      <c r="E15" s="647">
        <v>0.623</v>
      </c>
      <c r="F15" s="647">
        <v>0.625</v>
      </c>
      <c r="G15" s="647">
        <v>0.628</v>
      </c>
      <c r="H15" s="647">
        <v>0.63</v>
      </c>
      <c r="I15" s="647">
        <v>0.63300000000000001</v>
      </c>
      <c r="J15" s="647">
        <v>0.63500000000000001</v>
      </c>
      <c r="K15" s="647">
        <v>0.63800000000000001</v>
      </c>
      <c r="L15" s="647">
        <v>0.64</v>
      </c>
      <c r="M15" s="647">
        <v>0.64200000000000002</v>
      </c>
      <c r="N15" s="647">
        <v>0.64500000000000002</v>
      </c>
    </row>
    <row r="16" spans="1:16" x14ac:dyDescent="0.25">
      <c r="B16" s="342">
        <v>57</v>
      </c>
      <c r="C16" s="647">
        <v>0.64700000000000002</v>
      </c>
      <c r="D16" s="647">
        <v>0.65</v>
      </c>
      <c r="E16" s="647">
        <v>0.65300000000000002</v>
      </c>
      <c r="F16" s="647">
        <v>0.65600000000000003</v>
      </c>
      <c r="G16" s="647">
        <v>0.65800000000000003</v>
      </c>
      <c r="H16" s="647">
        <v>0.66100000000000003</v>
      </c>
      <c r="I16" s="647">
        <v>0.66400000000000003</v>
      </c>
      <c r="J16" s="647">
        <v>0.66600000000000004</v>
      </c>
      <c r="K16" s="647">
        <v>0.66900000000000004</v>
      </c>
      <c r="L16" s="647">
        <v>0.67200000000000004</v>
      </c>
      <c r="M16" s="647">
        <v>0.67400000000000004</v>
      </c>
      <c r="N16" s="647">
        <v>0.67700000000000005</v>
      </c>
    </row>
    <row r="17" spans="2:16" x14ac:dyDescent="0.25">
      <c r="B17" s="342">
        <v>58</v>
      </c>
      <c r="C17" s="647">
        <v>0.68</v>
      </c>
      <c r="D17" s="647">
        <v>0.68300000000000005</v>
      </c>
      <c r="E17" s="647">
        <v>0.68600000000000005</v>
      </c>
      <c r="F17" s="647">
        <v>0.68799999999999994</v>
      </c>
      <c r="G17" s="647">
        <v>0.69099999999999995</v>
      </c>
      <c r="H17" s="647">
        <v>0.69399999999999995</v>
      </c>
      <c r="I17" s="647">
        <v>0.69699999999999995</v>
      </c>
      <c r="J17" s="647">
        <v>0.7</v>
      </c>
      <c r="K17" s="647">
        <v>0.70299999999999996</v>
      </c>
      <c r="L17" s="647">
        <v>0.70599999999999996</v>
      </c>
      <c r="M17" s="647">
        <v>0.70899999999999996</v>
      </c>
      <c r="N17" s="647">
        <v>0.71199999999999997</v>
      </c>
    </row>
    <row r="18" spans="2:16" x14ac:dyDescent="0.25">
      <c r="B18" s="342">
        <v>59</v>
      </c>
      <c r="C18" s="647">
        <v>0.71499999999999997</v>
      </c>
      <c r="D18" s="647">
        <v>0.71799999999999997</v>
      </c>
      <c r="E18" s="647">
        <v>0.72099999999999997</v>
      </c>
      <c r="F18" s="647">
        <v>0.72399999999999998</v>
      </c>
      <c r="G18" s="647">
        <v>0.72699999999999998</v>
      </c>
      <c r="H18" s="647">
        <v>0.73</v>
      </c>
      <c r="I18" s="647">
        <v>0.73399999999999999</v>
      </c>
      <c r="J18" s="647">
        <v>0.73699999999999999</v>
      </c>
      <c r="K18" s="647">
        <v>0.74</v>
      </c>
      <c r="L18" s="647">
        <v>0.74299999999999999</v>
      </c>
      <c r="M18" s="647">
        <v>0.746</v>
      </c>
      <c r="N18" s="647">
        <v>0.749</v>
      </c>
    </row>
    <row r="19" spans="2:16" x14ac:dyDescent="0.25">
      <c r="B19" s="342">
        <v>60</v>
      </c>
      <c r="C19" s="647">
        <v>0.753</v>
      </c>
      <c r="D19" s="647">
        <v>0.75600000000000001</v>
      </c>
      <c r="E19" s="647">
        <v>0.75900000000000001</v>
      </c>
      <c r="F19" s="647">
        <v>0.76300000000000001</v>
      </c>
      <c r="G19" s="647">
        <v>0.76600000000000001</v>
      </c>
      <c r="H19" s="647">
        <v>0.77</v>
      </c>
      <c r="I19" s="647">
        <v>0.77300000000000002</v>
      </c>
      <c r="J19" s="647">
        <v>0.77600000000000002</v>
      </c>
      <c r="K19" s="647">
        <v>0.78</v>
      </c>
      <c r="L19" s="647">
        <v>0.78300000000000003</v>
      </c>
      <c r="M19" s="647">
        <v>0.78700000000000003</v>
      </c>
      <c r="N19" s="647">
        <v>0.79</v>
      </c>
    </row>
    <row r="20" spans="2:16" x14ac:dyDescent="0.25">
      <c r="B20" s="342">
        <v>61</v>
      </c>
      <c r="C20" s="647">
        <v>0.79400000000000004</v>
      </c>
      <c r="D20" s="647">
        <v>0.79700000000000004</v>
      </c>
      <c r="E20" s="647">
        <v>0.80100000000000005</v>
      </c>
      <c r="F20" s="647">
        <v>0.80500000000000005</v>
      </c>
      <c r="G20" s="647">
        <v>0.80900000000000005</v>
      </c>
      <c r="H20" s="647">
        <v>0.81200000000000006</v>
      </c>
      <c r="I20" s="647">
        <v>0.81599999999999995</v>
      </c>
      <c r="J20" s="647">
        <v>0.82</v>
      </c>
      <c r="K20" s="647">
        <v>0.82299999999999995</v>
      </c>
      <c r="L20" s="647">
        <v>0.82699999999999996</v>
      </c>
      <c r="M20" s="647">
        <v>0.83099999999999996</v>
      </c>
      <c r="N20" s="647">
        <v>0.83499999999999996</v>
      </c>
    </row>
    <row r="21" spans="2:16" x14ac:dyDescent="0.25">
      <c r="B21" s="342">
        <v>62</v>
      </c>
      <c r="C21" s="647">
        <v>0.83799999999999997</v>
      </c>
      <c r="D21" s="647">
        <v>0.84199999999999997</v>
      </c>
      <c r="E21" s="647">
        <v>0.84699999999999998</v>
      </c>
      <c r="F21" s="647">
        <v>0.85099999999999998</v>
      </c>
      <c r="G21" s="647">
        <v>0.85499999999999998</v>
      </c>
      <c r="H21" s="647">
        <v>0.85899999999999999</v>
      </c>
      <c r="I21" s="647">
        <v>0.86299999999999999</v>
      </c>
      <c r="J21" s="647">
        <v>0.86699999999999999</v>
      </c>
      <c r="K21" s="647">
        <v>0.871</v>
      </c>
      <c r="L21" s="647">
        <v>0.875</v>
      </c>
      <c r="M21" s="647">
        <v>0.879</v>
      </c>
      <c r="N21" s="647">
        <v>0.88300000000000001</v>
      </c>
    </row>
    <row r="22" spans="2:16" x14ac:dyDescent="0.25">
      <c r="B22" s="342">
        <v>63</v>
      </c>
      <c r="C22" s="647">
        <v>0.88700000000000001</v>
      </c>
      <c r="D22" s="647">
        <v>0.89200000000000002</v>
      </c>
      <c r="E22" s="647">
        <v>0.89600000000000002</v>
      </c>
      <c r="F22" s="647">
        <v>0.90100000000000002</v>
      </c>
      <c r="G22" s="647">
        <v>0.90500000000000003</v>
      </c>
      <c r="H22" s="647">
        <v>0.91</v>
      </c>
      <c r="I22" s="647">
        <v>0.91400000000000003</v>
      </c>
      <c r="J22" s="647">
        <v>0.91900000000000004</v>
      </c>
      <c r="K22" s="647">
        <v>0.92300000000000004</v>
      </c>
      <c r="L22" s="647">
        <v>0.92800000000000005</v>
      </c>
      <c r="M22" s="647">
        <v>0.93200000000000005</v>
      </c>
      <c r="N22" s="647">
        <v>0.93700000000000006</v>
      </c>
    </row>
    <row r="23" spans="2:16" x14ac:dyDescent="0.25">
      <c r="B23" s="342">
        <v>64</v>
      </c>
      <c r="C23" s="647">
        <v>0.94099999999999995</v>
      </c>
      <c r="D23" s="647">
        <v>0.94599999999999995</v>
      </c>
      <c r="E23" s="647">
        <v>0.95099999999999996</v>
      </c>
      <c r="F23" s="647">
        <v>0.95599999999999996</v>
      </c>
      <c r="G23" s="647">
        <v>0.96099999999999997</v>
      </c>
      <c r="H23" s="647">
        <v>0.96599999999999997</v>
      </c>
      <c r="I23" s="647">
        <v>0.97099999999999997</v>
      </c>
      <c r="J23" s="647">
        <v>0.97499999999999998</v>
      </c>
      <c r="K23" s="647">
        <v>0.98</v>
      </c>
      <c r="L23" s="647">
        <v>0.98499999999999999</v>
      </c>
      <c r="M23" s="647">
        <v>0.99</v>
      </c>
      <c r="N23" s="647">
        <v>0.995</v>
      </c>
    </row>
    <row r="24" spans="2:16" x14ac:dyDescent="0.25">
      <c r="B24" s="107"/>
      <c r="C24" s="344"/>
      <c r="D24" s="344"/>
      <c r="E24" s="344"/>
      <c r="F24" s="344"/>
      <c r="G24" s="344"/>
      <c r="H24" s="344"/>
      <c r="I24" s="344"/>
      <c r="J24" s="344"/>
      <c r="K24" s="344"/>
      <c r="L24" s="344"/>
      <c r="M24" s="344"/>
      <c r="N24" s="344"/>
    </row>
    <row r="25" spans="2:16" x14ac:dyDescent="0.25">
      <c r="B25" s="107"/>
      <c r="C25" s="344"/>
      <c r="D25" s="344"/>
      <c r="E25" s="344"/>
      <c r="F25" s="344"/>
      <c r="G25" s="344"/>
      <c r="H25" s="344"/>
      <c r="I25" s="344"/>
      <c r="J25" s="344"/>
      <c r="K25" s="344"/>
      <c r="L25" s="344"/>
      <c r="M25" s="344"/>
      <c r="N25" s="344"/>
    </row>
    <row r="26" spans="2:16" x14ac:dyDescent="0.25">
      <c r="B26" s="1" t="s">
        <v>895</v>
      </c>
      <c r="D26" s="35"/>
      <c r="E26" s="35" t="s">
        <v>893</v>
      </c>
    </row>
    <row r="27" spans="2:16" ht="13.8" thickBot="1" x14ac:dyDescent="0.3">
      <c r="B27" s="1" t="s">
        <v>896</v>
      </c>
      <c r="D27" s="35"/>
    </row>
    <row r="28" spans="2:16" ht="13.8" thickBot="1" x14ac:dyDescent="0.3">
      <c r="B28" s="345" t="s">
        <v>421</v>
      </c>
      <c r="C28" s="345">
        <v>0</v>
      </c>
      <c r="D28" s="345">
        <v>1</v>
      </c>
      <c r="E28" s="345">
        <v>2</v>
      </c>
      <c r="F28" s="345">
        <v>3</v>
      </c>
      <c r="G28" s="345">
        <v>4</v>
      </c>
      <c r="H28" s="345">
        <v>5</v>
      </c>
      <c r="I28" s="345">
        <v>6</v>
      </c>
      <c r="J28" s="345">
        <v>7</v>
      </c>
      <c r="K28" s="345">
        <v>8</v>
      </c>
      <c r="L28" s="345">
        <v>9</v>
      </c>
      <c r="M28" s="345">
        <v>10</v>
      </c>
      <c r="N28" s="345">
        <v>11</v>
      </c>
    </row>
    <row r="29" spans="2:16" x14ac:dyDescent="0.25">
      <c r="B29" s="346" t="s">
        <v>265</v>
      </c>
      <c r="C29" s="347"/>
      <c r="D29" s="347"/>
      <c r="E29" s="347"/>
      <c r="F29" s="347"/>
      <c r="G29" s="347"/>
      <c r="H29" s="347"/>
      <c r="I29" s="347"/>
      <c r="J29" s="347"/>
      <c r="K29" s="347"/>
      <c r="L29" s="347"/>
      <c r="M29" s="347"/>
      <c r="N29" s="347"/>
    </row>
    <row r="30" spans="2:16" x14ac:dyDescent="0.25">
      <c r="B30" s="348">
        <v>5</v>
      </c>
      <c r="C30" s="349">
        <v>0.89800000000000002</v>
      </c>
      <c r="D30" s="349"/>
      <c r="E30" s="349"/>
      <c r="F30" s="349"/>
      <c r="G30" s="349"/>
      <c r="H30" s="349"/>
      <c r="I30" s="349"/>
      <c r="J30" s="349"/>
      <c r="K30" s="349"/>
      <c r="L30" s="349"/>
      <c r="M30" s="349"/>
      <c r="N30" s="349"/>
      <c r="P30" s="29"/>
    </row>
    <row r="31" spans="2:16" x14ac:dyDescent="0.25">
      <c r="B31" s="350">
        <v>4</v>
      </c>
      <c r="C31" s="351">
        <v>0.91600000000000004</v>
      </c>
      <c r="D31" s="351">
        <v>0.91500000000000004</v>
      </c>
      <c r="E31" s="351">
        <v>0.91300000000000003</v>
      </c>
      <c r="F31" s="351">
        <v>0.91100000000000003</v>
      </c>
      <c r="G31" s="351">
        <v>0.91</v>
      </c>
      <c r="H31" s="351">
        <v>0.90900000000000003</v>
      </c>
      <c r="I31" s="351">
        <v>0.90700000000000003</v>
      </c>
      <c r="J31" s="351">
        <v>0.90600000000000003</v>
      </c>
      <c r="K31" s="351">
        <v>0.90400000000000003</v>
      </c>
      <c r="L31" s="351">
        <v>0.90300000000000002</v>
      </c>
      <c r="M31" s="351">
        <v>0.90100000000000002</v>
      </c>
      <c r="N31" s="351">
        <v>0.9</v>
      </c>
    </row>
    <row r="32" spans="2:16" x14ac:dyDescent="0.25">
      <c r="B32" s="350">
        <v>3</v>
      </c>
      <c r="C32" s="351">
        <v>0.93500000000000005</v>
      </c>
      <c r="D32" s="351">
        <v>0.93400000000000005</v>
      </c>
      <c r="E32" s="351">
        <v>0.93200000000000005</v>
      </c>
      <c r="F32" s="351">
        <v>0.93</v>
      </c>
      <c r="G32" s="351">
        <v>0.92900000000000005</v>
      </c>
      <c r="H32" s="351">
        <v>0.92700000000000005</v>
      </c>
      <c r="I32" s="351">
        <v>0.92500000000000004</v>
      </c>
      <c r="J32" s="351">
        <v>0.92400000000000004</v>
      </c>
      <c r="K32" s="351">
        <v>0.92200000000000004</v>
      </c>
      <c r="L32" s="351">
        <v>0.92100000000000004</v>
      </c>
      <c r="M32" s="351">
        <v>0.91900000000000004</v>
      </c>
      <c r="N32" s="351">
        <v>0.91800000000000004</v>
      </c>
    </row>
    <row r="33" spans="2:14" x14ac:dyDescent="0.25">
      <c r="B33" s="350">
        <v>2</v>
      </c>
      <c r="C33" s="351">
        <v>0.95499999999999996</v>
      </c>
      <c r="D33" s="351">
        <v>0.95399999999999996</v>
      </c>
      <c r="E33" s="351">
        <v>0.95199999999999996</v>
      </c>
      <c r="F33" s="351">
        <v>0.95</v>
      </c>
      <c r="G33" s="351">
        <v>0.94799999999999995</v>
      </c>
      <c r="H33" s="351">
        <v>0.94699999999999995</v>
      </c>
      <c r="I33" s="351">
        <v>0.94499999999999995</v>
      </c>
      <c r="J33" s="351">
        <v>0.94299999999999995</v>
      </c>
      <c r="K33" s="351">
        <v>0.94199999999999995</v>
      </c>
      <c r="L33" s="351">
        <v>0.94</v>
      </c>
      <c r="M33" s="351">
        <v>0.93799999999999994</v>
      </c>
      <c r="N33" s="351">
        <v>0.93700000000000006</v>
      </c>
    </row>
    <row r="34" spans="2:14" x14ac:dyDescent="0.25">
      <c r="B34" s="350">
        <v>1</v>
      </c>
      <c r="C34" s="351">
        <v>0.97699999999999998</v>
      </c>
      <c r="D34" s="351">
        <v>0.97599999999999998</v>
      </c>
      <c r="E34" s="351">
        <v>0.97399999999999998</v>
      </c>
      <c r="F34" s="351">
        <v>0.97199999999999998</v>
      </c>
      <c r="G34" s="351">
        <v>0.97</v>
      </c>
      <c r="H34" s="351">
        <v>0.96799999999999997</v>
      </c>
      <c r="I34" s="351">
        <v>0.96599999999999997</v>
      </c>
      <c r="J34" s="351">
        <v>0.96399999999999997</v>
      </c>
      <c r="K34" s="351">
        <v>0.96299999999999997</v>
      </c>
      <c r="L34" s="351">
        <v>0.96099999999999997</v>
      </c>
      <c r="M34" s="351">
        <v>0.95899999999999996</v>
      </c>
      <c r="N34" s="351">
        <v>0.95699999999999996</v>
      </c>
    </row>
    <row r="35" spans="2:14" ht="13.8" thickBot="1" x14ac:dyDescent="0.3">
      <c r="B35" s="352">
        <v>0</v>
      </c>
      <c r="C35" s="353"/>
      <c r="D35" s="353">
        <v>0.999</v>
      </c>
      <c r="E35" s="353">
        <v>0.997</v>
      </c>
      <c r="F35" s="353">
        <v>0.995</v>
      </c>
      <c r="G35" s="353">
        <v>0.99299999999999999</v>
      </c>
      <c r="H35" s="353">
        <v>0.99099999999999999</v>
      </c>
      <c r="I35" s="353">
        <v>0.98899999999999999</v>
      </c>
      <c r="J35" s="353">
        <v>0.98699999999999999</v>
      </c>
      <c r="K35" s="353">
        <v>0.98499999999999999</v>
      </c>
      <c r="L35" s="353">
        <v>0.98299999999999998</v>
      </c>
      <c r="M35" s="353">
        <v>0.98099999999999998</v>
      </c>
      <c r="N35" s="353">
        <v>0.97899999999999998</v>
      </c>
    </row>
    <row r="36" spans="2:14" x14ac:dyDescent="0.25">
      <c r="B36" s="350"/>
      <c r="C36" s="351"/>
      <c r="D36" s="351"/>
      <c r="E36" s="351"/>
      <c r="F36" s="351"/>
      <c r="G36" s="351"/>
      <c r="H36" s="351"/>
      <c r="I36" s="351"/>
      <c r="J36" s="351"/>
      <c r="K36" s="351"/>
      <c r="L36" s="351"/>
      <c r="M36" s="351"/>
      <c r="N36" s="351"/>
    </row>
    <row r="37" spans="2:14" x14ac:dyDescent="0.25">
      <c r="B37" s="350"/>
      <c r="C37" s="351"/>
      <c r="D37" s="351"/>
      <c r="E37" s="351"/>
      <c r="F37" s="351"/>
      <c r="G37" s="351"/>
      <c r="H37" s="351"/>
      <c r="I37" s="351"/>
      <c r="J37" s="351"/>
      <c r="K37" s="351"/>
      <c r="L37" s="351"/>
      <c r="M37" s="351"/>
      <c r="N37" s="351"/>
    </row>
    <row r="38" spans="2:14" x14ac:dyDescent="0.25">
      <c r="B38" s="1" t="s">
        <v>427</v>
      </c>
      <c r="D38" s="35"/>
      <c r="M38" s="351"/>
      <c r="N38" s="351"/>
    </row>
    <row r="39" spans="2:14" x14ac:dyDescent="0.25">
      <c r="B39" s="1"/>
      <c r="D39" s="354"/>
      <c r="M39" s="351"/>
      <c r="N39" s="351"/>
    </row>
    <row r="40" spans="2:14" ht="14.4" x14ac:dyDescent="0.3">
      <c r="B40" s="355" t="s">
        <v>524</v>
      </c>
      <c r="C40" s="355"/>
      <c r="F40" s="35" t="s">
        <v>893</v>
      </c>
      <c r="M40" s="351"/>
      <c r="N40" s="351"/>
    </row>
    <row r="41" spans="2:14" ht="15" thickBot="1" x14ac:dyDescent="0.35">
      <c r="B41" s="648" t="s">
        <v>897</v>
      </c>
      <c r="C41" s="127"/>
      <c r="D41" s="127"/>
      <c r="E41" s="127"/>
      <c r="F41" s="127"/>
      <c r="G41" s="127"/>
      <c r="H41" s="127"/>
      <c r="I41" s="127"/>
      <c r="J41" s="127"/>
      <c r="K41" s="127"/>
      <c r="L41" s="127"/>
      <c r="M41" s="351"/>
      <c r="N41" s="351"/>
    </row>
    <row r="42" spans="2:14" ht="15" thickBot="1" x14ac:dyDescent="0.35">
      <c r="B42" s="127" t="s">
        <v>525</v>
      </c>
      <c r="C42" s="127"/>
      <c r="D42" s="127"/>
      <c r="E42" s="127"/>
      <c r="F42" s="127"/>
      <c r="G42" s="357" t="s">
        <v>265</v>
      </c>
      <c r="H42" s="127"/>
      <c r="I42" s="127"/>
      <c r="J42" s="127"/>
      <c r="K42" s="127"/>
      <c r="L42" s="127"/>
      <c r="M42" s="351"/>
      <c r="N42" s="351"/>
    </row>
    <row r="43" spans="2:14" ht="15" thickBot="1" x14ac:dyDescent="0.35">
      <c r="B43" s="356" t="s">
        <v>421</v>
      </c>
      <c r="C43" s="357">
        <v>60</v>
      </c>
      <c r="D43" s="357">
        <v>61</v>
      </c>
      <c r="E43" s="357">
        <v>62</v>
      </c>
      <c r="F43" s="357">
        <v>63</v>
      </c>
      <c r="G43" s="357">
        <v>64</v>
      </c>
      <c r="H43" s="357">
        <v>65</v>
      </c>
      <c r="I43" s="357">
        <v>66</v>
      </c>
      <c r="J43" s="357">
        <v>67</v>
      </c>
      <c r="K43" s="357">
        <v>68</v>
      </c>
      <c r="L43" s="357">
        <v>69</v>
      </c>
      <c r="M43" s="351"/>
      <c r="N43" s="351"/>
    </row>
    <row r="44" spans="2:14" ht="14.4" x14ac:dyDescent="0.3">
      <c r="B44" s="358">
        <v>0</v>
      </c>
      <c r="C44" s="359">
        <v>1E-3</v>
      </c>
      <c r="D44" s="359">
        <v>2.7E-2</v>
      </c>
      <c r="E44" s="359">
        <v>2.9000000000000001E-2</v>
      </c>
      <c r="F44" s="359">
        <v>0.03</v>
      </c>
      <c r="G44" s="359">
        <v>3.2000000000000001E-2</v>
      </c>
      <c r="H44" s="359">
        <v>3.3000000000000002E-2</v>
      </c>
      <c r="I44" s="359">
        <v>3.5000000000000003E-2</v>
      </c>
      <c r="J44" s="359">
        <v>3.5999999999999997E-2</v>
      </c>
      <c r="K44" s="359">
        <v>3.7999999999999999E-2</v>
      </c>
      <c r="L44" s="359">
        <v>0.04</v>
      </c>
      <c r="M44" s="351"/>
      <c r="N44" s="351"/>
    </row>
    <row r="45" spans="2:14" ht="14.4" x14ac:dyDescent="0.3">
      <c r="B45" s="358">
        <v>1</v>
      </c>
      <c r="C45" s="359">
        <v>3.0000000000000001E-3</v>
      </c>
      <c r="D45" s="359">
        <v>2.7E-2</v>
      </c>
      <c r="E45" s="359">
        <v>2.9000000000000001E-2</v>
      </c>
      <c r="F45" s="359">
        <v>0.03</v>
      </c>
      <c r="G45" s="359">
        <v>3.2000000000000001E-2</v>
      </c>
      <c r="H45" s="359">
        <v>3.4000000000000002E-2</v>
      </c>
      <c r="I45" s="359">
        <v>3.5000000000000003E-2</v>
      </c>
      <c r="J45" s="359">
        <v>3.6999999999999998E-2</v>
      </c>
      <c r="K45" s="359">
        <v>3.7999999999999999E-2</v>
      </c>
      <c r="L45" s="359">
        <v>0.04</v>
      </c>
      <c r="M45" s="351"/>
      <c r="N45" s="351"/>
    </row>
    <row r="46" spans="2:14" ht="14.4" x14ac:dyDescent="0.3">
      <c r="B46" s="358">
        <v>2</v>
      </c>
      <c r="C46" s="359">
        <v>6.0000000000000001E-3</v>
      </c>
      <c r="D46" s="359">
        <v>2.8000000000000001E-2</v>
      </c>
      <c r="E46" s="359">
        <v>2.9000000000000001E-2</v>
      </c>
      <c r="F46" s="359">
        <v>0.03</v>
      </c>
      <c r="G46" s="359">
        <v>3.2000000000000001E-2</v>
      </c>
      <c r="H46" s="359">
        <v>3.4000000000000002E-2</v>
      </c>
      <c r="I46" s="359">
        <v>3.5000000000000003E-2</v>
      </c>
      <c r="J46" s="359">
        <v>3.6999999999999998E-2</v>
      </c>
      <c r="K46" s="359">
        <v>3.7999999999999999E-2</v>
      </c>
      <c r="L46" s="359">
        <v>0.04</v>
      </c>
      <c r="M46" s="351"/>
      <c r="N46" s="351"/>
    </row>
    <row r="47" spans="2:14" ht="14.4" x14ac:dyDescent="0.3">
      <c r="B47" s="358">
        <v>3</v>
      </c>
      <c r="C47" s="359">
        <v>8.0000000000000002E-3</v>
      </c>
      <c r="D47" s="359">
        <v>2.8000000000000001E-2</v>
      </c>
      <c r="E47" s="359">
        <v>2.9000000000000001E-2</v>
      </c>
      <c r="F47" s="359">
        <v>3.1E-2</v>
      </c>
      <c r="G47" s="359">
        <v>3.2000000000000001E-2</v>
      </c>
      <c r="H47" s="359">
        <v>3.4000000000000002E-2</v>
      </c>
      <c r="I47" s="359">
        <v>3.5000000000000003E-2</v>
      </c>
      <c r="J47" s="359">
        <v>3.6999999999999998E-2</v>
      </c>
      <c r="K47" s="359">
        <v>3.7999999999999999E-2</v>
      </c>
      <c r="L47" s="359">
        <v>0.04</v>
      </c>
      <c r="M47" s="351"/>
      <c r="N47" s="351"/>
    </row>
    <row r="48" spans="2:14" ht="14.4" x14ac:dyDescent="0.3">
      <c r="B48" s="358">
        <v>4</v>
      </c>
      <c r="C48" s="359">
        <v>0.01</v>
      </c>
      <c r="D48" s="359">
        <v>2.8000000000000001E-2</v>
      </c>
      <c r="E48" s="359">
        <v>2.9000000000000001E-2</v>
      </c>
      <c r="F48" s="359">
        <v>3.1E-2</v>
      </c>
      <c r="G48" s="359">
        <v>3.2000000000000001E-2</v>
      </c>
      <c r="H48" s="359">
        <v>3.4000000000000002E-2</v>
      </c>
      <c r="I48" s="359">
        <v>3.5000000000000003E-2</v>
      </c>
      <c r="J48" s="359">
        <v>3.6999999999999998E-2</v>
      </c>
      <c r="K48" s="359">
        <v>3.9E-2</v>
      </c>
      <c r="L48" s="359">
        <v>4.1000000000000002E-2</v>
      </c>
      <c r="M48" s="351"/>
      <c r="N48" s="351"/>
    </row>
    <row r="49" spans="2:14" ht="14.4" x14ac:dyDescent="0.3">
      <c r="B49" s="358">
        <v>5</v>
      </c>
      <c r="C49" s="359">
        <v>1.2E-2</v>
      </c>
      <c r="D49" s="359">
        <v>2.8000000000000001E-2</v>
      </c>
      <c r="E49" s="359">
        <v>2.9000000000000001E-2</v>
      </c>
      <c r="F49" s="359">
        <v>3.1E-2</v>
      </c>
      <c r="G49" s="359">
        <v>3.2000000000000001E-2</v>
      </c>
      <c r="H49" s="359">
        <v>3.4000000000000002E-2</v>
      </c>
      <c r="I49" s="359">
        <v>3.5999999999999997E-2</v>
      </c>
      <c r="J49" s="359">
        <v>3.6999999999999998E-2</v>
      </c>
      <c r="K49" s="359">
        <v>3.9E-2</v>
      </c>
      <c r="L49" s="359">
        <v>4.1000000000000002E-2</v>
      </c>
      <c r="M49" s="351"/>
      <c r="N49" s="351"/>
    </row>
    <row r="50" spans="2:14" ht="14.4" x14ac:dyDescent="0.3">
      <c r="B50" s="358">
        <v>6</v>
      </c>
      <c r="C50" s="359">
        <v>1.4999999999999999E-2</v>
      </c>
      <c r="D50" s="359">
        <v>2.8000000000000001E-2</v>
      </c>
      <c r="E50" s="359">
        <v>2.9000000000000001E-2</v>
      </c>
      <c r="F50" s="359">
        <v>3.1E-2</v>
      </c>
      <c r="G50" s="359">
        <v>3.3000000000000002E-2</v>
      </c>
      <c r="H50" s="359">
        <v>3.4000000000000002E-2</v>
      </c>
      <c r="I50" s="359">
        <v>3.5999999999999997E-2</v>
      </c>
      <c r="J50" s="359">
        <v>3.6999999999999998E-2</v>
      </c>
      <c r="K50" s="359">
        <v>3.9E-2</v>
      </c>
      <c r="L50" s="359">
        <v>4.1000000000000002E-2</v>
      </c>
      <c r="M50" s="351"/>
      <c r="N50" s="351"/>
    </row>
    <row r="51" spans="2:14" ht="14.4" x14ac:dyDescent="0.3">
      <c r="B51" s="358">
        <v>7</v>
      </c>
      <c r="C51" s="359">
        <v>1.7000000000000001E-2</v>
      </c>
      <c r="D51" s="359">
        <v>2.8000000000000001E-2</v>
      </c>
      <c r="E51" s="359">
        <v>0.03</v>
      </c>
      <c r="F51" s="359">
        <v>3.1E-2</v>
      </c>
      <c r="G51" s="359">
        <v>3.3000000000000002E-2</v>
      </c>
      <c r="H51" s="359">
        <v>3.4000000000000002E-2</v>
      </c>
      <c r="I51" s="359">
        <v>3.5999999999999997E-2</v>
      </c>
      <c r="J51" s="359">
        <v>3.6999999999999998E-2</v>
      </c>
      <c r="K51" s="359">
        <v>3.9E-2</v>
      </c>
      <c r="L51" s="359">
        <v>4.1000000000000002E-2</v>
      </c>
      <c r="M51" s="351"/>
      <c r="N51" s="351"/>
    </row>
    <row r="52" spans="2:14" ht="14.4" x14ac:dyDescent="0.3">
      <c r="B52" s="358">
        <v>8</v>
      </c>
      <c r="C52" s="359">
        <v>1.9E-2</v>
      </c>
      <c r="D52" s="359">
        <v>2.8000000000000001E-2</v>
      </c>
      <c r="E52" s="359">
        <v>0.03</v>
      </c>
      <c r="F52" s="359">
        <v>3.1E-2</v>
      </c>
      <c r="G52" s="359">
        <v>3.3000000000000002E-2</v>
      </c>
      <c r="H52" s="359">
        <v>3.4000000000000002E-2</v>
      </c>
      <c r="I52" s="359">
        <v>3.5999999999999997E-2</v>
      </c>
      <c r="J52" s="359">
        <v>3.6999999999999998E-2</v>
      </c>
      <c r="K52" s="359">
        <v>3.9E-2</v>
      </c>
      <c r="L52" s="359">
        <v>4.2000000000000003E-2</v>
      </c>
      <c r="M52" s="351"/>
      <c r="N52" s="351"/>
    </row>
    <row r="53" spans="2:14" ht="14.4" x14ac:dyDescent="0.3">
      <c r="B53" s="358">
        <v>9</v>
      </c>
      <c r="C53" s="359">
        <v>2.1999999999999999E-2</v>
      </c>
      <c r="D53" s="359">
        <v>2.8000000000000001E-2</v>
      </c>
      <c r="E53" s="359">
        <v>0.03</v>
      </c>
      <c r="F53" s="359">
        <v>3.1E-2</v>
      </c>
      <c r="G53" s="359">
        <v>3.3000000000000002E-2</v>
      </c>
      <c r="H53" s="359">
        <v>3.5000000000000003E-2</v>
      </c>
      <c r="I53" s="359">
        <v>3.5999999999999997E-2</v>
      </c>
      <c r="J53" s="359">
        <v>3.7999999999999999E-2</v>
      </c>
      <c r="K53" s="359">
        <v>3.9E-2</v>
      </c>
      <c r="L53" s="359">
        <v>4.2000000000000003E-2</v>
      </c>
      <c r="M53" s="351"/>
      <c r="N53" s="351"/>
    </row>
    <row r="54" spans="2:14" ht="14.4" x14ac:dyDescent="0.3">
      <c r="B54" s="358">
        <v>10</v>
      </c>
      <c r="C54" s="359">
        <v>2.4E-2</v>
      </c>
      <c r="D54" s="359">
        <v>2.8000000000000001E-2</v>
      </c>
      <c r="E54" s="359">
        <v>0.03</v>
      </c>
      <c r="F54" s="359">
        <v>3.1E-2</v>
      </c>
      <c r="G54" s="359">
        <v>3.3000000000000002E-2</v>
      </c>
      <c r="H54" s="359">
        <v>3.5000000000000003E-2</v>
      </c>
      <c r="I54" s="359">
        <v>3.5999999999999997E-2</v>
      </c>
      <c r="J54" s="359">
        <v>3.7999999999999999E-2</v>
      </c>
      <c r="K54" s="359">
        <v>3.9E-2</v>
      </c>
      <c r="L54" s="359">
        <v>4.2000000000000003E-2</v>
      </c>
      <c r="M54" s="351"/>
      <c r="N54" s="351"/>
    </row>
    <row r="55" spans="2:14" ht="15" thickBot="1" x14ac:dyDescent="0.35">
      <c r="B55" s="357">
        <v>11</v>
      </c>
      <c r="C55" s="360">
        <v>2.5999999999999999E-2</v>
      </c>
      <c r="D55" s="360">
        <v>2.9000000000000001E-2</v>
      </c>
      <c r="E55" s="360">
        <v>0.03</v>
      </c>
      <c r="F55" s="360">
        <v>3.2000000000000001E-2</v>
      </c>
      <c r="G55" s="360">
        <v>3.3000000000000002E-2</v>
      </c>
      <c r="H55" s="360">
        <v>3.5000000000000003E-2</v>
      </c>
      <c r="I55" s="360">
        <v>3.5999999999999997E-2</v>
      </c>
      <c r="J55" s="360">
        <v>3.7999999999999999E-2</v>
      </c>
      <c r="K55" s="360">
        <v>3.9E-2</v>
      </c>
      <c r="L55" s="360">
        <v>4.2000000000000003E-2</v>
      </c>
      <c r="M55" s="351"/>
      <c r="N55" s="351"/>
    </row>
  </sheetData>
  <hyperlinks>
    <hyperlink ref="C10" r:id="rId1" xr:uid="{00000000-0004-0000-0900-000000000000}"/>
    <hyperlink ref="E26" r:id="rId2" xr:uid="{00000000-0004-0000-0900-000001000000}"/>
    <hyperlink ref="F40" r:id="rId3" xr:uid="{00000000-0004-0000-0900-000002000000}"/>
  </hyperlinks>
  <pageMargins left="0.7" right="0.7" top="0.75" bottom="0.75" header="0.3" footer="0.3"/>
  <pageSetup paperSize="9" orientation="portrait" r:id="rId4"/>
  <headerFooter>
    <oddHeader>&amp;CPROTECT - SCHEME MANAGEMENT&amp;L_x000D_&amp;Z&amp;F  [&amp;A]</oddHeader>
    <oddFooter>&amp;LPage &amp;P of &amp;N&amp;R&amp;T &amp;D</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1">
    <tabColor rgb="FF92D050"/>
    <pageSetUpPr fitToPage="1"/>
  </sheetPr>
  <dimension ref="A1:O60"/>
  <sheetViews>
    <sheetView workbookViewId="0">
      <selection activeCell="E126" sqref="E126"/>
    </sheetView>
  </sheetViews>
  <sheetFormatPr defaultRowHeight="13.2" x14ac:dyDescent="0.25"/>
  <cols>
    <col min="2" max="2" width="11.109375" customWidth="1"/>
    <col min="3" max="3" width="47.33203125" bestFit="1" customWidth="1"/>
    <col min="4" max="6" width="12.33203125" customWidth="1"/>
    <col min="7" max="7" width="11.33203125" bestFit="1" customWidth="1"/>
    <col min="8" max="8" width="25.109375" customWidth="1"/>
    <col min="9" max="9" width="26.109375" bestFit="1" customWidth="1"/>
    <col min="10" max="10" width="12.44140625" bestFit="1" customWidth="1"/>
    <col min="11" max="11" width="12.44140625" customWidth="1"/>
    <col min="12" max="12" width="14.44140625" bestFit="1" customWidth="1"/>
    <col min="14" max="14" width="10.109375" bestFit="1" customWidth="1"/>
  </cols>
  <sheetData>
    <row r="1" spans="1:15" ht="21" x14ac:dyDescent="0.4">
      <c r="A1" s="13" t="s">
        <v>19</v>
      </c>
      <c r="B1" s="12"/>
      <c r="C1" s="12"/>
      <c r="D1" s="12"/>
      <c r="E1" s="12"/>
      <c r="F1" s="12"/>
      <c r="G1" s="12"/>
      <c r="H1" s="12"/>
    </row>
    <row r="2" spans="1:15" ht="15.6" x14ac:dyDescent="0.3">
      <c r="A2" s="27" t="str">
        <f>IF(title="&gt; Enter workbook title here","Enter workbook title in Cover sheet",title)</f>
        <v>Scottish Fire pension  projection calculator</v>
      </c>
      <c r="B2" s="11"/>
      <c r="C2" s="11"/>
      <c r="D2" s="11"/>
      <c r="E2" s="11"/>
      <c r="F2" s="11"/>
      <c r="G2" s="11"/>
      <c r="H2" s="11"/>
    </row>
    <row r="3" spans="1:15" ht="15.6" x14ac:dyDescent="0.3">
      <c r="A3" s="76" t="s">
        <v>527</v>
      </c>
      <c r="B3" s="11"/>
      <c r="C3" s="11"/>
      <c r="D3" s="11"/>
      <c r="E3" s="11"/>
      <c r="F3" s="11"/>
      <c r="G3" s="11"/>
      <c r="H3" s="11"/>
    </row>
    <row r="4" spans="1:15" ht="13.8" thickBot="1" x14ac:dyDescent="0.3">
      <c r="A4" s="7" t="str">
        <f ca="1">CELL("filename",A1)</f>
        <v>\\Gad-ast\ast\Development_Tools\Benefit projection calculators\File sent to client team Feb 2021\[Fire Scotland - Benefit Calculator - 23Feb2021.xlsx]FPS and NFPS calcs</v>
      </c>
      <c r="H4" s="539"/>
    </row>
    <row r="5" spans="1:15" ht="13.8" thickBot="1" x14ac:dyDescent="0.3">
      <c r="I5" s="455" t="s">
        <v>571</v>
      </c>
      <c r="J5" s="128"/>
      <c r="K5" s="128"/>
      <c r="L5" s="128"/>
      <c r="M5" s="128"/>
      <c r="N5" s="209"/>
    </row>
    <row r="6" spans="1:15" x14ac:dyDescent="0.25">
      <c r="C6" s="455" t="s">
        <v>348</v>
      </c>
      <c r="D6" s="457">
        <f ca="1">(DoStartSchYear-DoB)/DoY</f>
        <v>120.25188227241615</v>
      </c>
      <c r="I6" s="482">
        <v>1992</v>
      </c>
      <c r="J6" s="471"/>
      <c r="K6" s="471"/>
      <c r="L6" s="472">
        <v>2006</v>
      </c>
      <c r="M6" s="470"/>
      <c r="N6" s="111"/>
    </row>
    <row r="7" spans="1:15" x14ac:dyDescent="0.25">
      <c r="C7" s="383" t="s">
        <v>349</v>
      </c>
      <c r="D7" s="458">
        <f ca="1">INT(D6)</f>
        <v>120</v>
      </c>
      <c r="E7" s="29" t="s">
        <v>66</v>
      </c>
      <c r="I7" s="383" t="s">
        <v>602</v>
      </c>
      <c r="J7" s="9" t="b">
        <f>D9&gt;=45</f>
        <v>1</v>
      </c>
      <c r="K7" s="9"/>
      <c r="L7" s="537" t="s">
        <v>605</v>
      </c>
      <c r="M7" s="463" t="b">
        <f>D9&gt;=50</f>
        <v>1</v>
      </c>
      <c r="N7" s="111"/>
    </row>
    <row r="8" spans="1:15" x14ac:dyDescent="0.25">
      <c r="C8" s="383" t="s">
        <v>305</v>
      </c>
      <c r="D8" s="459">
        <f ca="1">INT((D6-INT(D6))*12)</f>
        <v>3</v>
      </c>
      <c r="E8" s="29" t="s">
        <v>71</v>
      </c>
      <c r="I8" s="383" t="s">
        <v>603</v>
      </c>
      <c r="J8" s="9" t="b">
        <f>D9&gt;=40</f>
        <v>1</v>
      </c>
      <c r="K8" s="9"/>
      <c r="L8" s="467"/>
      <c r="M8" s="465"/>
      <c r="N8" s="111"/>
    </row>
    <row r="9" spans="1:15" x14ac:dyDescent="0.25">
      <c r="C9" s="383" t="s">
        <v>86</v>
      </c>
      <c r="D9" s="458">
        <f>(ProtectDate-DoB)/DoY</f>
        <v>112.25188227241615</v>
      </c>
      <c r="E9" s="86"/>
      <c r="I9" s="383" t="s">
        <v>604</v>
      </c>
      <c r="J9" s="9" t="e">
        <f>D18&gt;=20</f>
        <v>#N/A</v>
      </c>
      <c r="K9" s="9"/>
      <c r="L9" s="473"/>
      <c r="M9" s="466"/>
      <c r="N9" s="111"/>
    </row>
    <row r="10" spans="1:15" x14ac:dyDescent="0.25">
      <c r="C10" s="383" t="s">
        <v>561</v>
      </c>
      <c r="D10" s="458">
        <f>INT(D9*12)/12</f>
        <v>112.25</v>
      </c>
      <c r="E10" s="86"/>
      <c r="H10" s="9"/>
      <c r="I10" s="482" t="s">
        <v>557</v>
      </c>
      <c r="J10" s="469" t="e">
        <f>OR(J7,AND(J8,J9))</f>
        <v>#N/A</v>
      </c>
      <c r="K10" s="469"/>
      <c r="L10" s="468" t="s">
        <v>568</v>
      </c>
      <c r="M10" s="470" t="b">
        <f>M7</f>
        <v>1</v>
      </c>
      <c r="N10" s="111"/>
    </row>
    <row r="11" spans="1:15" x14ac:dyDescent="0.25">
      <c r="C11" s="383" t="s">
        <v>526</v>
      </c>
      <c r="D11" s="460">
        <f>(NFPSstart-DJS)/DoY+TVinYears+TVinDays/DoY</f>
        <v>106.26420260095824</v>
      </c>
      <c r="E11" s="86" t="s">
        <v>541</v>
      </c>
      <c r="H11" s="9"/>
      <c r="I11" s="137"/>
      <c r="J11" s="9"/>
      <c r="K11" s="9"/>
      <c r="L11" s="9"/>
      <c r="M11" s="9"/>
      <c r="N11" s="111"/>
    </row>
    <row r="12" spans="1:15" x14ac:dyDescent="0.25">
      <c r="C12" s="383" t="s">
        <v>144</v>
      </c>
      <c r="D12" s="461" t="e">
        <f>IF(DJS&gt;=NewSchDate,"",IF(Calculator!J45="Part-time","N",IF(AND(CurrentScheme=Sch_NFPS,DJS&lt;DATE(2006,4,6)),"Y","N")))</f>
        <v>#N/A</v>
      </c>
      <c r="E12" s="86" t="s">
        <v>541</v>
      </c>
      <c r="H12" s="29" t="s">
        <v>567</v>
      </c>
      <c r="I12" s="483" t="s">
        <v>558</v>
      </c>
      <c r="J12" s="463"/>
      <c r="K12" s="478" t="s">
        <v>565</v>
      </c>
      <c r="L12" s="468" t="s">
        <v>569</v>
      </c>
      <c r="M12" s="470"/>
      <c r="N12" s="484" t="s">
        <v>565</v>
      </c>
    </row>
    <row r="13" spans="1:15" x14ac:dyDescent="0.25">
      <c r="C13" s="456" t="s">
        <v>517</v>
      </c>
      <c r="D13" s="459">
        <f>ROUNDDOWN((NFPSstart-DoB)/DoY,0)</f>
        <v>106</v>
      </c>
      <c r="E13" s="86" t="s">
        <v>541</v>
      </c>
      <c r="I13" s="488" t="s">
        <v>606</v>
      </c>
      <c r="J13" s="463" t="b">
        <f>DoB&gt;=Tapers!B13</f>
        <v>0</v>
      </c>
      <c r="K13" s="479"/>
      <c r="L13" s="464" t="s">
        <v>611</v>
      </c>
      <c r="M13" s="465" t="b">
        <f>DoB&gt;=Tapers!F13</f>
        <v>0</v>
      </c>
      <c r="N13" s="485"/>
    </row>
    <row r="14" spans="1:15" x14ac:dyDescent="0.25">
      <c r="C14" s="456" t="s">
        <v>518</v>
      </c>
      <c r="D14" s="459">
        <f>ROUNDDOWN((DJS-DoB)/DoY,0)</f>
        <v>0</v>
      </c>
      <c r="E14" s="86" t="s">
        <v>541</v>
      </c>
      <c r="I14" s="538" t="s">
        <v>607</v>
      </c>
      <c r="J14" s="466" t="b">
        <f>DoB &lt;=Tapers!C60</f>
        <v>1</v>
      </c>
      <c r="K14" s="479"/>
      <c r="L14" s="464" t="s">
        <v>612</v>
      </c>
      <c r="M14" s="465" t="b">
        <f>DoB&lt;=Tapers!G60</f>
        <v>1</v>
      </c>
      <c r="N14" s="485"/>
    </row>
    <row r="15" spans="1:15" x14ac:dyDescent="0.25">
      <c r="C15" s="456" t="s">
        <v>572</v>
      </c>
      <c r="D15" s="459">
        <f>IF(D13&lt;=55,2,MIN(D13-55+2,60))</f>
        <v>53</v>
      </c>
      <c r="E15" s="86" t="s">
        <v>622</v>
      </c>
      <c r="H15" s="86" t="s">
        <v>616</v>
      </c>
      <c r="I15" s="486" t="s">
        <v>564</v>
      </c>
      <c r="J15" s="466" t="e">
        <f>AND(J13,J14,J10=FALSE)</f>
        <v>#N/A</v>
      </c>
      <c r="K15" s="46">
        <f>IFERROR(VLOOKUP(DoB,tapertab1,3,TRUE),0)</f>
        <v>0</v>
      </c>
      <c r="L15" s="474" t="s">
        <v>547</v>
      </c>
      <c r="M15" s="470" t="b">
        <f>AND(M13,M14)</f>
        <v>0</v>
      </c>
      <c r="N15" s="540">
        <f>IFERROR(VLOOKUP(DoB,tapertab2,3,TRUE),0)</f>
        <v>0</v>
      </c>
      <c r="O15" s="86" t="s">
        <v>620</v>
      </c>
    </row>
    <row r="16" spans="1:15" x14ac:dyDescent="0.25">
      <c r="C16" s="383" t="s">
        <v>145</v>
      </c>
      <c r="D16" s="459" t="e">
        <f>IF(D12="Y",VLOOKUP(D14,Uplift_factors,D15,FALSE),1)</f>
        <v>#N/A</v>
      </c>
      <c r="E16" s="86" t="s">
        <v>622</v>
      </c>
      <c r="I16" s="488" t="s">
        <v>562</v>
      </c>
      <c r="J16" s="463" t="b">
        <f>D9&lt;40</f>
        <v>0</v>
      </c>
      <c r="K16" s="46"/>
      <c r="L16" s="9"/>
      <c r="M16" s="9"/>
      <c r="N16" s="111"/>
    </row>
    <row r="17" spans="2:14" x14ac:dyDescent="0.25">
      <c r="C17" s="383" t="s">
        <v>84</v>
      </c>
      <c r="D17" s="462" t="e">
        <f>D11*D16+NonUplifted</f>
        <v>#N/A</v>
      </c>
      <c r="F17" s="9"/>
      <c r="I17" s="383" t="s">
        <v>604</v>
      </c>
      <c r="J17" s="465" t="e">
        <f>D18&gt;=20</f>
        <v>#N/A</v>
      </c>
      <c r="K17" s="46"/>
      <c r="L17" s="9"/>
      <c r="M17" s="9"/>
      <c r="N17" s="111"/>
    </row>
    <row r="18" spans="2:14" ht="13.8" thickBot="1" x14ac:dyDescent="0.3">
      <c r="C18" s="453" t="s">
        <v>542</v>
      </c>
      <c r="D18" s="164" t="e">
        <f>D17-Calculator!J56-Calculator!J57/365.25</f>
        <v>#N/A</v>
      </c>
      <c r="H18" s="86" t="s">
        <v>617</v>
      </c>
      <c r="I18" s="487" t="s">
        <v>559</v>
      </c>
      <c r="J18" s="470" t="e">
        <f>AND(J16,J17,J10=FALSE)</f>
        <v>#N/A</v>
      </c>
      <c r="K18" s="46">
        <f>IFERROR(VLOOKUP(DoB,tapertab3,3,TRUE),0)</f>
        <v>0</v>
      </c>
      <c r="L18" s="9"/>
      <c r="M18" s="9"/>
      <c r="N18" s="111"/>
    </row>
    <row r="19" spans="2:14" ht="13.8" thickBot="1" x14ac:dyDescent="0.3">
      <c r="C19" s="480" t="s">
        <v>566</v>
      </c>
      <c r="D19" s="481" t="e">
        <f>INT(12*D18)/12</f>
        <v>#N/A</v>
      </c>
      <c r="I19" s="488" t="s">
        <v>603</v>
      </c>
      <c r="J19" s="463" t="b">
        <f>J8</f>
        <v>1</v>
      </c>
      <c r="K19" s="46"/>
      <c r="L19" s="9"/>
      <c r="M19" s="9"/>
      <c r="N19" s="111"/>
    </row>
    <row r="20" spans="2:14" ht="12.75" customHeight="1" thickBot="1" x14ac:dyDescent="0.3">
      <c r="C20" s="475"/>
      <c r="D20" s="476"/>
      <c r="I20" s="383" t="s">
        <v>608</v>
      </c>
      <c r="J20" s="465" t="e">
        <f>D18&gt;=16</f>
        <v>#N/A</v>
      </c>
      <c r="K20" s="46"/>
      <c r="L20" s="9"/>
      <c r="M20" s="9"/>
      <c r="N20" s="111"/>
    </row>
    <row r="21" spans="2:14" ht="13.8" thickBot="1" x14ac:dyDescent="0.3">
      <c r="C21" s="1"/>
      <c r="D21" s="124" t="str">
        <f>Sch_FPS</f>
        <v>FPS</v>
      </c>
      <c r="E21" s="118" t="str">
        <f>Sch_NFPS</f>
        <v>NFPS</v>
      </c>
      <c r="F21" s="492" t="s">
        <v>87</v>
      </c>
      <c r="H21" s="29"/>
      <c r="I21" s="383" t="s">
        <v>609</v>
      </c>
      <c r="J21" s="465" t="e">
        <f>D18 &lt; 20</f>
        <v>#N/A</v>
      </c>
      <c r="K21" s="46"/>
      <c r="L21" s="9"/>
      <c r="M21" s="9"/>
      <c r="N21" s="111"/>
    </row>
    <row r="22" spans="2:14" ht="13.8" thickBot="1" x14ac:dyDescent="0.3">
      <c r="B22" s="117"/>
      <c r="C22" s="118" t="s">
        <v>83</v>
      </c>
      <c r="D22" s="135">
        <f>DoR</f>
        <v>0</v>
      </c>
      <c r="E22" s="133">
        <f>DoR</f>
        <v>0</v>
      </c>
      <c r="F22" s="134" t="e">
        <f>IF(CurrentScheme=Sch_FPS,D22,E22)</f>
        <v>#N/A</v>
      </c>
      <c r="H22" s="86" t="s">
        <v>618</v>
      </c>
      <c r="I22" s="487" t="s">
        <v>560</v>
      </c>
      <c r="J22" s="470" t="e">
        <f>AND(J19,J20,J21,J10=FALSE)</f>
        <v>#N/A</v>
      </c>
      <c r="K22" s="46">
        <f>IFERROR(VLOOKUP(D18,tapertab4,3,TRUE),0)</f>
        <v>0</v>
      </c>
      <c r="L22" s="9"/>
      <c r="M22" s="9"/>
      <c r="N22" s="111"/>
    </row>
    <row r="23" spans="2:14" x14ac:dyDescent="0.25">
      <c r="B23" s="725" t="s">
        <v>298</v>
      </c>
      <c r="C23" s="108" t="s">
        <v>194</v>
      </c>
      <c r="D23" s="136">
        <f>(DATE(YEAR(DJS)-TVinYears+Calculator!J56,MONTH(DJS),DAY(DJS))-TVinDays+Calculator!J57)</f>
        <v>0</v>
      </c>
      <c r="E23" s="175">
        <f>D23</f>
        <v>0</v>
      </c>
      <c r="F23" s="131" t="e">
        <f>IF(CurrentScheme=Sch_FPS,D23,E23)</f>
        <v>#N/A</v>
      </c>
      <c r="G23" s="86"/>
      <c r="H23" s="29"/>
      <c r="I23" s="489" t="s">
        <v>562</v>
      </c>
      <c r="J23" s="463" t="b">
        <f>J16</f>
        <v>0</v>
      </c>
      <c r="K23" s="46"/>
      <c r="L23" s="9"/>
      <c r="M23" s="9"/>
      <c r="N23" s="111"/>
    </row>
    <row r="24" spans="2:14" x14ac:dyDescent="0.25">
      <c r="B24" s="726"/>
      <c r="C24" s="16" t="s">
        <v>72</v>
      </c>
      <c r="D24" s="137" t="e">
        <f>IF(J10=TRUE,"Full",IF(J28=0,"None","Tapered"))</f>
        <v>#N/A</v>
      </c>
      <c r="E24" s="9" t="str">
        <f>IF(M10=TRUE,"Full",IF(M15=FALSE,"None","Tapered"))</f>
        <v>Full</v>
      </c>
      <c r="F24" s="111" t="e">
        <f>IF(CurrentScheme=Sch_FPS,D24,E24)</f>
        <v>#N/A</v>
      </c>
      <c r="G24" s="86"/>
      <c r="H24" s="86" t="s">
        <v>615</v>
      </c>
      <c r="I24" s="456" t="s">
        <v>610</v>
      </c>
      <c r="J24" s="465" t="b">
        <f>D10&gt;=(36+1/12)</f>
        <v>1</v>
      </c>
      <c r="K24" s="46"/>
      <c r="L24" s="9"/>
      <c r="M24" s="9"/>
      <c r="N24" s="111"/>
    </row>
    <row r="25" spans="2:14" ht="13.8" thickBot="1" x14ac:dyDescent="0.3">
      <c r="B25" s="727"/>
      <c r="C25" s="104" t="s">
        <v>80</v>
      </c>
      <c r="D25" s="307" t="e">
        <f>IF(D24="None",NewSchDate-1,IF(D24="Tapered",J28,"N/A"))</f>
        <v>#N/A</v>
      </c>
      <c r="E25" s="176" t="str">
        <f>IF(E24="None",NewSchDate-1,IF(E24="Tapered",N15,"N/A"))</f>
        <v>N/A</v>
      </c>
      <c r="F25" s="177" t="e">
        <f>IF(CurrentScheme=Sch_FPS,D25,E25)</f>
        <v>#N/A</v>
      </c>
      <c r="G25" s="86"/>
      <c r="H25" s="86"/>
      <c r="I25" s="456" t="s">
        <v>609</v>
      </c>
      <c r="J25" s="465" t="e">
        <f>J21</f>
        <v>#N/A</v>
      </c>
      <c r="K25" s="46"/>
      <c r="L25" s="9"/>
      <c r="M25" s="9"/>
      <c r="N25" s="111"/>
    </row>
    <row r="26" spans="2:14" x14ac:dyDescent="0.25">
      <c r="B26" s="725" t="s">
        <v>300</v>
      </c>
      <c r="C26" s="109" t="s">
        <v>309</v>
      </c>
      <c r="D26" s="138" t="e">
        <f>IF(OR(D24="Full",D22&lt;D25),"",IF(PT_Status="Part-Time",Reck_Years+Reck_Days/DoY+MAX(0,(D25-DoStartSchYear)/DoY*future_PTP),MAX($D$17+((D25-ProtectDate)/DoY),0)))</f>
        <v>#N/A</v>
      </c>
      <c r="E26" s="139" t="str">
        <f>IF(OR(E24="Full",E22&lt;E25),"",IF(PT_Status="Part-Time",Reck_Years+Reck_Days/DoY+MAX(0,(E25-DoStartSchYear)/DoY*future_PTP),MAX($D$17+((E25-ProtectDate)/DoY),0)))</f>
        <v/>
      </c>
      <c r="F26" s="140" t="e">
        <f>IF(DJS&gt;=NewSchDate,0,IF(CurrentScheme=Sch_FPS,D26,E26))</f>
        <v>#N/A</v>
      </c>
      <c r="H26" s="86" t="s">
        <v>614</v>
      </c>
      <c r="I26" s="456" t="s">
        <v>613</v>
      </c>
      <c r="J26" s="465" t="e">
        <f>D10+D18&gt;=56</f>
        <v>#N/A</v>
      </c>
      <c r="K26" s="46"/>
      <c r="L26" s="9"/>
      <c r="M26" s="9"/>
      <c r="N26" s="111"/>
    </row>
    <row r="27" spans="2:14" x14ac:dyDescent="0.25">
      <c r="B27" s="726"/>
      <c r="C27" s="145" t="s">
        <v>308</v>
      </c>
      <c r="D27" s="138" t="e">
        <f>IF(D24="Full",IF(PT_Status="Part-Time",Reck_Years+Reck_Days/DoY+MAX(0,(D22-DoStartSchYear)/DoY*future_PTP),ChosenRA-$D$9+$D$17),IF(D22&lt;D25,IF(PT_Status="Part-Time",Reck_Years+Reck_Days/DoY+MAX(0,(D22-DoStartSchYear)/DoY*future_PTP),(D22-ProtectDate)/DoY+$D$17),""))</f>
        <v>#N/A</v>
      </c>
      <c r="E27" s="139" t="e">
        <f>IF(E24="Full",IF(PT_Status="Part-Time",Reck_Years+Reck_Days/DoY+MAX(0,(E22-DoStartSchYear)/DoY*future_PTP),ChosenRA-$D$9+$D$17),IF(E22&lt;E25,IF(PT_Status="Part-Time",Reck_Years+Reck_Days/DoY+MAX(0,(E22-DoStartSchYear)/DoY*future_PTP),(E22-ProtectDate)/DoY+$D$17),""))</f>
        <v>#N/A</v>
      </c>
      <c r="F27" s="140" t="e">
        <f>IF(DJS&gt;=NewSchDate,0,IF(CurrentScheme=Sch_FPS,D27,E27))</f>
        <v>#N/A</v>
      </c>
      <c r="H27" s="86" t="s">
        <v>619</v>
      </c>
      <c r="I27" s="490" t="s">
        <v>563</v>
      </c>
      <c r="J27" s="470" t="e">
        <f>AND(J23,J24,J25,J26,J10=FALSE)</f>
        <v>#N/A</v>
      </c>
      <c r="K27" s="46">
        <f>IFERROR(VLOOKUP(D19+D10,tapertab5,3,TRUE),0)</f>
        <v>0</v>
      </c>
      <c r="L27" s="9"/>
      <c r="M27" s="9"/>
      <c r="N27" s="111"/>
    </row>
    <row r="28" spans="2:14" x14ac:dyDescent="0.25">
      <c r="B28" s="726"/>
      <c r="C28" s="145" t="s">
        <v>306</v>
      </c>
      <c r="D28" s="138" t="e">
        <f>MIN(IF(D26="",D27,D26),30)</f>
        <v>#N/A</v>
      </c>
      <c r="E28" s="139" t="e">
        <f>MIN(IF(E26="",E27,E26),35)</f>
        <v>#N/A</v>
      </c>
      <c r="F28" s="140" t="e">
        <f>IF(DJS&gt;=NewSchDate,0,IF(CurrentScheme=Sch_FPS,D28,E28))</f>
        <v>#N/A</v>
      </c>
      <c r="H28" s="29"/>
      <c r="I28" s="482" t="s">
        <v>80</v>
      </c>
      <c r="J28" s="477" t="e">
        <f>MAX(J15*K15,J18*K18,J22*K22,J27*K27)</f>
        <v>#N/A</v>
      </c>
      <c r="K28" s="47"/>
      <c r="L28" s="9"/>
      <c r="M28" s="9"/>
      <c r="N28" s="111"/>
    </row>
    <row r="29" spans="2:14" ht="13.8" thickBot="1" x14ac:dyDescent="0.3">
      <c r="B29" s="726"/>
      <c r="C29" s="145" t="s">
        <v>339</v>
      </c>
      <c r="D29" s="138">
        <f ca="1">ChosenRA-age_exact</f>
        <v>-120.25188227241615</v>
      </c>
      <c r="E29" s="139">
        <f ca="1">ChosenRA-age_exact</f>
        <v>-120.25188227241615</v>
      </c>
      <c r="F29" s="140" t="e">
        <f t="shared" ref="F29:F37" si="0">IF(CurrentScheme=Sch_FPS,D29,E29)</f>
        <v>#N/A</v>
      </c>
      <c r="H29" s="86"/>
      <c r="I29" s="491"/>
      <c r="J29" s="127" t="e">
        <f>J15+J18+J22+J27</f>
        <v>#N/A</v>
      </c>
      <c r="K29" s="127"/>
      <c r="L29" s="127"/>
      <c r="M29" s="127"/>
      <c r="N29" s="454"/>
    </row>
    <row r="30" spans="2:14" ht="13.8" thickBot="1" x14ac:dyDescent="0.3">
      <c r="B30" s="727"/>
      <c r="C30" s="146" t="s">
        <v>307</v>
      </c>
      <c r="D30" s="651" t="e">
        <f>MIN(ChosenRA-$D$9+$D$18,30)</f>
        <v>#N/A</v>
      </c>
      <c r="E30" s="147" t="e">
        <f>MIN(IF(PT_Status="Part-Time",Reck_Years+Reck_Days/DoY+(DoR-DoStartSchYear)/DoY*future_PTP,ChosenRA-$D$9+$D$17),35)</f>
        <v>#N/A</v>
      </c>
      <c r="F30" s="148" t="e">
        <f t="shared" si="0"/>
        <v>#N/A</v>
      </c>
      <c r="G30" s="86"/>
      <c r="I30" s="86"/>
    </row>
    <row r="31" spans="2:14" x14ac:dyDescent="0.25">
      <c r="B31" s="725" t="s">
        <v>302</v>
      </c>
      <c r="C31" s="109" t="s">
        <v>301</v>
      </c>
      <c r="D31" s="149">
        <f>CurrentSal</f>
        <v>0</v>
      </c>
      <c r="E31" s="150">
        <f>CurrentSal</f>
        <v>0</v>
      </c>
      <c r="F31" s="151" t="e">
        <f t="shared" si="0"/>
        <v>#N/A</v>
      </c>
      <c r="G31" s="29"/>
      <c r="H31" s="69"/>
    </row>
    <row r="32" spans="2:14" x14ac:dyDescent="0.25">
      <c r="B32" s="726"/>
      <c r="C32" s="153" t="str">
        <f>"Project Salary - "&amp;basis1</f>
        <v>Project Salary - CPI + 0%</v>
      </c>
      <c r="D32" s="154">
        <f ca="1">D$31*(1+cpi_1)^D$29</f>
        <v>0</v>
      </c>
      <c r="E32" s="155">
        <f ca="1">E$31*(1+cpi_1)^E$29</f>
        <v>0</v>
      </c>
      <c r="F32" s="156" t="e">
        <f t="shared" si="0"/>
        <v>#N/A</v>
      </c>
      <c r="G32" s="29"/>
    </row>
    <row r="33" spans="2:9" x14ac:dyDescent="0.25">
      <c r="B33" s="726"/>
      <c r="C33" s="103" t="str">
        <f>"Project Salary - "&amp;basis2</f>
        <v>Project Salary - CPI + 1%</v>
      </c>
      <c r="D33" s="143">
        <f ca="1">D$31*(1+cpi_2)^D$29</f>
        <v>0</v>
      </c>
      <c r="E33" s="144">
        <f ca="1">E$31*(1+cpi_2)^E$29</f>
        <v>0</v>
      </c>
      <c r="F33" s="100" t="e">
        <f t="shared" si="0"/>
        <v>#N/A</v>
      </c>
      <c r="G33" s="29"/>
      <c r="I33" s="86"/>
    </row>
    <row r="34" spans="2:9" x14ac:dyDescent="0.25">
      <c r="B34" s="726"/>
      <c r="C34" s="157" t="str">
        <f>"Project Salary - "&amp;basis3</f>
        <v>Project Salary - CPI + 2%</v>
      </c>
      <c r="D34" s="158">
        <f ca="1">D$31*(1+cpi_3)^D$29</f>
        <v>0</v>
      </c>
      <c r="E34" s="159">
        <f ca="1">E$31*(1+cpi_3)^E$29</f>
        <v>0</v>
      </c>
      <c r="F34" s="160" t="e">
        <f t="shared" si="0"/>
        <v>#N/A</v>
      </c>
      <c r="G34" s="29"/>
      <c r="H34" s="29"/>
      <c r="I34" s="86"/>
    </row>
    <row r="35" spans="2:9" x14ac:dyDescent="0.25">
      <c r="B35" s="726"/>
      <c r="C35" s="145" t="str">
        <f>"Discount Projected Salary - "&amp;basis1</f>
        <v>Discount Projected Salary - CPI + 0%</v>
      </c>
      <c r="D35" s="143">
        <f ca="1">D32/((1+cpi)^D$29)*(1+cpi)^((Date_curr-DoStartSchYear)/DoY)</f>
        <v>0</v>
      </c>
      <c r="E35" s="144">
        <f t="shared" ref="E35:E37" ca="1" si="1">E32/((1+cpi)^E$29)*(1+cpi)^((Date_curr-DoStartSchYear)/DoY)</f>
        <v>0</v>
      </c>
      <c r="F35" s="100" t="e">
        <f t="shared" si="0"/>
        <v>#N/A</v>
      </c>
      <c r="G35" s="29"/>
      <c r="H35" s="29"/>
      <c r="I35" s="86"/>
    </row>
    <row r="36" spans="2:9" x14ac:dyDescent="0.25">
      <c r="B36" s="726"/>
      <c r="C36" s="145" t="str">
        <f>"Discount Projected Salary - "&amp;basis2</f>
        <v>Discount Projected Salary - CPI + 1%</v>
      </c>
      <c r="D36" s="143">
        <f ca="1">D33/((1+cpi)^D$29)*(1+cpi)^((Date_curr-DoStartSchYear)/DoY)</f>
        <v>0</v>
      </c>
      <c r="E36" s="144">
        <f t="shared" ca="1" si="1"/>
        <v>0</v>
      </c>
      <c r="F36" s="100" t="e">
        <f t="shared" si="0"/>
        <v>#N/A</v>
      </c>
      <c r="G36" s="29"/>
      <c r="H36" s="29"/>
      <c r="I36" s="86"/>
    </row>
    <row r="37" spans="2:9" ht="13.8" thickBot="1" x14ac:dyDescent="0.3">
      <c r="B37" s="727"/>
      <c r="C37" s="146" t="str">
        <f>"Discount Projected Salary - "&amp;basis3</f>
        <v>Discount Projected Salary - CPI + 2%</v>
      </c>
      <c r="D37" s="122">
        <f ca="1">D34/((1+cpi)^D$29)*(1+cpi)^((Date_curr-DoStartSchYear)/DoY)</f>
        <v>0</v>
      </c>
      <c r="E37" s="152">
        <f t="shared" ca="1" si="1"/>
        <v>0</v>
      </c>
      <c r="F37" s="101" t="e">
        <f t="shared" si="0"/>
        <v>#N/A</v>
      </c>
      <c r="G37" s="29"/>
      <c r="H37" s="29"/>
      <c r="I37" s="86"/>
    </row>
    <row r="38" spans="2:9" x14ac:dyDescent="0.25">
      <c r="B38" s="726" t="s">
        <v>299</v>
      </c>
      <c r="C38" s="102" t="str">
        <f>"Pension - "&amp;basis1</f>
        <v>Pension - CPI + 0%</v>
      </c>
      <c r="D38" s="161" t="e">
        <f>IF(D28="",0,IF(D30&lt;20,Acc_FPS,IF(D30&lt;30,(20+2*(D30-20))/D30*Acc_FPS,1/45))*D35*D28)</f>
        <v>#N/A</v>
      </c>
      <c r="E38" s="392" t="e">
        <f>IF($E$28="",0,$E$28*E35*Acc_NFPS*IF(ChosenRA&lt;60,IFERROR(VLOOKUP(RA_Year,NFPS_ERFs,RA_month+2,FALSE),1),1))</f>
        <v>#N/A</v>
      </c>
      <c r="F38" s="151" t="e">
        <f>IF(DJS&gt;=NewSchDate,0,IF(CurrentScheme=Sch_FPS,D38,E38))</f>
        <v>#N/A</v>
      </c>
      <c r="G38" s="493" t="s">
        <v>573</v>
      </c>
      <c r="H38" s="29"/>
      <c r="I38" s="86"/>
    </row>
    <row r="39" spans="2:9" x14ac:dyDescent="0.25">
      <c r="B39" s="726"/>
      <c r="C39" s="103" t="str">
        <f>"Pension - "&amp;basis2</f>
        <v>Pension - CPI + 1%</v>
      </c>
      <c r="D39" s="141" t="e">
        <f>IF(D28="",0,IF(D30&lt;20,Acc_FPS,IF(D30&lt;30,(20+2*(D30-20))/D30*Acc_FPS,1/45))*D36*D28)</f>
        <v>#N/A</v>
      </c>
      <c r="E39" s="393" t="e">
        <f>IF($E$28="",0,$E$28*E36*Acc_NFPS*IF(ChosenRA&lt;65,IFERROR(VLOOKUP(RA_Year,NFPS_ERFs,RA_month+2,FALSE),1),1))</f>
        <v>#N/A</v>
      </c>
      <c r="F39" s="100" t="e">
        <f>IF(DJS&gt;=NewSchDate,0,IF(CurrentScheme=Sch_FPS,D39,E39))</f>
        <v>#N/A</v>
      </c>
      <c r="G39" s="97"/>
      <c r="H39" s="29"/>
      <c r="I39" s="86"/>
    </row>
    <row r="40" spans="2:9" x14ac:dyDescent="0.25">
      <c r="B40" s="726"/>
      <c r="C40" s="103" t="str">
        <f>"Pension - "&amp;basis3</f>
        <v>Pension - CPI + 2%</v>
      </c>
      <c r="D40" s="141" t="e">
        <f>IF(D28="",0,IF(D30&lt;20,Acc_FPS,IF(D30&lt;30,(20+2*(D30-20))/D30*Acc_FPS,1/45))*D37*D28)</f>
        <v>#N/A</v>
      </c>
      <c r="E40" s="393" t="e">
        <f>IF($E$28="",0,$E$28*E37*Acc_NFPS*IF(ChosenRA&lt;65,IFERROR(VLOOKUP(RA_Year,NFPS_ERFs,RA_month+2,FALSE),1),1))</f>
        <v>#N/A</v>
      </c>
      <c r="F40" s="100" t="e">
        <f>IF(DJS&gt;=NewSchDate,0,IF(CurrentScheme=Sch_FPS,D40,E40))</f>
        <v>#N/A</v>
      </c>
      <c r="G40" s="97"/>
      <c r="H40" s="29"/>
      <c r="I40" s="86"/>
    </row>
    <row r="41" spans="2:9" x14ac:dyDescent="0.25">
      <c r="B41" s="726"/>
      <c r="C41" s="361" t="str">
        <f>"Lump Sum - "&amp;basis1</f>
        <v>Lump Sum - CPI + 0%</v>
      </c>
      <c r="D41" s="362"/>
      <c r="E41" s="363"/>
      <c r="F41" s="364"/>
      <c r="G41" s="97"/>
      <c r="H41" s="29"/>
      <c r="I41" s="86"/>
    </row>
    <row r="42" spans="2:9" x14ac:dyDescent="0.25">
      <c r="B42" s="726"/>
      <c r="C42" s="365" t="str">
        <f>"Lump Sum - "&amp;basis2</f>
        <v>Lump Sum - CPI + 1%</v>
      </c>
      <c r="D42" s="366"/>
      <c r="E42" s="367"/>
      <c r="F42" s="368"/>
      <c r="G42" s="97"/>
      <c r="H42" s="29"/>
      <c r="I42" s="86"/>
    </row>
    <row r="43" spans="2:9" ht="13.8" thickBot="1" x14ac:dyDescent="0.3">
      <c r="B43" s="727"/>
      <c r="C43" s="336" t="str">
        <f>"Lump Sum - "&amp;basis3</f>
        <v>Lump Sum - CPI + 2%</v>
      </c>
      <c r="D43" s="337"/>
      <c r="E43" s="338"/>
      <c r="F43" s="339"/>
      <c r="G43" s="29"/>
      <c r="I43" s="86"/>
    </row>
    <row r="44" spans="2:9" x14ac:dyDescent="0.25">
      <c r="B44" s="10"/>
      <c r="C44" s="1"/>
      <c r="D44" s="95"/>
      <c r="E44" s="96"/>
      <c r="F44" s="95"/>
      <c r="I44" s="86"/>
    </row>
    <row r="45" spans="2:9" x14ac:dyDescent="0.25">
      <c r="B45" s="10"/>
      <c r="C45" s="1" t="s">
        <v>627</v>
      </c>
      <c r="D45" s="95" t="e">
        <f>D28</f>
        <v>#N/A</v>
      </c>
      <c r="E45" s="96" t="e">
        <f>E28</f>
        <v>#N/A</v>
      </c>
      <c r="F45" s="95" t="e">
        <f>IF(Scheme_Full="2015 Scheme",0,IF(CurrentScheme=Sch_FPS,D45,E45))</f>
        <v>#N/A</v>
      </c>
    </row>
    <row r="48" spans="2:9" ht="12.75" customHeight="1" thickBot="1" x14ac:dyDescent="0.3">
      <c r="B48" s="308" t="s">
        <v>411</v>
      </c>
      <c r="C48" s="309"/>
      <c r="D48" s="309"/>
      <c r="E48" s="309"/>
      <c r="F48" s="309"/>
    </row>
    <row r="49" spans="2:6" ht="13.8" thickBot="1" x14ac:dyDescent="0.3">
      <c r="B49" s="309"/>
      <c r="C49" s="308"/>
      <c r="D49" s="310" t="s">
        <v>511</v>
      </c>
      <c r="E49" s="311" t="s">
        <v>510</v>
      </c>
      <c r="F49" s="312" t="s">
        <v>87</v>
      </c>
    </row>
    <row r="50" spans="2:6" ht="13.8" thickBot="1" x14ac:dyDescent="0.3">
      <c r="B50" s="313"/>
      <c r="C50" s="314" t="s">
        <v>83</v>
      </c>
      <c r="D50" s="315">
        <f>DATE(YEAR(DoB)+60,MONTH(DoB),DAY(DoB))</f>
        <v>21915</v>
      </c>
      <c r="E50" s="316">
        <f>D50</f>
        <v>21915</v>
      </c>
      <c r="F50" s="317" t="e">
        <f>IF(CurrentScheme=Sch_FPS,D50,E50)</f>
        <v>#N/A</v>
      </c>
    </row>
    <row r="51" spans="2:6" x14ac:dyDescent="0.25">
      <c r="B51" s="728" t="s">
        <v>298</v>
      </c>
      <c r="C51" s="311" t="s">
        <v>194</v>
      </c>
      <c r="D51" s="318">
        <f>(DATE(YEAR(DJS)-TVinYears,MONTH(DJS),DAY(DJS))-TVinDays)</f>
        <v>0</v>
      </c>
      <c r="E51" s="378">
        <f>DJS</f>
        <v>0</v>
      </c>
      <c r="F51" s="319" t="e">
        <f>IF(CurrentScheme=Sch_FPS,D51,E51)</f>
        <v>#N/A</v>
      </c>
    </row>
    <row r="52" spans="2:6" x14ac:dyDescent="0.25">
      <c r="B52" s="730"/>
      <c r="C52" s="320" t="s">
        <v>72</v>
      </c>
      <c r="D52" s="321" t="str">
        <f>IF($D$9&gt;=45,"Full",IF($D$9&lt;41,"None","Tapered"))</f>
        <v>Full</v>
      </c>
      <c r="E52" s="322" t="str">
        <f>IF($D$9&gt;=50,"Full",IF($D$9&lt;46,"None","Tapered"))</f>
        <v>Full</v>
      </c>
      <c r="F52" s="323" t="e">
        <f>IF(CurrentScheme=Sch_FPS,D52,E52)</f>
        <v>#N/A</v>
      </c>
    </row>
    <row r="53" spans="2:6" ht="13.8" thickBot="1" x14ac:dyDescent="0.3">
      <c r="B53" s="729"/>
      <c r="C53" s="336" t="s">
        <v>80</v>
      </c>
      <c r="D53" s="379" t="str">
        <f ca="1">IF(D52="None",NewSchDate-1,IF(D52="Tapered",VLOOKUP(DoB,INDIRECT(D$49&amp;"Taper"),10,TRUE),"N/A"))</f>
        <v>N/A</v>
      </c>
      <c r="E53" s="380" t="str">
        <f ca="1">IF(E52="None",NewSchDate-1,IF(E52="Tapered",VLOOKUP(DoB,INDIRECT(E$49&amp;"Taper"),10,TRUE),"N/A"))</f>
        <v>N/A</v>
      </c>
      <c r="F53" s="381" t="e">
        <f>IF(CurrentScheme=Sch_FPS,D53,E53)</f>
        <v>#N/A</v>
      </c>
    </row>
    <row r="54" spans="2:6" x14ac:dyDescent="0.25">
      <c r="B54" s="728" t="s">
        <v>300</v>
      </c>
      <c r="C54" s="324" t="s">
        <v>309</v>
      </c>
      <c r="D54" s="325" t="str">
        <f ca="1">IF(OR(D52="Full",D50&lt;D53),"",IF(PT_Status="Part-Time",Reck_Years+Reck_Days/DoY+MAX(0,(D53-DoStartSchYear)/DoY*future_PTP),MAX($D$17+((D53-ProtectDate)/DoY),0)))</f>
        <v/>
      </c>
      <c r="E54" s="326" t="str">
        <f ca="1">IF(OR(E52="Full",E50&lt;E53),"",IF(PT_Status="Part-Time",Reck_Years+Reck_Days/DoY+MAX(0,(E53-DoStartSchYear)/DoY*future_PTP),MAX($D$17+((E53-ProtectDate)/DoY),0)))</f>
        <v/>
      </c>
      <c r="F54" s="327" t="e">
        <f>IF(DJS&gt;=NewSchDate,0,IF(CurrentScheme=Sch_FPS,D54,E54))</f>
        <v>#N/A</v>
      </c>
    </row>
    <row r="55" spans="2:6" x14ac:dyDescent="0.25">
      <c r="B55" s="730"/>
      <c r="C55" s="328" t="s">
        <v>308</v>
      </c>
      <c r="D55" s="325" t="e">
        <f>IF(D52="Full",IF(PT_Status="Part-Time",Reck_Years+Reck_Days/DoY+MAX(0,(D50-DoStartSchYear)/DoY*future_PTP),60-$D$9+$D$17),IF(D50&lt;D53,IF(PT_Status="Part-Time",Reck_Years+Reck_Days/DoY+MAX(0,(D50-DoStartSchYear)/DoY*future_PTP),(D50-ProtectDate)/DoY+$D$17),""))</f>
        <v>#N/A</v>
      </c>
      <c r="E55" s="326" t="e">
        <f>IF(E52="Full",IF(PT_Status="Part-Time",Reck_Years+Reck_Days/DoY+MAX(0,(E50-DoStartSchYear)/DoY*future_PTP),60-$D$9+$D$17),IF(E50&lt;E53,IF(PT_Status="Part-Time",Reck_Years+Reck_Days/DoY+MAX(0,(E50-DoStartSchYear)/DoY*future_PTP),(E50-ProtectDate)/DoY+$D$17),""))</f>
        <v>#N/A</v>
      </c>
      <c r="F55" s="327" t="e">
        <f>IF(DJS&gt;=NewSchDate,0,IF(CurrentScheme=Sch_FPS,D55,E55))</f>
        <v>#N/A</v>
      </c>
    </row>
    <row r="56" spans="2:6" ht="12.75" customHeight="1" x14ac:dyDescent="0.25">
      <c r="B56" s="730"/>
      <c r="C56" s="328" t="s">
        <v>306</v>
      </c>
      <c r="D56" s="325" t="e">
        <f ca="1">MIN(IF(D54="",D55,D54),30)</f>
        <v>#N/A</v>
      </c>
      <c r="E56" s="326" t="e">
        <f ca="1">MIN(IF(E54="",E55,E54),35)</f>
        <v>#N/A</v>
      </c>
      <c r="F56" s="327" t="e">
        <f>IF(DJS&gt;=NewSchDate,0,IF(CurrentScheme=Sch_FPS,D56,E56))</f>
        <v>#N/A</v>
      </c>
    </row>
    <row r="57" spans="2:6" x14ac:dyDescent="0.25">
      <c r="B57" s="730"/>
      <c r="C57" s="328" t="s">
        <v>339</v>
      </c>
      <c r="D57" s="325">
        <f ca="1">60-age_exact</f>
        <v>-60.251882272416154</v>
      </c>
      <c r="E57" s="326">
        <f ca="1">60-age_exact</f>
        <v>-60.251882272416154</v>
      </c>
      <c r="F57" s="327" t="e">
        <f>IF(CurrentScheme=Sch_FPS,D57,E57)</f>
        <v>#N/A</v>
      </c>
    </row>
    <row r="58" spans="2:6" ht="13.8" thickBot="1" x14ac:dyDescent="0.3">
      <c r="B58" s="729"/>
      <c r="C58" s="329" t="s">
        <v>307</v>
      </c>
      <c r="D58" s="330" t="e">
        <f>MIN(IF(PT_Status="Part-Time",Reck_Years+Reck_Days/DoY+(D50-DoStartSchYear)/DoY*future_PTP,60-$D$9+$D$17),30)</f>
        <v>#N/A</v>
      </c>
      <c r="E58" s="331" t="e">
        <f>MIN(IF(PT_Status="Part-Time",Reck_Years+Reck_Days/DoY+(E50-DoStartSchYear)/DoY*future_PTP,60-$D$9+$D$17),35)</f>
        <v>#N/A</v>
      </c>
      <c r="F58" s="332" t="e">
        <f>IF(CurrentScheme=Sch_FPS,D58,E58)</f>
        <v>#N/A</v>
      </c>
    </row>
    <row r="59" spans="2:6" x14ac:dyDescent="0.25">
      <c r="B59" s="728" t="s">
        <v>409</v>
      </c>
      <c r="C59" s="324" t="s">
        <v>301</v>
      </c>
      <c r="D59" s="333">
        <f>CurrentSal</f>
        <v>0</v>
      </c>
      <c r="E59" s="334">
        <f>CurrentSal</f>
        <v>0</v>
      </c>
      <c r="F59" s="335" t="e">
        <f>IF(CurrentScheme=Sch_FPS,D59,E59)</f>
        <v>#N/A</v>
      </c>
    </row>
    <row r="60" spans="2:6" ht="13.8" thickBot="1" x14ac:dyDescent="0.3">
      <c r="B60" s="729"/>
      <c r="C60" s="336" t="str">
        <f>"Pension - "&amp;basis1</f>
        <v>Pension - CPI + 0%</v>
      </c>
      <c r="D60" s="337" t="e">
        <f ca="1">IF(D56="",0,IF(D58&lt;20,Acc_FPS,IF(D58&lt;30,(20+2*(D58-20))/D58*Acc_FPS,1/45))*D59*D56)</f>
        <v>#N/A</v>
      </c>
      <c r="E60" s="338" t="e">
        <f ca="1">IF($E$56="",0,$E$56*E59*Acc_NFPS)</f>
        <v>#N/A</v>
      </c>
      <c r="F60" s="339" t="e">
        <f>IF(DJS&gt;=NewSchDate,0,IF(CurrentScheme=Sch_FPS,D60,E60))</f>
        <v>#N/A</v>
      </c>
    </row>
  </sheetData>
  <mergeCells count="7">
    <mergeCell ref="B23:B25"/>
    <mergeCell ref="B59:B60"/>
    <mergeCell ref="B51:B53"/>
    <mergeCell ref="B54:B58"/>
    <mergeCell ref="B26:B30"/>
    <mergeCell ref="B38:B43"/>
    <mergeCell ref="B31:B37"/>
  </mergeCells>
  <phoneticPr fontId="30" type="noConversion"/>
  <pageMargins left="0.70866141732283472" right="0.70866141732283472" top="0.74803149606299213" bottom="0.74803149606299213" header="0.31496062992125984" footer="0.31496062992125984"/>
  <pageSetup paperSize="9" scale="56" orientation="portrait" r:id="rId1"/>
  <headerFooter>
    <oddHeader>&amp;CPROTECT - SCHEME MANAGEMENT&amp;L_x000D_&amp;Z&amp;F  [&amp;A]</oddHeader>
    <oddFooter>&amp;LPage &amp;P of &amp;N&amp;R&amp;T &amp;D</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rgb="FF92D050"/>
  </sheetPr>
  <dimension ref="A1:IV35"/>
  <sheetViews>
    <sheetView workbookViewId="0">
      <selection activeCell="E126" sqref="E126"/>
    </sheetView>
  </sheetViews>
  <sheetFormatPr defaultRowHeight="13.2" x14ac:dyDescent="0.25"/>
  <cols>
    <col min="2" max="20" width="25" customWidth="1"/>
  </cols>
  <sheetData>
    <row r="1" spans="1:9" ht="21" x14ac:dyDescent="0.4">
      <c r="A1" s="13" t="s">
        <v>19</v>
      </c>
      <c r="B1" s="12"/>
      <c r="C1" s="12"/>
      <c r="D1" s="12"/>
      <c r="E1" s="12"/>
      <c r="F1" s="12"/>
      <c r="G1" s="12"/>
      <c r="H1" s="12"/>
      <c r="I1" s="12"/>
    </row>
    <row r="2" spans="1:9" ht="15.6" x14ac:dyDescent="0.3">
      <c r="A2" s="27" t="str">
        <f>IF(title="&gt; Enter workbook title here","Enter workbook title in Cover sheet",title)</f>
        <v>Scottish Fire pension  projection calculator</v>
      </c>
      <c r="B2" s="11"/>
      <c r="C2" s="11"/>
      <c r="D2" s="11"/>
      <c r="E2" s="11"/>
      <c r="F2" s="11"/>
      <c r="G2" s="11"/>
      <c r="H2" s="11"/>
      <c r="I2" s="11"/>
    </row>
    <row r="3" spans="1:9" ht="15.6" x14ac:dyDescent="0.3">
      <c r="A3" s="76" t="s">
        <v>260</v>
      </c>
      <c r="B3" s="11"/>
      <c r="C3" s="11"/>
      <c r="D3" s="11"/>
      <c r="E3" s="11"/>
      <c r="F3" s="11"/>
      <c r="G3" s="11"/>
      <c r="H3" s="11"/>
      <c r="I3" s="11"/>
    </row>
    <row r="4" spans="1:9" x14ac:dyDescent="0.25">
      <c r="A4" s="7" t="str">
        <f ca="1">CELL("filename",A1)</f>
        <v>\\Gad-ast\ast\Development_Tools\Benefit projection calculators\File sent to client team Feb 2021\[Fire Scotland - Benefit Calculator - 23Feb2021.xlsx]Past Service CARE Calcs</v>
      </c>
    </row>
    <row r="6" spans="1:9" x14ac:dyDescent="0.25">
      <c r="B6" t="s">
        <v>681</v>
      </c>
      <c r="C6" t="e">
        <f>DoProtEnd</f>
        <v>#N/A</v>
      </c>
    </row>
    <row r="7" spans="1:9" x14ac:dyDescent="0.25">
      <c r="B7" s="29" t="s">
        <v>682</v>
      </c>
      <c r="C7">
        <f>DJS</f>
        <v>0</v>
      </c>
    </row>
    <row r="8" spans="1:9" x14ac:dyDescent="0.25">
      <c r="B8" s="29" t="s">
        <v>683</v>
      </c>
      <c r="C8" t="e">
        <f>MAX(C6,C7)</f>
        <v>#N/A</v>
      </c>
    </row>
    <row r="13" spans="1:9" ht="13.8" thickBot="1" x14ac:dyDescent="0.3"/>
    <row r="14" spans="1:9" x14ac:dyDescent="0.25">
      <c r="B14" s="165"/>
      <c r="C14" s="166"/>
      <c r="D14" s="8"/>
      <c r="E14" s="8"/>
      <c r="F14" s="8"/>
    </row>
    <row r="15" spans="1:9" x14ac:dyDescent="0.25">
      <c r="A15" s="29"/>
      <c r="B15" s="163" t="s">
        <v>256</v>
      </c>
      <c r="C15" s="167">
        <f>cpi</f>
        <v>0.02</v>
      </c>
      <c r="D15" s="8"/>
      <c r="E15" s="8"/>
      <c r="F15" s="8"/>
    </row>
    <row r="16" spans="1:9" ht="13.8" thickBot="1" x14ac:dyDescent="0.3">
      <c r="A16" s="29"/>
      <c r="B16" s="164" t="s">
        <v>684</v>
      </c>
      <c r="C16" s="168">
        <f>care_rev</f>
        <v>3.0000000001000001E-2</v>
      </c>
      <c r="D16" s="8"/>
      <c r="E16" s="8"/>
      <c r="F16" s="8"/>
    </row>
    <row r="17" spans="1:256" ht="13.8" thickBot="1" x14ac:dyDescent="0.3">
      <c r="B17" s="545" t="s">
        <v>635</v>
      </c>
      <c r="C17" s="546" t="e">
        <f>MAX(DJS,'CARE calcs'!D7)</f>
        <v>#N/A</v>
      </c>
    </row>
    <row r="18" spans="1:256" x14ac:dyDescent="0.25">
      <c r="B18" s="478"/>
      <c r="C18" s="128">
        <v>2015</v>
      </c>
      <c r="D18" s="128">
        <v>2016</v>
      </c>
      <c r="E18" s="128">
        <v>2017</v>
      </c>
      <c r="F18" s="128">
        <v>2018</v>
      </c>
      <c r="G18" s="128">
        <v>2019</v>
      </c>
      <c r="H18" s="128">
        <v>2020</v>
      </c>
      <c r="I18" s="128">
        <v>2021</v>
      </c>
      <c r="J18" s="128">
        <v>2022</v>
      </c>
      <c r="K18" s="128">
        <v>2023</v>
      </c>
      <c r="L18" s="128">
        <v>2024</v>
      </c>
      <c r="M18" s="128">
        <v>2025</v>
      </c>
      <c r="N18" s="128">
        <v>2026</v>
      </c>
      <c r="O18" s="128">
        <v>2027</v>
      </c>
      <c r="P18" s="128">
        <v>2028</v>
      </c>
      <c r="Q18" s="128">
        <v>2029</v>
      </c>
      <c r="R18" s="128">
        <v>2030</v>
      </c>
      <c r="S18" s="128">
        <v>2031</v>
      </c>
      <c r="T18" s="128">
        <v>2032</v>
      </c>
    </row>
    <row r="19" spans="1:256" x14ac:dyDescent="0.25">
      <c r="B19" s="478" t="s">
        <v>253</v>
      </c>
      <c r="C19" s="74">
        <f>DATE(C18,4,1)</f>
        <v>42095</v>
      </c>
      <c r="D19" s="74">
        <f>DATE(D18,4,1)</f>
        <v>42461</v>
      </c>
      <c r="E19" s="74">
        <f t="shared" ref="E19:T19" si="0">DATE(E18,4,1)</f>
        <v>42826</v>
      </c>
      <c r="F19" s="74">
        <f t="shared" si="0"/>
        <v>43191</v>
      </c>
      <c r="G19" s="74">
        <f t="shared" si="0"/>
        <v>43556</v>
      </c>
      <c r="H19" s="74">
        <f t="shared" si="0"/>
        <v>43922</v>
      </c>
      <c r="I19" s="74">
        <f t="shared" si="0"/>
        <v>44287</v>
      </c>
      <c r="J19" s="74">
        <f t="shared" si="0"/>
        <v>44652</v>
      </c>
      <c r="K19" s="74">
        <f t="shared" si="0"/>
        <v>45017</v>
      </c>
      <c r="L19" s="74">
        <f t="shared" si="0"/>
        <v>45383</v>
      </c>
      <c r="M19" s="74">
        <f t="shared" si="0"/>
        <v>45748</v>
      </c>
      <c r="N19" s="74">
        <f t="shared" si="0"/>
        <v>46113</v>
      </c>
      <c r="O19" s="74">
        <f t="shared" si="0"/>
        <v>46478</v>
      </c>
      <c r="P19" s="74">
        <f t="shared" si="0"/>
        <v>46844</v>
      </c>
      <c r="Q19" s="74">
        <f t="shared" si="0"/>
        <v>47209</v>
      </c>
      <c r="R19" s="74">
        <f t="shared" si="0"/>
        <v>47574</v>
      </c>
      <c r="S19" s="74">
        <f t="shared" si="0"/>
        <v>47939</v>
      </c>
      <c r="T19" s="566">
        <f t="shared" si="0"/>
        <v>48305</v>
      </c>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c r="IV19" s="8"/>
    </row>
    <row r="20" spans="1:256" x14ac:dyDescent="0.25">
      <c r="B20" s="479" t="s">
        <v>254</v>
      </c>
      <c r="C20" s="169">
        <f>DATE(C18+1,3,31)</f>
        <v>42460</v>
      </c>
      <c r="D20" s="169">
        <f t="shared" ref="D20:T20" si="1">DATE(D18+1,3,31)</f>
        <v>42825</v>
      </c>
      <c r="E20" s="169">
        <f t="shared" si="1"/>
        <v>43190</v>
      </c>
      <c r="F20" s="169">
        <f t="shared" si="1"/>
        <v>43555</v>
      </c>
      <c r="G20" s="169">
        <f t="shared" si="1"/>
        <v>43921</v>
      </c>
      <c r="H20" s="169">
        <f t="shared" si="1"/>
        <v>44286</v>
      </c>
      <c r="I20" s="169">
        <f t="shared" si="1"/>
        <v>44651</v>
      </c>
      <c r="J20" s="169">
        <f t="shared" si="1"/>
        <v>45016</v>
      </c>
      <c r="K20" s="169">
        <f t="shared" si="1"/>
        <v>45382</v>
      </c>
      <c r="L20" s="169">
        <f t="shared" si="1"/>
        <v>45747</v>
      </c>
      <c r="M20" s="169">
        <f t="shared" si="1"/>
        <v>46112</v>
      </c>
      <c r="N20" s="169">
        <f t="shared" si="1"/>
        <v>46477</v>
      </c>
      <c r="O20" s="169">
        <f t="shared" si="1"/>
        <v>46843</v>
      </c>
      <c r="P20" s="169">
        <f t="shared" si="1"/>
        <v>47208</v>
      </c>
      <c r="Q20" s="169">
        <f t="shared" si="1"/>
        <v>47573</v>
      </c>
      <c r="R20" s="169">
        <f t="shared" si="1"/>
        <v>47938</v>
      </c>
      <c r="S20" s="169">
        <f t="shared" si="1"/>
        <v>48304</v>
      </c>
      <c r="T20" s="567">
        <f t="shared" si="1"/>
        <v>48669</v>
      </c>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row>
    <row r="21" spans="1:256" x14ac:dyDescent="0.25">
      <c r="B21" s="568" t="s">
        <v>631</v>
      </c>
      <c r="C21" s="9" t="b">
        <f t="shared" ref="C21:T21" ca="1" si="2">Date_curr&gt;C20</f>
        <v>1</v>
      </c>
      <c r="D21" s="9" t="b">
        <f t="shared" ca="1" si="2"/>
        <v>1</v>
      </c>
      <c r="E21" s="9" t="b">
        <f t="shared" ca="1" si="2"/>
        <v>1</v>
      </c>
      <c r="F21" s="9" t="b">
        <f t="shared" ca="1" si="2"/>
        <v>1</v>
      </c>
      <c r="G21" s="9" t="b">
        <f t="shared" ca="1" si="2"/>
        <v>1</v>
      </c>
      <c r="H21" s="9" t="b">
        <f t="shared" ca="1" si="2"/>
        <v>0</v>
      </c>
      <c r="I21" s="9" t="b">
        <f t="shared" ca="1" si="2"/>
        <v>0</v>
      </c>
      <c r="J21" s="9" t="b">
        <f t="shared" ca="1" si="2"/>
        <v>0</v>
      </c>
      <c r="K21" s="9" t="b">
        <f t="shared" ca="1" si="2"/>
        <v>0</v>
      </c>
      <c r="L21" s="9" t="b">
        <f t="shared" ca="1" si="2"/>
        <v>0</v>
      </c>
      <c r="M21" s="9" t="b">
        <f t="shared" ca="1" si="2"/>
        <v>0</v>
      </c>
      <c r="N21" s="9" t="b">
        <f t="shared" ca="1" si="2"/>
        <v>0</v>
      </c>
      <c r="O21" s="9" t="b">
        <f t="shared" ca="1" si="2"/>
        <v>0</v>
      </c>
      <c r="P21" s="9" t="b">
        <f t="shared" ca="1" si="2"/>
        <v>0</v>
      </c>
      <c r="Q21" s="9" t="b">
        <f t="shared" ca="1" si="2"/>
        <v>0</v>
      </c>
      <c r="R21" s="9" t="b">
        <f t="shared" ca="1" si="2"/>
        <v>0</v>
      </c>
      <c r="S21" s="9" t="b">
        <f t="shared" ca="1" si="2"/>
        <v>0</v>
      </c>
      <c r="T21" s="465" t="b">
        <f t="shared" ca="1" si="2"/>
        <v>0</v>
      </c>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c r="IT21" s="8"/>
      <c r="IU21" s="8"/>
      <c r="IV21" s="8"/>
    </row>
    <row r="22" spans="1:256" ht="39.6" x14ac:dyDescent="0.25">
      <c r="B22" s="569" t="s">
        <v>632</v>
      </c>
      <c r="C22" s="9" t="e">
        <f>$C17&lt;D19</f>
        <v>#N/A</v>
      </c>
      <c r="D22" s="9" t="e">
        <f t="shared" ref="D22:T22" si="3">$C17&lt;E19</f>
        <v>#N/A</v>
      </c>
      <c r="E22" s="9" t="e">
        <f t="shared" si="3"/>
        <v>#N/A</v>
      </c>
      <c r="F22" s="9" t="e">
        <f t="shared" si="3"/>
        <v>#N/A</v>
      </c>
      <c r="G22" s="9" t="e">
        <f t="shared" si="3"/>
        <v>#N/A</v>
      </c>
      <c r="H22" s="9" t="e">
        <f t="shared" si="3"/>
        <v>#N/A</v>
      </c>
      <c r="I22" s="9" t="e">
        <f t="shared" si="3"/>
        <v>#N/A</v>
      </c>
      <c r="J22" s="9" t="e">
        <f t="shared" si="3"/>
        <v>#N/A</v>
      </c>
      <c r="K22" s="9" t="e">
        <f t="shared" si="3"/>
        <v>#N/A</v>
      </c>
      <c r="L22" s="9" t="e">
        <f t="shared" si="3"/>
        <v>#N/A</v>
      </c>
      <c r="M22" s="9" t="e">
        <f t="shared" si="3"/>
        <v>#N/A</v>
      </c>
      <c r="N22" s="9" t="e">
        <f t="shared" si="3"/>
        <v>#N/A</v>
      </c>
      <c r="O22" s="9" t="e">
        <f t="shared" si="3"/>
        <v>#N/A</v>
      </c>
      <c r="P22" s="9" t="e">
        <f t="shared" si="3"/>
        <v>#N/A</v>
      </c>
      <c r="Q22" s="9" t="e">
        <f t="shared" si="3"/>
        <v>#N/A</v>
      </c>
      <c r="R22" s="9" t="e">
        <f t="shared" si="3"/>
        <v>#N/A</v>
      </c>
      <c r="S22" s="9" t="e">
        <f t="shared" si="3"/>
        <v>#N/A</v>
      </c>
      <c r="T22" s="465" t="e">
        <f t="shared" si="3"/>
        <v>#N/A</v>
      </c>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c r="IS22" s="8"/>
      <c r="IT22" s="8"/>
      <c r="IU22" s="8"/>
      <c r="IV22" s="8"/>
    </row>
    <row r="23" spans="1:256" x14ac:dyDescent="0.25">
      <c r="B23" s="568" t="s">
        <v>633</v>
      </c>
      <c r="C23" s="139" t="e">
        <f>MAX(0,MIN(C20,DoR)-$C17)/365.25</f>
        <v>#N/A</v>
      </c>
      <c r="D23" s="139" t="e">
        <f t="shared" ref="D23:T23" si="4">MAX(0,MIN(D20,DoR)-MAX(C20,$C17))/365.25</f>
        <v>#N/A</v>
      </c>
      <c r="E23" s="139" t="e">
        <f t="shared" si="4"/>
        <v>#N/A</v>
      </c>
      <c r="F23" s="139" t="e">
        <f t="shared" si="4"/>
        <v>#N/A</v>
      </c>
      <c r="G23" s="139" t="e">
        <f t="shared" si="4"/>
        <v>#N/A</v>
      </c>
      <c r="H23" s="139" t="e">
        <f t="shared" si="4"/>
        <v>#N/A</v>
      </c>
      <c r="I23" s="139" t="e">
        <f t="shared" si="4"/>
        <v>#N/A</v>
      </c>
      <c r="J23" s="139" t="e">
        <f t="shared" si="4"/>
        <v>#N/A</v>
      </c>
      <c r="K23" s="139" t="e">
        <f t="shared" si="4"/>
        <v>#N/A</v>
      </c>
      <c r="L23" s="139" t="e">
        <f t="shared" si="4"/>
        <v>#N/A</v>
      </c>
      <c r="M23" s="139" t="e">
        <f t="shared" si="4"/>
        <v>#N/A</v>
      </c>
      <c r="N23" s="139" t="e">
        <f t="shared" si="4"/>
        <v>#N/A</v>
      </c>
      <c r="O23" s="139" t="e">
        <f t="shared" si="4"/>
        <v>#N/A</v>
      </c>
      <c r="P23" s="139" t="e">
        <f t="shared" si="4"/>
        <v>#N/A</v>
      </c>
      <c r="Q23" s="139" t="e">
        <f t="shared" si="4"/>
        <v>#N/A</v>
      </c>
      <c r="R23" s="139" t="e">
        <f t="shared" si="4"/>
        <v>#N/A</v>
      </c>
      <c r="S23" s="139" t="e">
        <f t="shared" si="4"/>
        <v>#N/A</v>
      </c>
      <c r="T23" s="570" t="e">
        <f t="shared" si="4"/>
        <v>#N/A</v>
      </c>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c r="IS23" s="8"/>
      <c r="IT23" s="8"/>
      <c r="IU23" s="8"/>
      <c r="IV23" s="8"/>
    </row>
    <row r="24" spans="1:256" x14ac:dyDescent="0.25">
      <c r="B24" s="571" t="s">
        <v>634</v>
      </c>
      <c r="C24" s="572" t="e">
        <f ca="1">IF(AND(C21,C22),C23,0)</f>
        <v>#N/A</v>
      </c>
      <c r="D24" s="572" t="e">
        <f ca="1">IF(AND(D21,D22),D23,0)</f>
        <v>#N/A</v>
      </c>
      <c r="E24" s="572" t="e">
        <f ca="1">IF(AND(E21,E22),E23,0)</f>
        <v>#N/A</v>
      </c>
      <c r="F24" s="572" t="e">
        <f ca="1">IF(AND(F21,F22),F23,0)</f>
        <v>#N/A</v>
      </c>
      <c r="G24" s="572" t="e">
        <f t="shared" ref="G24:T24" ca="1" si="5">IF(AND(G21,G22),G23,0)</f>
        <v>#N/A</v>
      </c>
      <c r="H24" s="572" t="e">
        <f t="shared" ca="1" si="5"/>
        <v>#N/A</v>
      </c>
      <c r="I24" s="572" t="e">
        <f t="shared" ca="1" si="5"/>
        <v>#N/A</v>
      </c>
      <c r="J24" s="572" t="e">
        <f t="shared" ca="1" si="5"/>
        <v>#N/A</v>
      </c>
      <c r="K24" s="572" t="e">
        <f t="shared" ca="1" si="5"/>
        <v>#N/A</v>
      </c>
      <c r="L24" s="572" t="e">
        <f t="shared" ca="1" si="5"/>
        <v>#N/A</v>
      </c>
      <c r="M24" s="572" t="e">
        <f t="shared" ca="1" si="5"/>
        <v>#N/A</v>
      </c>
      <c r="N24" s="572" t="e">
        <f t="shared" ca="1" si="5"/>
        <v>#N/A</v>
      </c>
      <c r="O24" s="572" t="e">
        <f t="shared" ca="1" si="5"/>
        <v>#N/A</v>
      </c>
      <c r="P24" s="572" t="e">
        <f t="shared" ca="1" si="5"/>
        <v>#N/A</v>
      </c>
      <c r="Q24" s="572" t="e">
        <f t="shared" ca="1" si="5"/>
        <v>#N/A</v>
      </c>
      <c r="R24" s="572" t="e">
        <f t="shared" ca="1" si="5"/>
        <v>#N/A</v>
      </c>
      <c r="S24" s="572" t="e">
        <f t="shared" ca="1" si="5"/>
        <v>#N/A</v>
      </c>
      <c r="T24" s="573" t="e">
        <f t="shared" ca="1" si="5"/>
        <v>#N/A</v>
      </c>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c r="IS24" s="8"/>
      <c r="IT24" s="8"/>
      <c r="IU24" s="8"/>
      <c r="IV24" s="8"/>
    </row>
    <row r="25" spans="1:256" x14ac:dyDescent="0.25">
      <c r="A25" s="86"/>
      <c r="B25" s="294" t="s">
        <v>685</v>
      </c>
      <c r="C25" s="574">
        <f t="shared" ref="C25:T25" ca="1" si="6">MAX(0,(DoStartSchYear-C19)/DoY)</f>
        <v>5.0020533880903493</v>
      </c>
      <c r="D25" s="574">
        <f t="shared" ca="1" si="6"/>
        <v>4</v>
      </c>
      <c r="E25" s="574">
        <f t="shared" ca="1" si="6"/>
        <v>3.0006844626967832</v>
      </c>
      <c r="F25" s="574">
        <f t="shared" ca="1" si="6"/>
        <v>2.001368925393566</v>
      </c>
      <c r="G25" s="574">
        <f t="shared" ca="1" si="6"/>
        <v>1.0020533880903491</v>
      </c>
      <c r="H25" s="574">
        <f t="shared" ca="1" si="6"/>
        <v>0</v>
      </c>
      <c r="I25" s="574">
        <f t="shared" ca="1" si="6"/>
        <v>0</v>
      </c>
      <c r="J25" s="574">
        <f t="shared" ca="1" si="6"/>
        <v>0</v>
      </c>
      <c r="K25" s="574">
        <f t="shared" ca="1" si="6"/>
        <v>0</v>
      </c>
      <c r="L25" s="574">
        <f t="shared" ca="1" si="6"/>
        <v>0</v>
      </c>
      <c r="M25" s="574">
        <f t="shared" ca="1" si="6"/>
        <v>0</v>
      </c>
      <c r="N25" s="574">
        <f t="shared" ca="1" si="6"/>
        <v>0</v>
      </c>
      <c r="O25" s="574">
        <f t="shared" ca="1" si="6"/>
        <v>0</v>
      </c>
      <c r="P25" s="574">
        <f t="shared" ca="1" si="6"/>
        <v>0</v>
      </c>
      <c r="Q25" s="574">
        <f t="shared" ca="1" si="6"/>
        <v>0</v>
      </c>
      <c r="R25" s="574">
        <f t="shared" ca="1" si="6"/>
        <v>0</v>
      </c>
      <c r="S25" s="574">
        <f t="shared" ca="1" si="6"/>
        <v>0</v>
      </c>
      <c r="T25" s="574">
        <f t="shared" ca="1" si="6"/>
        <v>0</v>
      </c>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c r="DJ25" s="70"/>
      <c r="DK25" s="70"/>
      <c r="DL25" s="70"/>
      <c r="DM25" s="70"/>
      <c r="DN25" s="70"/>
      <c r="DO25" s="70"/>
      <c r="DP25" s="70"/>
      <c r="DQ25" s="70"/>
      <c r="DR25" s="70"/>
      <c r="DS25" s="70"/>
      <c r="DT25" s="70"/>
      <c r="DU25" s="70"/>
      <c r="DV25" s="70"/>
      <c r="DW25" s="70"/>
      <c r="DX25" s="70"/>
      <c r="DY25" s="70"/>
      <c r="DZ25" s="70"/>
      <c r="EA25" s="70"/>
      <c r="EB25" s="70"/>
      <c r="EC25" s="70"/>
      <c r="ED25" s="70"/>
      <c r="EE25" s="70"/>
      <c r="EF25" s="70"/>
      <c r="EG25" s="70"/>
      <c r="EH25" s="70"/>
      <c r="EI25" s="70"/>
      <c r="EJ25" s="70"/>
      <c r="EK25" s="70"/>
      <c r="EL25" s="70"/>
      <c r="EM25" s="70"/>
      <c r="EN25" s="70"/>
      <c r="EO25" s="70"/>
      <c r="EP25" s="70"/>
      <c r="EQ25" s="70"/>
      <c r="ER25" s="70"/>
      <c r="ES25" s="70"/>
      <c r="ET25" s="70"/>
      <c r="EU25" s="70"/>
      <c r="EV25" s="70"/>
      <c r="EW25" s="70"/>
      <c r="EX25" s="70"/>
      <c r="EY25" s="70"/>
      <c r="EZ25" s="70"/>
      <c r="FA25" s="70"/>
      <c r="FB25" s="70"/>
      <c r="FC25" s="70"/>
      <c r="FD25" s="70"/>
      <c r="FE25" s="70"/>
      <c r="FF25" s="70"/>
      <c r="FG25" s="70"/>
      <c r="FH25" s="70"/>
      <c r="FI25" s="70"/>
      <c r="FJ25" s="70"/>
      <c r="FK25" s="70"/>
      <c r="FL25" s="70"/>
      <c r="FM25" s="70"/>
      <c r="FN25" s="70"/>
      <c r="FO25" s="70"/>
      <c r="FP25" s="70"/>
      <c r="FQ25" s="70"/>
      <c r="FR25" s="70"/>
      <c r="FS25" s="70"/>
      <c r="FT25" s="70"/>
      <c r="FU25" s="70"/>
      <c r="FV25" s="70"/>
      <c r="FW25" s="70"/>
      <c r="FX25" s="70"/>
      <c r="FY25" s="70"/>
      <c r="FZ25" s="70"/>
      <c r="GA25" s="70"/>
      <c r="GB25" s="70"/>
      <c r="GC25" s="70"/>
      <c r="GD25" s="70"/>
      <c r="GE25" s="70"/>
      <c r="GF25" s="70"/>
      <c r="GG25" s="70"/>
      <c r="GH25" s="70"/>
      <c r="GI25" s="70"/>
      <c r="GJ25" s="70"/>
      <c r="GK25" s="70"/>
      <c r="GL25" s="70"/>
      <c r="GM25" s="70"/>
      <c r="GN25" s="70"/>
      <c r="GO25" s="70"/>
      <c r="GP25" s="70"/>
      <c r="GQ25" s="70"/>
      <c r="GR25" s="70"/>
      <c r="GS25" s="70"/>
      <c r="GT25" s="70"/>
      <c r="GU25" s="70"/>
      <c r="GV25" s="70"/>
      <c r="GW25" s="70"/>
      <c r="GX25" s="70"/>
      <c r="GY25" s="70"/>
      <c r="GZ25" s="70"/>
      <c r="HA25" s="70"/>
      <c r="HB25" s="70"/>
      <c r="HC25" s="70"/>
      <c r="HD25" s="70"/>
      <c r="HE25" s="70"/>
      <c r="HF25" s="70"/>
      <c r="HG25" s="70"/>
      <c r="HH25" s="70"/>
      <c r="HI25" s="70"/>
      <c r="HJ25" s="70"/>
      <c r="HK25" s="70"/>
      <c r="HL25" s="70"/>
      <c r="HM25" s="70"/>
      <c r="HN25" s="70"/>
      <c r="HO25" s="70"/>
      <c r="HP25" s="70"/>
      <c r="HQ25" s="70"/>
      <c r="HR25" s="70"/>
      <c r="HS25" s="70"/>
      <c r="HT25" s="70"/>
      <c r="HU25" s="70"/>
      <c r="HV25" s="70"/>
      <c r="HW25" s="70"/>
      <c r="HX25" s="70"/>
      <c r="HY25" s="70"/>
      <c r="HZ25" s="70"/>
      <c r="IA25" s="70"/>
      <c r="IB25" s="70"/>
      <c r="IC25" s="70"/>
      <c r="ID25" s="70"/>
      <c r="IE25" s="70"/>
      <c r="IF25" s="70"/>
      <c r="IG25" s="70"/>
      <c r="IH25" s="70"/>
      <c r="II25" s="70"/>
      <c r="IJ25" s="70"/>
      <c r="IK25" s="70"/>
      <c r="IL25" s="70"/>
      <c r="IM25" s="70"/>
      <c r="IN25" s="70"/>
      <c r="IO25" s="70"/>
      <c r="IP25" s="70"/>
      <c r="IQ25" s="70"/>
      <c r="IR25" s="70"/>
      <c r="IS25" s="70"/>
      <c r="IT25" s="70"/>
      <c r="IU25" s="70"/>
      <c r="IV25" s="70"/>
    </row>
    <row r="26" spans="1:256" ht="13.8" thickBot="1" x14ac:dyDescent="0.3">
      <c r="B26" s="294" t="s">
        <v>686</v>
      </c>
      <c r="C26" s="574">
        <f t="shared" ref="C26:T26" ca="1" si="7">CurrentSal/(1+cpi_2)^C25</f>
        <v>0</v>
      </c>
      <c r="D26" s="574">
        <f t="shared" ca="1" si="7"/>
        <v>0</v>
      </c>
      <c r="E26" s="574">
        <f t="shared" ca="1" si="7"/>
        <v>0</v>
      </c>
      <c r="F26" s="574">
        <f t="shared" ca="1" si="7"/>
        <v>0</v>
      </c>
      <c r="G26" s="574">
        <f t="shared" ca="1" si="7"/>
        <v>0</v>
      </c>
      <c r="H26" s="574">
        <f t="shared" ca="1" si="7"/>
        <v>0</v>
      </c>
      <c r="I26" s="574">
        <f t="shared" ca="1" si="7"/>
        <v>0</v>
      </c>
      <c r="J26" s="574">
        <f t="shared" ca="1" si="7"/>
        <v>0</v>
      </c>
      <c r="K26" s="574">
        <f t="shared" ca="1" si="7"/>
        <v>0</v>
      </c>
      <c r="L26" s="574">
        <f t="shared" ca="1" si="7"/>
        <v>0</v>
      </c>
      <c r="M26" s="574">
        <f t="shared" ca="1" si="7"/>
        <v>0</v>
      </c>
      <c r="N26" s="574">
        <f t="shared" ca="1" si="7"/>
        <v>0</v>
      </c>
      <c r="O26" s="574">
        <f t="shared" ca="1" si="7"/>
        <v>0</v>
      </c>
      <c r="P26" s="574">
        <f t="shared" ca="1" si="7"/>
        <v>0</v>
      </c>
      <c r="Q26" s="574">
        <f t="shared" ca="1" si="7"/>
        <v>0</v>
      </c>
      <c r="R26" s="574">
        <f t="shared" ca="1" si="7"/>
        <v>0</v>
      </c>
      <c r="S26" s="574">
        <f t="shared" ca="1" si="7"/>
        <v>0</v>
      </c>
      <c r="T26" s="574">
        <f t="shared" ca="1" si="7"/>
        <v>0</v>
      </c>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c r="HJ26" s="37"/>
      <c r="HK26" s="37"/>
      <c r="HL26" s="37"/>
      <c r="HM26" s="37"/>
      <c r="HN26" s="37"/>
      <c r="HO26" s="37"/>
      <c r="HP26" s="37"/>
      <c r="HQ26" s="37"/>
      <c r="HR26" s="37"/>
      <c r="HS26" s="37"/>
      <c r="HT26" s="37"/>
      <c r="HU26" s="37"/>
      <c r="HV26" s="37"/>
      <c r="HW26" s="37"/>
      <c r="HX26" s="37"/>
      <c r="HY26" s="37"/>
      <c r="HZ26" s="37"/>
      <c r="IA26" s="37"/>
      <c r="IB26" s="37"/>
      <c r="IC26" s="37"/>
      <c r="ID26" s="37"/>
      <c r="IE26" s="37"/>
      <c r="IF26" s="37"/>
      <c r="IG26" s="37"/>
      <c r="IH26" s="37"/>
      <c r="II26" s="37"/>
      <c r="IJ26" s="37"/>
      <c r="IK26" s="37"/>
      <c r="IL26" s="37"/>
      <c r="IM26" s="37"/>
      <c r="IN26" s="37"/>
      <c r="IO26" s="37"/>
      <c r="IP26" s="37"/>
      <c r="IQ26" s="37"/>
      <c r="IR26" s="37"/>
      <c r="IS26" s="37"/>
      <c r="IT26" s="37"/>
      <c r="IU26" s="37"/>
      <c r="IV26" s="37"/>
    </row>
    <row r="27" spans="1:256" x14ac:dyDescent="0.25">
      <c r="B27" s="165" t="s">
        <v>255</v>
      </c>
      <c r="C27" s="575" t="e">
        <f t="shared" ref="C27:T27" ca="1" si="8">C26*Acc_CARE*C24</f>
        <v>#N/A</v>
      </c>
      <c r="D27" s="575" t="e">
        <f t="shared" ca="1" si="8"/>
        <v>#N/A</v>
      </c>
      <c r="E27" s="575" t="e">
        <f t="shared" ca="1" si="8"/>
        <v>#N/A</v>
      </c>
      <c r="F27" s="575" t="e">
        <f t="shared" ca="1" si="8"/>
        <v>#N/A</v>
      </c>
      <c r="G27" s="575" t="e">
        <f t="shared" ca="1" si="8"/>
        <v>#N/A</v>
      </c>
      <c r="H27" s="575" t="e">
        <f t="shared" ca="1" si="8"/>
        <v>#N/A</v>
      </c>
      <c r="I27" s="575" t="e">
        <f t="shared" ca="1" si="8"/>
        <v>#N/A</v>
      </c>
      <c r="J27" s="575" t="e">
        <f t="shared" ca="1" si="8"/>
        <v>#N/A</v>
      </c>
      <c r="K27" s="575" t="e">
        <f t="shared" ca="1" si="8"/>
        <v>#N/A</v>
      </c>
      <c r="L27" s="575" t="e">
        <f t="shared" ca="1" si="8"/>
        <v>#N/A</v>
      </c>
      <c r="M27" s="575" t="e">
        <f t="shared" ca="1" si="8"/>
        <v>#N/A</v>
      </c>
      <c r="N27" s="575" t="e">
        <f t="shared" ca="1" si="8"/>
        <v>#N/A</v>
      </c>
      <c r="O27" s="575" t="e">
        <f t="shared" ca="1" si="8"/>
        <v>#N/A</v>
      </c>
      <c r="P27" s="575" t="e">
        <f t="shared" ca="1" si="8"/>
        <v>#N/A</v>
      </c>
      <c r="Q27" s="575" t="e">
        <f t="shared" ca="1" si="8"/>
        <v>#N/A</v>
      </c>
      <c r="R27" s="575" t="e">
        <f t="shared" ca="1" si="8"/>
        <v>#N/A</v>
      </c>
      <c r="S27" s="575" t="e">
        <f t="shared" ca="1" si="8"/>
        <v>#N/A</v>
      </c>
      <c r="T27" s="575" t="e">
        <f t="shared" ca="1" si="8"/>
        <v>#N/A</v>
      </c>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c r="GY27" s="37"/>
      <c r="GZ27" s="37"/>
      <c r="HA27" s="37"/>
      <c r="HB27" s="37"/>
      <c r="HC27" s="37"/>
      <c r="HD27" s="37"/>
      <c r="HE27" s="37"/>
      <c r="HF27" s="37"/>
      <c r="HG27" s="37"/>
      <c r="HH27" s="37"/>
      <c r="HI27" s="37"/>
      <c r="HJ27" s="37"/>
      <c r="HK27" s="37"/>
      <c r="HL27" s="37"/>
      <c r="HM27" s="37"/>
      <c r="HN27" s="37"/>
      <c r="HO27" s="37"/>
      <c r="HP27" s="37"/>
      <c r="HQ27" s="37"/>
      <c r="HR27" s="37"/>
      <c r="HS27" s="37"/>
      <c r="HT27" s="37"/>
      <c r="HU27" s="37"/>
      <c r="HV27" s="37"/>
      <c r="HW27" s="37"/>
      <c r="HX27" s="37"/>
      <c r="HY27" s="37"/>
      <c r="HZ27" s="37"/>
      <c r="IA27" s="37"/>
      <c r="IB27" s="37"/>
      <c r="IC27" s="37"/>
      <c r="ID27" s="37"/>
      <c r="IE27" s="37"/>
      <c r="IF27" s="37"/>
      <c r="IG27" s="37"/>
      <c r="IH27" s="37"/>
      <c r="II27" s="37"/>
      <c r="IJ27" s="37"/>
      <c r="IK27" s="37"/>
      <c r="IL27" s="37"/>
      <c r="IM27" s="37"/>
      <c r="IN27" s="37"/>
      <c r="IO27" s="37"/>
      <c r="IP27" s="37"/>
      <c r="IQ27" s="37"/>
      <c r="IR27" s="37"/>
      <c r="IS27" s="37"/>
      <c r="IT27" s="37"/>
      <c r="IU27" s="37"/>
      <c r="IV27" s="37"/>
    </row>
    <row r="28" spans="1:256" ht="13.8" thickBot="1" x14ac:dyDescent="0.3">
      <c r="B28" s="218" t="s">
        <v>363</v>
      </c>
      <c r="C28" s="173" t="e">
        <f t="shared" ref="C28:T28" ca="1" si="9">C27*(1+care_rev)^((DoR-C20)/DoY)</f>
        <v>#N/A</v>
      </c>
      <c r="D28" s="173" t="e">
        <f t="shared" ca="1" si="9"/>
        <v>#N/A</v>
      </c>
      <c r="E28" s="173" t="e">
        <f t="shared" ca="1" si="9"/>
        <v>#N/A</v>
      </c>
      <c r="F28" s="173" t="e">
        <f t="shared" ca="1" si="9"/>
        <v>#N/A</v>
      </c>
      <c r="G28" s="173" t="e">
        <f t="shared" ca="1" si="9"/>
        <v>#N/A</v>
      </c>
      <c r="H28" s="173" t="e">
        <f t="shared" ca="1" si="9"/>
        <v>#N/A</v>
      </c>
      <c r="I28" s="173" t="e">
        <f t="shared" ca="1" si="9"/>
        <v>#N/A</v>
      </c>
      <c r="J28" s="173" t="e">
        <f t="shared" ca="1" si="9"/>
        <v>#N/A</v>
      </c>
      <c r="K28" s="173" t="e">
        <f t="shared" ca="1" si="9"/>
        <v>#N/A</v>
      </c>
      <c r="L28" s="173" t="e">
        <f t="shared" ca="1" si="9"/>
        <v>#N/A</v>
      </c>
      <c r="M28" s="173" t="e">
        <f t="shared" ca="1" si="9"/>
        <v>#N/A</v>
      </c>
      <c r="N28" s="173" t="e">
        <f t="shared" ca="1" si="9"/>
        <v>#N/A</v>
      </c>
      <c r="O28" s="173" t="e">
        <f t="shared" ca="1" si="9"/>
        <v>#N/A</v>
      </c>
      <c r="P28" s="173" t="e">
        <f t="shared" ca="1" si="9"/>
        <v>#N/A</v>
      </c>
      <c r="Q28" s="173" t="e">
        <f t="shared" ca="1" si="9"/>
        <v>#N/A</v>
      </c>
      <c r="R28" s="173" t="e">
        <f t="shared" ca="1" si="9"/>
        <v>#N/A</v>
      </c>
      <c r="S28" s="173" t="e">
        <f t="shared" ca="1" si="9"/>
        <v>#N/A</v>
      </c>
      <c r="T28" s="173" t="e">
        <f t="shared" ca="1" si="9"/>
        <v>#N/A</v>
      </c>
    </row>
    <row r="29" spans="1:256" x14ac:dyDescent="0.25">
      <c r="B29" s="294" t="s">
        <v>687</v>
      </c>
      <c r="C29" s="37" t="e">
        <f ca="1">SUM(C28:T28)</f>
        <v>#N/A</v>
      </c>
      <c r="D29" s="29" t="s">
        <v>688</v>
      </c>
    </row>
    <row r="30" spans="1:256" x14ac:dyDescent="0.25">
      <c r="B30" s="26"/>
    </row>
    <row r="31" spans="1:256" x14ac:dyDescent="0.25">
      <c r="B31" s="26" t="s">
        <v>689</v>
      </c>
      <c r="C31" s="37">
        <f>Calculator!M43</f>
        <v>0</v>
      </c>
    </row>
    <row r="32" spans="1:256" x14ac:dyDescent="0.25">
      <c r="B32" s="26" t="s">
        <v>690</v>
      </c>
      <c r="C32" s="8">
        <f>DATE(ABSEndDate1,4,1)</f>
        <v>43922</v>
      </c>
    </row>
    <row r="33" spans="2:3" x14ac:dyDescent="0.25">
      <c r="B33" s="26" t="s">
        <v>691</v>
      </c>
      <c r="C33" s="69">
        <f>C31*(1+care_rev)^((DoR-C32)/DoY)</f>
        <v>0</v>
      </c>
    </row>
    <row r="34" spans="2:3" x14ac:dyDescent="0.25">
      <c r="B34" s="26" t="s">
        <v>692</v>
      </c>
      <c r="C34" t="b">
        <f>Parameters!B126</f>
        <v>0</v>
      </c>
    </row>
    <row r="35" spans="2:3" x14ac:dyDescent="0.25">
      <c r="B35" s="26" t="s">
        <v>693</v>
      </c>
      <c r="C35" t="e">
        <f ca="1">IF(OR(ProtStatus="full",DoStartSchYear&lt;=DoProtEnd),0,IF(C34,C33,C29))</f>
        <v>#N/A</v>
      </c>
    </row>
  </sheetData>
  <pageMargins left="0.7" right="0.7" top="0.75" bottom="0.75" header="0.3" footer="0.3"/>
  <pageSetup paperSize="9" orientation="portrait" r:id="rId1"/>
  <headerFooter>
    <oddHeader>&amp;CPROTECT - SCHEME MANAGEMENT&amp;L_x000D_&amp;Z&amp;F  [&amp;A]</oddHeader>
    <oddFooter>&amp;LPage &amp;P of &amp;N&amp;R&amp;T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tabColor rgb="FF92D050"/>
    <pageSetUpPr fitToPage="1"/>
  </sheetPr>
  <dimension ref="A1:P43"/>
  <sheetViews>
    <sheetView workbookViewId="0">
      <selection activeCell="E126" sqref="E126"/>
    </sheetView>
  </sheetViews>
  <sheetFormatPr defaultRowHeight="13.2" x14ac:dyDescent="0.25"/>
  <cols>
    <col min="2" max="2" width="30.33203125" customWidth="1"/>
    <col min="3" max="3" width="53" bestFit="1" customWidth="1"/>
    <col min="4" max="4" width="12" bestFit="1" customWidth="1"/>
    <col min="5" max="5" width="16.109375" customWidth="1"/>
    <col min="6" max="6" width="12" customWidth="1"/>
    <col min="7" max="7" width="13.6640625" customWidth="1"/>
    <col min="8" max="8" width="10.33203125" bestFit="1" customWidth="1"/>
    <col min="9" max="9" width="9.5546875" bestFit="1" customWidth="1"/>
  </cols>
  <sheetData>
    <row r="1" spans="1:16" ht="21" x14ac:dyDescent="0.4">
      <c r="A1" s="13" t="s">
        <v>19</v>
      </c>
      <c r="B1" s="12"/>
      <c r="C1" s="12"/>
      <c r="D1" s="12"/>
      <c r="E1" s="12"/>
      <c r="F1" s="12"/>
      <c r="G1" s="12"/>
      <c r="H1" s="12"/>
      <c r="I1" s="12"/>
    </row>
    <row r="2" spans="1:16" ht="15.6" x14ac:dyDescent="0.3">
      <c r="A2" s="27" t="str">
        <f>IF(title="&gt; Enter workbook title here","Enter workbook title in Cover sheet",title)</f>
        <v>Scottish Fire pension  projection calculator</v>
      </c>
      <c r="B2" s="11"/>
      <c r="C2" s="11"/>
      <c r="D2" s="11"/>
      <c r="E2" s="11"/>
      <c r="F2" s="11"/>
      <c r="G2" s="11"/>
      <c r="H2" s="11"/>
      <c r="I2" s="11"/>
    </row>
    <row r="3" spans="1:16" ht="15.6" x14ac:dyDescent="0.3">
      <c r="A3" s="76" t="s">
        <v>79</v>
      </c>
      <c r="B3" s="11"/>
      <c r="C3" s="11"/>
      <c r="D3" s="11"/>
      <c r="E3" s="11"/>
      <c r="F3" s="11"/>
      <c r="G3" s="11"/>
      <c r="H3" s="11"/>
      <c r="I3" s="11"/>
    </row>
    <row r="4" spans="1:16" x14ac:dyDescent="0.25">
      <c r="A4" s="7" t="str">
        <f ca="1">CELL("filename",A1)</f>
        <v>\\Gad-ast\ast\Development_Tools\Benefit projection calculators\File sent to client team Feb 2021\[Fire Scotland - Benefit Calculator - 23Feb2021.xlsx]CARE calcs</v>
      </c>
    </row>
    <row r="5" spans="1:16" ht="13.8" thickBot="1" x14ac:dyDescent="0.3">
      <c r="A5" s="7"/>
      <c r="G5" s="29"/>
    </row>
    <row r="6" spans="1:16" x14ac:dyDescent="0.25">
      <c r="A6" s="7"/>
      <c r="C6" s="102" t="s">
        <v>343</v>
      </c>
      <c r="D6" s="114" t="e">
        <f>'FPS and NFPS calcs'!F24</f>
        <v>#N/A</v>
      </c>
      <c r="G6" s="29"/>
      <c r="H6" s="229"/>
      <c r="N6" s="95"/>
      <c r="O6" s="95"/>
      <c r="P6" s="95"/>
    </row>
    <row r="7" spans="1:16" ht="13.8" thickBot="1" x14ac:dyDescent="0.3">
      <c r="C7" s="104" t="s">
        <v>344</v>
      </c>
      <c r="D7" s="212" t="e">
        <f>IF(D6="Full",DoR,DoProtEnd)</f>
        <v>#N/A</v>
      </c>
      <c r="I7" s="95"/>
      <c r="J7" s="95"/>
      <c r="N7" s="95"/>
      <c r="O7" s="95"/>
      <c r="P7" s="95"/>
    </row>
    <row r="8" spans="1:16" ht="13.8" thickBot="1" x14ac:dyDescent="0.3">
      <c r="I8" s="95"/>
      <c r="J8" s="95"/>
      <c r="N8" s="95"/>
      <c r="O8" s="95"/>
    </row>
    <row r="9" spans="1:16" x14ac:dyDescent="0.25">
      <c r="C9" s="102" t="s">
        <v>73</v>
      </c>
      <c r="D9" s="208" t="e">
        <f>VLOOKUP(DoB,Parameters!D27:F30,3,TRUE)</f>
        <v>#N/A</v>
      </c>
      <c r="E9" s="128" t="e">
        <f>D9</f>
        <v>#N/A</v>
      </c>
      <c r="F9" s="209" t="e">
        <f>E9</f>
        <v>#N/A</v>
      </c>
      <c r="I9" s="95"/>
      <c r="J9" s="95"/>
      <c r="N9" s="95"/>
      <c r="O9" s="95"/>
    </row>
    <row r="10" spans="1:16" x14ac:dyDescent="0.25">
      <c r="C10" s="103" t="s">
        <v>310</v>
      </c>
      <c r="D10" s="83">
        <f>ChosenRA</f>
        <v>0</v>
      </c>
      <c r="E10" s="254">
        <f>D10</f>
        <v>0</v>
      </c>
      <c r="F10" s="255">
        <f>E10</f>
        <v>0</v>
      </c>
      <c r="I10" s="95"/>
      <c r="J10" s="95"/>
      <c r="N10" s="95"/>
      <c r="O10" s="95"/>
    </row>
    <row r="11" spans="1:16" x14ac:dyDescent="0.25">
      <c r="C11" s="103" t="s">
        <v>354</v>
      </c>
      <c r="D11" s="25">
        <f>1+cpi_1</f>
        <v>1.01</v>
      </c>
      <c r="E11" s="25">
        <f>1+cpi_2</f>
        <v>1.03</v>
      </c>
      <c r="F11" s="210">
        <f>1+cpi_3</f>
        <v>1.04</v>
      </c>
      <c r="G11" s="86"/>
      <c r="I11" s="95"/>
      <c r="J11" s="95"/>
      <c r="N11" s="95"/>
      <c r="O11" s="95"/>
    </row>
    <row r="12" spans="1:16" x14ac:dyDescent="0.25">
      <c r="C12" s="103" t="s">
        <v>318</v>
      </c>
      <c r="D12" s="25">
        <f>((1+care_rev)/D11)</f>
        <v>1.0198019801990097</v>
      </c>
      <c r="E12" s="25">
        <f>((1+care_rev)/E11)</f>
        <v>1.0000000000009708</v>
      </c>
      <c r="F12" s="210">
        <f>((1+care_rev)/F11)</f>
        <v>0.99038461538557676</v>
      </c>
      <c r="G12" s="86"/>
      <c r="I12" s="95"/>
      <c r="J12" s="95"/>
      <c r="N12" s="95"/>
      <c r="O12" s="95"/>
    </row>
    <row r="13" spans="1:16" ht="13.8" thickBot="1" x14ac:dyDescent="0.3">
      <c r="C13" s="104" t="s">
        <v>342</v>
      </c>
      <c r="D13" s="132">
        <f>(1+cpi_1)/(1+cpi)</f>
        <v>0.99019607843137258</v>
      </c>
      <c r="E13" s="132">
        <f>(1+cpi_2)/(1+cpi)</f>
        <v>1.0098039215686274</v>
      </c>
      <c r="F13" s="211">
        <f>(1+cpi_3)/(1+cpi)</f>
        <v>1.0196078431372548</v>
      </c>
      <c r="I13" s="205"/>
      <c r="J13" s="95"/>
      <c r="N13" s="95"/>
      <c r="O13" s="95"/>
    </row>
    <row r="14" spans="1:16" ht="13.8" thickBot="1" x14ac:dyDescent="0.3">
      <c r="C14" s="1"/>
      <c r="G14" s="190"/>
      <c r="H14" s="9"/>
      <c r="I14" s="144"/>
      <c r="K14" s="9"/>
      <c r="L14" s="9"/>
      <c r="N14" s="95"/>
      <c r="O14" s="95"/>
    </row>
    <row r="15" spans="1:16" x14ac:dyDescent="0.25">
      <c r="B15" s="725" t="s">
        <v>312</v>
      </c>
      <c r="C15" s="102" t="s">
        <v>311</v>
      </c>
      <c r="D15" s="193" t="e">
        <f ca="1">MAX(0,(DoR-MAX(DoStartSchYear,D7)))/DoY</f>
        <v>#N/A</v>
      </c>
      <c r="E15" s="213"/>
      <c r="H15" s="16"/>
      <c r="I15" s="178"/>
      <c r="J15" s="178"/>
      <c r="K15" s="178"/>
      <c r="L15" s="9"/>
      <c r="N15" s="95"/>
      <c r="O15" s="95"/>
    </row>
    <row r="16" spans="1:16" x14ac:dyDescent="0.25">
      <c r="B16" s="726"/>
      <c r="C16" s="103" t="s">
        <v>73</v>
      </c>
      <c r="D16" s="202">
        <f ca="1">IFERROR(MAX((DATE(YEAR(DoB)+$D$9,MONTH(DoB),DAY(DoB))-MAX(DoStartSchYear,D7))/DoY,0),0)</f>
        <v>0</v>
      </c>
      <c r="E16" s="213"/>
      <c r="F16" s="29"/>
      <c r="H16" s="16"/>
      <c r="I16" s="206"/>
      <c r="J16" s="142"/>
      <c r="K16" s="142"/>
      <c r="L16" s="9"/>
      <c r="N16" s="95"/>
      <c r="O16" s="95"/>
    </row>
    <row r="17" spans="1:15" ht="13.8" thickBot="1" x14ac:dyDescent="0.3">
      <c r="B17" s="727"/>
      <c r="C17" s="203" t="s">
        <v>337</v>
      </c>
      <c r="D17" s="194" t="e">
        <f ca="1">D16-D15</f>
        <v>#N/A</v>
      </c>
      <c r="H17" s="9"/>
      <c r="I17" s="144"/>
      <c r="J17" s="144"/>
      <c r="K17" s="144"/>
      <c r="L17" s="9"/>
      <c r="N17" s="95"/>
      <c r="O17" s="95"/>
    </row>
    <row r="18" spans="1:15" x14ac:dyDescent="0.25">
      <c r="B18" s="725" t="s">
        <v>384</v>
      </c>
      <c r="C18" s="231" t="s">
        <v>362</v>
      </c>
      <c r="D18" s="230">
        <f ca="1">(DoR-Date_curr)/DoY</f>
        <v>-121.14989733059548</v>
      </c>
      <c r="H18" s="9"/>
      <c r="I18" s="144"/>
      <c r="J18" s="144"/>
      <c r="K18" s="144"/>
      <c r="L18" s="9"/>
      <c r="N18" s="95"/>
      <c r="O18" s="95"/>
    </row>
    <row r="19" spans="1:15" ht="13.8" thickBot="1" x14ac:dyDescent="0.3">
      <c r="B19" s="727"/>
      <c r="C19" s="203" t="s">
        <v>385</v>
      </c>
      <c r="D19" s="194">
        <f ca="1">IFERROR(MAX((DoProtEnd-DoStartSchYear)/DoY,0),0)</f>
        <v>0</v>
      </c>
      <c r="G19" s="29"/>
      <c r="H19" s="9"/>
      <c r="I19" s="144"/>
      <c r="J19" s="144"/>
      <c r="K19" s="144"/>
      <c r="L19" s="9"/>
      <c r="N19" s="95"/>
      <c r="O19" s="95"/>
    </row>
    <row r="20" spans="1:15" ht="13.8" thickBot="1" x14ac:dyDescent="0.3">
      <c r="B20" s="256"/>
      <c r="C20" s="257"/>
      <c r="D20" s="139"/>
      <c r="H20" s="9"/>
      <c r="I20" s="144"/>
      <c r="J20" s="144"/>
      <c r="K20" s="144"/>
      <c r="L20" s="9"/>
      <c r="N20" s="95"/>
      <c r="O20" s="95"/>
    </row>
    <row r="21" spans="1:15" x14ac:dyDescent="0.25">
      <c r="B21" s="725" t="s">
        <v>435</v>
      </c>
      <c r="C21" s="391" t="s">
        <v>537</v>
      </c>
      <c r="D21" s="394">
        <f>IF(ChosenRA&lt;=60,1,1+VLOOKUP(RA_month,CARE_LRF,RA_Year-60+2,0))</f>
        <v>1</v>
      </c>
      <c r="F21" s="258"/>
      <c r="H21" s="9"/>
      <c r="I21" s="144"/>
      <c r="J21" s="144"/>
      <c r="K21" s="144"/>
      <c r="L21" s="9"/>
      <c r="N21" s="95"/>
      <c r="O21" s="95"/>
    </row>
    <row r="22" spans="1:15" ht="13.8" thickBot="1" x14ac:dyDescent="0.3">
      <c r="B22" s="727"/>
      <c r="C22" s="390" t="s">
        <v>434</v>
      </c>
      <c r="D22" s="395">
        <f>IF(ChosenRA&lt;55,1,IF(ChosenRA&lt;60,VLOOKUP(Parameters!H117,CARE_ERFs,MOD(12-RA_month_roundup,12)+2,0),1))</f>
        <v>1</v>
      </c>
      <c r="H22" s="9"/>
      <c r="I22" s="144"/>
      <c r="J22" s="144"/>
      <c r="K22" s="144"/>
      <c r="L22" s="9"/>
      <c r="N22" s="95"/>
      <c r="O22" s="95"/>
    </row>
    <row r="23" spans="1:15" ht="13.8" thickBot="1" x14ac:dyDescent="0.3">
      <c r="A23" s="9"/>
      <c r="B23" s="217"/>
      <c r="C23" s="16"/>
      <c r="D23" s="139"/>
      <c r="E23" s="139"/>
      <c r="F23" s="139"/>
      <c r="G23" s="9"/>
      <c r="H23" s="9"/>
      <c r="I23" s="144"/>
      <c r="J23" s="144"/>
      <c r="K23" s="144"/>
      <c r="L23" s="9"/>
      <c r="N23" s="95"/>
      <c r="O23" s="95"/>
    </row>
    <row r="24" spans="1:15" ht="12.75" customHeight="1" x14ac:dyDescent="0.25">
      <c r="B24" s="720" t="s">
        <v>357</v>
      </c>
      <c r="C24" s="102" t="s">
        <v>379</v>
      </c>
      <c r="D24" s="220" t="e">
        <f ca="1">IF(D15=0,0,INT(D15))</f>
        <v>#N/A</v>
      </c>
      <c r="E24" s="199" t="e">
        <f t="shared" ref="E24:F26" ca="1" si="0">$D24</f>
        <v>#N/A</v>
      </c>
      <c r="F24" s="200" t="e">
        <f t="shared" ca="1" si="0"/>
        <v>#N/A</v>
      </c>
      <c r="H24" s="95"/>
    </row>
    <row r="25" spans="1:15" ht="12.75" customHeight="1" x14ac:dyDescent="0.25">
      <c r="B25" s="731"/>
      <c r="C25" s="103" t="s">
        <v>380</v>
      </c>
      <c r="D25" s="192" t="e">
        <f ca="1">D15-INT(D15)</f>
        <v>#N/A</v>
      </c>
      <c r="E25" s="139" t="e">
        <f t="shared" ca="1" si="0"/>
        <v>#N/A</v>
      </c>
      <c r="F25" s="140" t="e">
        <f t="shared" ca="1" si="0"/>
        <v>#N/A</v>
      </c>
    </row>
    <row r="26" spans="1:15" ht="13.8" thickBot="1" x14ac:dyDescent="0.3">
      <c r="B26" s="721"/>
      <c r="C26" s="103" t="s">
        <v>250</v>
      </c>
      <c r="D26" s="204" t="e">
        <f ca="1">'Past Service CARE Calcs'!C35</f>
        <v>#N/A</v>
      </c>
      <c r="E26" s="206" t="e">
        <f t="shared" ca="1" si="0"/>
        <v>#N/A</v>
      </c>
      <c r="F26" s="207" t="e">
        <f t="shared" ca="1" si="0"/>
        <v>#N/A</v>
      </c>
      <c r="H26" s="95"/>
    </row>
    <row r="27" spans="1:15" ht="12.75" customHeight="1" x14ac:dyDescent="0.25">
      <c r="B27" s="725" t="s">
        <v>358</v>
      </c>
      <c r="C27" s="231" t="s">
        <v>251</v>
      </c>
      <c r="D27" s="655" t="e">
        <f>IF($D$6="Tapered",0,CurrentSal*Acc_CARE*D$11^(D24)*((1-D$12^D24)/(1-D$12)*(1+care_rev)^D25+D25*D11^D25))</f>
        <v>#N/A</v>
      </c>
      <c r="E27" s="656" t="e">
        <f>IF($D$6="Tapered",0,CurrentSal*Acc_CARE*E$11^(E24)*((1-E$12^E24)/(1-E$12)*(1+care_rev)^E25+E25*E11^E25))</f>
        <v>#N/A</v>
      </c>
      <c r="F27" s="657" t="e">
        <f>IF($D$6="Tapered",0,CurrentSal*Acc_CARE*F$11^(F24)*((1-F$12^F24)/(1-F$12)*(1+care_rev)^F25+F25*F11^F25))</f>
        <v>#N/A</v>
      </c>
    </row>
    <row r="28" spans="1:15" s="629" customFormat="1" ht="12.75" customHeight="1" thickBot="1" x14ac:dyDescent="0.3">
      <c r="B28" s="727"/>
      <c r="C28" s="103" t="s">
        <v>910</v>
      </c>
      <c r="D28" s="652" t="e">
        <f>IF(PT_Status="Part-Time",D27*future_PTP,D27)</f>
        <v>#N/A</v>
      </c>
      <c r="E28" s="653" t="e">
        <f>IF(PT_Status="Part-Time",E27*future_PTP,E27)</f>
        <v>#N/A</v>
      </c>
      <c r="F28" s="654" t="e">
        <f>IF(PT_Status="Part-Time",F27*future_PTP,F27)</f>
        <v>#N/A</v>
      </c>
      <c r="G28" s="629" t="s">
        <v>916</v>
      </c>
    </row>
    <row r="29" spans="1:15" ht="12.75" customHeight="1" x14ac:dyDescent="0.25">
      <c r="A29" s="111"/>
      <c r="B29" s="725" t="s">
        <v>359</v>
      </c>
      <c r="C29" s="102" t="s">
        <v>377</v>
      </c>
      <c r="D29" s="221">
        <f ca="1">INT((DoR-DoStartSchYear)/DoY)</f>
        <v>-121</v>
      </c>
      <c r="E29" s="219">
        <f ca="1">$D29</f>
        <v>-121</v>
      </c>
      <c r="F29" s="222">
        <f ca="1">$D29</f>
        <v>-121</v>
      </c>
      <c r="H29" s="227"/>
    </row>
    <row r="30" spans="1:15" ht="12.75" customHeight="1" x14ac:dyDescent="0.25">
      <c r="A30" s="111"/>
      <c r="B30" s="726"/>
      <c r="C30" s="103" t="s">
        <v>378</v>
      </c>
      <c r="D30" s="228">
        <f ca="1">(DoR-DoStartSchYear)/DoY-D29</f>
        <v>0.7481177275838462</v>
      </c>
      <c r="E30" s="139">
        <f ca="1">$D30</f>
        <v>0.7481177275838462</v>
      </c>
      <c r="F30" s="140">
        <f ca="1">$D30</f>
        <v>0.7481177275838462</v>
      </c>
      <c r="H30" s="227"/>
    </row>
    <row r="31" spans="1:15" x14ac:dyDescent="0.25">
      <c r="A31" s="111"/>
      <c r="B31" s="726"/>
      <c r="C31" s="103" t="s">
        <v>381</v>
      </c>
      <c r="D31" s="204" t="e">
        <f>IF($D$6="Tapered",CurrentSal*Acc_CARE*D$11^(D29)*((1-D$12^D29)/(1-D$12)*(1+care_rev)^D30+D30*D11^D30),0)</f>
        <v>#N/A</v>
      </c>
      <c r="E31" s="206" t="e">
        <f>IF($D$6="Tapered",CurrentSal*Acc_CARE*E$11^(E29)*((1-E$12^E29)/(1-E$12)*(1+care_rev)^E30+E30*E11^E30),0)</f>
        <v>#N/A</v>
      </c>
      <c r="F31" s="207" t="e">
        <f>IF($D$6="Tapered",CurrentSal*Acc_CARE*F$11^(F29)*((1-F$12^F29)/(1-F$12)*(1+care_rev)^F30+F30*F11^F30),0)</f>
        <v>#N/A</v>
      </c>
      <c r="H31" s="95"/>
    </row>
    <row r="32" spans="1:15" x14ac:dyDescent="0.25">
      <c r="A32" s="111"/>
      <c r="B32" s="726"/>
      <c r="C32" s="103" t="s">
        <v>382</v>
      </c>
      <c r="D32" s="204" t="e">
        <f>IF($D$6="Tapered",INT($D$19),0)</f>
        <v>#N/A</v>
      </c>
      <c r="E32" s="206" t="e">
        <f>$D32</f>
        <v>#N/A</v>
      </c>
      <c r="F32" s="207" t="e">
        <f>$D32</f>
        <v>#N/A</v>
      </c>
      <c r="G32" s="95"/>
      <c r="H32" s="95"/>
    </row>
    <row r="33" spans="1:8" x14ac:dyDescent="0.25">
      <c r="A33" s="111"/>
      <c r="B33" s="726"/>
      <c r="C33" s="103" t="s">
        <v>383</v>
      </c>
      <c r="D33" s="204" t="e">
        <f>IF($D$6="Tapered",CurrentSal*Acc_CARE*D$11^(D32)*((1-D$12^D32)/(1-D$12)+D$11*($D$19-INT($D$19))/(1+care_rev))*(1+care_rev)^(D24+D30),0)</f>
        <v>#N/A</v>
      </c>
      <c r="E33" s="206" t="e">
        <f>IF($D$6="Tapered",CurrentSal*Acc_CARE*E$11^(E32)*((1-E$12^E32)/(1-E$12)+E$11*($D$19-INT($D$19))/(1+care_rev))*(1+care_rev)^(E24+E30),0)</f>
        <v>#N/A</v>
      </c>
      <c r="F33" s="207" t="e">
        <f>IF($D$6="Tapered",CurrentSal*Acc_CARE*F$11^(F32)*((1-F$12^F32)/(1-F$12)+F$11*($D$19-INT($D$19))/(1+care_rev))*(1+care_rev)^(F24+F30),0)</f>
        <v>#N/A</v>
      </c>
      <c r="G33" s="95"/>
      <c r="H33" s="95"/>
    </row>
    <row r="34" spans="1:8" x14ac:dyDescent="0.25">
      <c r="A34" s="111"/>
      <c r="B34" s="726"/>
      <c r="C34" s="103" t="s">
        <v>251</v>
      </c>
      <c r="D34" s="204" t="e">
        <f>IF(DoProtEnd&gt;DoR,0,D31-D33)</f>
        <v>#N/A</v>
      </c>
      <c r="E34" s="206" t="e">
        <f>IF(DoProtEnd&gt;DoR,0,E31-E33)</f>
        <v>#N/A</v>
      </c>
      <c r="F34" s="207" t="e">
        <f>IF(DoProtEnd&gt;DoR,0,F31-F33)</f>
        <v>#N/A</v>
      </c>
      <c r="H34" s="95"/>
    </row>
    <row r="35" spans="1:8" ht="13.8" thickBot="1" x14ac:dyDescent="0.3">
      <c r="A35" s="111"/>
      <c r="B35" s="727"/>
      <c r="C35" s="103" t="s">
        <v>915</v>
      </c>
      <c r="D35" s="204" t="e">
        <f>IF(PT_Status="Part-Time",D34*future_PTP,D34)</f>
        <v>#N/A</v>
      </c>
      <c r="E35" s="206" t="e">
        <f>IF(PT_Status="Part-Time",E34*future_PTP,E34)</f>
        <v>#N/A</v>
      </c>
      <c r="F35" s="207" t="e">
        <f>IF(PT_Status="Part-Time",F34*future_PTP,F34)</f>
        <v>#N/A</v>
      </c>
      <c r="G35" s="629" t="s">
        <v>916</v>
      </c>
    </row>
    <row r="36" spans="1:8" x14ac:dyDescent="0.25">
      <c r="C36" s="197" t="s">
        <v>355</v>
      </c>
      <c r="D36" s="149" t="e">
        <f ca="1">SUM(D26,D28,D35)/(1+cpi)^$D$18</f>
        <v>#N/A</v>
      </c>
      <c r="E36" s="150" t="e">
        <f ca="1">SUM(E26,E28,E35)/(1+cpi)^$D$18</f>
        <v>#N/A</v>
      </c>
      <c r="F36" s="151" t="e">
        <f ca="1">SUM(F26,F28,F35)/(1+cpi)^$D$18</f>
        <v>#N/A</v>
      </c>
      <c r="G36" s="629" t="s">
        <v>914</v>
      </c>
    </row>
    <row r="37" spans="1:8" x14ac:dyDescent="0.25">
      <c r="C37" s="112" t="s">
        <v>365</v>
      </c>
      <c r="D37" s="204" t="e">
        <f ca="1">+D36*IF(D$10&lt;55,1,IF(D$10&lt;60,$D$22,$D$21))</f>
        <v>#N/A</v>
      </c>
      <c r="E37" s="206" t="e">
        <f ca="1">+E36*IF(E$10&lt;55,1,IF(E$10&lt;60,$D$22,$D$21))</f>
        <v>#N/A</v>
      </c>
      <c r="F37" s="207" t="e">
        <f ca="1">+F36*IF(F$10&lt;55,1,IF(F$10&lt;60,$D$22,$D$21))</f>
        <v>#N/A</v>
      </c>
      <c r="G37" s="629" t="s">
        <v>911</v>
      </c>
    </row>
    <row r="38" spans="1:8" ht="13.8" thickBot="1" x14ac:dyDescent="0.3">
      <c r="C38" s="104" t="s">
        <v>366</v>
      </c>
      <c r="D38" s="122" t="e">
        <f ca="1">D37</f>
        <v>#N/A</v>
      </c>
      <c r="E38" s="152" t="e">
        <f t="shared" ref="E38:F38" ca="1" si="1">E37</f>
        <v>#N/A</v>
      </c>
      <c r="F38" s="654" t="e">
        <f t="shared" ca="1" si="1"/>
        <v>#N/A</v>
      </c>
    </row>
    <row r="43" spans="1:8" x14ac:dyDescent="0.25">
      <c r="B43" s="658"/>
    </row>
  </sheetData>
  <mergeCells count="6">
    <mergeCell ref="B29:B35"/>
    <mergeCell ref="B24:B26"/>
    <mergeCell ref="B15:B17"/>
    <mergeCell ref="B18:B19"/>
    <mergeCell ref="B21:B22"/>
    <mergeCell ref="B27:B28"/>
  </mergeCells>
  <phoneticPr fontId="30" type="noConversion"/>
  <pageMargins left="0.70866141732283472" right="0.70866141732283472" top="0.74803149606299213" bottom="0.74803149606299213" header="0.31496062992125984" footer="0.31496062992125984"/>
  <pageSetup paperSize="9" scale="46" orientation="portrait" r:id="rId1"/>
  <headerFooter>
    <oddHeader>&amp;CPROTECT - SCHEME MANAGEMENT&amp;L_x000D_&amp;Z&amp;F  [&amp;A]</oddHeader>
    <oddFooter>&amp;LPage &amp;P of &amp;N&amp;R&amp;T &amp;D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tabColor rgb="FF92D050"/>
    <pageSetUpPr fitToPage="1"/>
  </sheetPr>
  <dimension ref="A1:N37"/>
  <sheetViews>
    <sheetView workbookViewId="0">
      <selection activeCell="E126" sqref="E126"/>
    </sheetView>
  </sheetViews>
  <sheetFormatPr defaultRowHeight="13.2" x14ac:dyDescent="0.25"/>
  <cols>
    <col min="2" max="2" width="30.33203125" customWidth="1"/>
    <col min="3" max="3" width="53" bestFit="1" customWidth="1"/>
    <col min="4" max="4" width="10.5546875" bestFit="1" customWidth="1"/>
    <col min="5" max="5" width="13.6640625" customWidth="1"/>
    <col min="6" max="6" width="10.33203125" bestFit="1" customWidth="1"/>
    <col min="7" max="7" width="9.5546875" bestFit="1" customWidth="1"/>
  </cols>
  <sheetData>
    <row r="1" spans="1:14" ht="21" x14ac:dyDescent="0.4">
      <c r="A1" s="13" t="s">
        <v>19</v>
      </c>
      <c r="B1" s="12"/>
      <c r="C1" s="12"/>
      <c r="D1" s="12"/>
      <c r="E1" s="12"/>
      <c r="F1" s="12"/>
      <c r="G1" s="12"/>
    </row>
    <row r="2" spans="1:14" ht="15.6" x14ac:dyDescent="0.3">
      <c r="A2" s="27" t="str">
        <f>IF(title="&gt; Enter workbook title here","Enter workbook title in Cover sheet",title)</f>
        <v>Scottish Fire pension  projection calculator</v>
      </c>
      <c r="B2" s="11"/>
      <c r="C2" s="11"/>
      <c r="D2" s="11"/>
      <c r="E2" s="11"/>
      <c r="F2" s="11"/>
      <c r="G2" s="11"/>
    </row>
    <row r="3" spans="1:14" ht="15.6" x14ac:dyDescent="0.3">
      <c r="A3" s="76" t="s">
        <v>79</v>
      </c>
      <c r="B3" s="11"/>
      <c r="C3" s="11"/>
      <c r="D3" s="11"/>
      <c r="E3" s="11"/>
      <c r="F3" s="11"/>
      <c r="G3" s="11"/>
    </row>
    <row r="4" spans="1:14" x14ac:dyDescent="0.25">
      <c r="A4" s="7" t="str">
        <f ca="1">CELL("filename",A1)</f>
        <v>\\Gad-ast\ast\Development_Tools\Benefit projection calculators\File sent to client team Feb 2021\[Fire Scotland - Benefit Calculator - 23Feb2021.xlsx]CARE calcs ABS</v>
      </c>
    </row>
    <row r="5" spans="1:14" ht="13.8" thickBot="1" x14ac:dyDescent="0.3">
      <c r="A5" s="7"/>
      <c r="E5" s="29"/>
    </row>
    <row r="6" spans="1:14" x14ac:dyDescent="0.25">
      <c r="A6" s="7"/>
      <c r="B6" s="1" t="s">
        <v>411</v>
      </c>
      <c r="C6" s="102" t="s">
        <v>343</v>
      </c>
      <c r="D6" s="114" t="e">
        <f>'FPS and NFPS calcs'!F24</f>
        <v>#N/A</v>
      </c>
      <c r="E6" s="29"/>
      <c r="F6" s="229"/>
      <c r="L6" s="95"/>
      <c r="M6" s="95"/>
      <c r="N6" s="95"/>
    </row>
    <row r="7" spans="1:14" ht="13.8" thickBot="1" x14ac:dyDescent="0.3">
      <c r="C7" s="104" t="s">
        <v>344</v>
      </c>
      <c r="D7" s="212" t="e">
        <f>IF(D6="Full",date60,DoProtEnd)</f>
        <v>#N/A</v>
      </c>
      <c r="G7" s="95"/>
      <c r="H7" s="95"/>
      <c r="L7" s="95"/>
      <c r="M7" s="95"/>
      <c r="N7" s="95"/>
    </row>
    <row r="8" spans="1:14" ht="13.8" thickBot="1" x14ac:dyDescent="0.3">
      <c r="G8" s="95"/>
      <c r="H8" s="95"/>
      <c r="L8" s="95"/>
      <c r="M8" s="95"/>
    </row>
    <row r="9" spans="1:14" x14ac:dyDescent="0.25">
      <c r="C9" s="102" t="s">
        <v>73</v>
      </c>
      <c r="D9" s="251" t="e">
        <f>VLOOKUP(DoB,Parameters!D27:F30,3,TRUE)</f>
        <v>#N/A</v>
      </c>
      <c r="G9" s="95"/>
      <c r="H9" s="95"/>
      <c r="L9" s="95"/>
      <c r="M9" s="95"/>
    </row>
    <row r="10" spans="1:14" ht="13.8" thickBot="1" x14ac:dyDescent="0.3">
      <c r="C10" s="104" t="s">
        <v>310</v>
      </c>
      <c r="D10" s="252">
        <f>60</f>
        <v>60</v>
      </c>
      <c r="G10" s="95"/>
      <c r="H10" s="95"/>
      <c r="L10" s="95"/>
      <c r="M10" s="95"/>
    </row>
    <row r="11" spans="1:14" ht="13.8" thickBot="1" x14ac:dyDescent="0.3">
      <c r="C11" s="1"/>
      <c r="E11" s="190"/>
      <c r="F11" s="9"/>
      <c r="G11" s="144"/>
      <c r="I11" s="9"/>
      <c r="J11" s="9"/>
      <c r="L11" s="95"/>
      <c r="M11" s="95"/>
    </row>
    <row r="12" spans="1:14" x14ac:dyDescent="0.25">
      <c r="B12" s="725" t="s">
        <v>312</v>
      </c>
      <c r="C12" s="102" t="s">
        <v>311</v>
      </c>
      <c r="D12" s="193" t="e">
        <f ca="1">MAX((date60-MAX(DoStartSchYear,D7))/DoY,0)</f>
        <v>#N/A</v>
      </c>
      <c r="F12" s="16"/>
      <c r="G12" s="178"/>
      <c r="H12" s="178"/>
      <c r="I12" s="178"/>
      <c r="J12" s="9"/>
      <c r="L12" s="95"/>
      <c r="M12" s="95"/>
    </row>
    <row r="13" spans="1:14" x14ac:dyDescent="0.25">
      <c r="B13" s="726"/>
      <c r="C13" s="103" t="s">
        <v>73</v>
      </c>
      <c r="D13" s="202">
        <f ca="1">IFERROR((DATE(YEAR(DoB)+$D$9,MONTH(DoB),DAY(DoB))-MAX(DoStartSchYear,D7))/DoY,0)</f>
        <v>0</v>
      </c>
      <c r="F13" s="16"/>
      <c r="G13" s="206"/>
      <c r="H13" s="142"/>
      <c r="I13" s="142"/>
      <c r="J13" s="9"/>
      <c r="L13" s="95"/>
      <c r="M13" s="95"/>
    </row>
    <row r="14" spans="1:14" ht="13.8" thickBot="1" x14ac:dyDescent="0.3">
      <c r="B14" s="727"/>
      <c r="C14" s="203" t="s">
        <v>337</v>
      </c>
      <c r="D14" s="194" t="e">
        <f ca="1">D13-D12</f>
        <v>#N/A</v>
      </c>
      <c r="F14" s="9"/>
      <c r="G14" s="144"/>
      <c r="H14" s="144"/>
      <c r="I14" s="144"/>
      <c r="J14" s="9"/>
      <c r="L14" s="95"/>
      <c r="M14" s="95"/>
    </row>
    <row r="15" spans="1:14" x14ac:dyDescent="0.25">
      <c r="B15" s="725" t="s">
        <v>384</v>
      </c>
      <c r="C15" s="231" t="s">
        <v>362</v>
      </c>
      <c r="D15" s="230">
        <f ca="1">(DoR-Date_curr)/DoY</f>
        <v>-121.14989733059548</v>
      </c>
      <c r="F15" s="9"/>
      <c r="G15" s="144"/>
      <c r="H15" s="144"/>
      <c r="I15" s="144"/>
      <c r="J15" s="9"/>
      <c r="L15" s="95"/>
      <c r="M15" s="95"/>
    </row>
    <row r="16" spans="1:14" ht="13.8" thickBot="1" x14ac:dyDescent="0.3">
      <c r="B16" s="727"/>
      <c r="C16" s="203" t="s">
        <v>385</v>
      </c>
      <c r="D16" s="194" t="e">
        <f ca="1">MAX((DoProtEnd-DoStartSchYear)/DoY,0)</f>
        <v>#N/A</v>
      </c>
      <c r="F16" s="9"/>
      <c r="G16" s="144"/>
      <c r="H16" s="144"/>
      <c r="I16" s="144"/>
      <c r="J16" s="9"/>
      <c r="L16" s="95"/>
      <c r="M16" s="95"/>
    </row>
    <row r="17" spans="1:13" ht="13.8" thickBot="1" x14ac:dyDescent="0.3">
      <c r="A17" s="9"/>
      <c r="B17" s="239"/>
      <c r="C17" s="16"/>
      <c r="D17" s="191"/>
      <c r="E17" s="9"/>
      <c r="F17" s="9"/>
      <c r="G17" s="144"/>
      <c r="H17" s="144"/>
      <c r="I17" s="144"/>
      <c r="J17" s="9"/>
      <c r="L17" s="95"/>
      <c r="M17" s="95"/>
    </row>
    <row r="18" spans="1:13" ht="12.75" customHeight="1" x14ac:dyDescent="0.25">
      <c r="B18" s="720" t="s">
        <v>357</v>
      </c>
      <c r="C18" s="102" t="s">
        <v>379</v>
      </c>
      <c r="D18" s="114" t="e">
        <f ca="1">IF(D12=0,0,INT(D12))</f>
        <v>#N/A</v>
      </c>
      <c r="F18" s="95"/>
    </row>
    <row r="19" spans="1:13" ht="12.75" customHeight="1" x14ac:dyDescent="0.25">
      <c r="B19" s="731"/>
      <c r="C19" s="103" t="s">
        <v>380</v>
      </c>
      <c r="D19" s="244" t="e">
        <f ca="1">D12-INT(D12)</f>
        <v>#N/A</v>
      </c>
    </row>
    <row r="20" spans="1:13" ht="13.8" thickBot="1" x14ac:dyDescent="0.3">
      <c r="B20" s="721"/>
      <c r="C20" s="103" t="s">
        <v>250</v>
      </c>
      <c r="D20" s="245">
        <f ca="1">SUM('Past Service CARE Calcs'!C25:F25)/IF(PT_Status="Part-Time",future_PTP,1)</f>
        <v>14.004106776180699</v>
      </c>
      <c r="F20" s="95"/>
    </row>
    <row r="21" spans="1:13" ht="12.75" customHeight="1" thickBot="1" x14ac:dyDescent="0.3">
      <c r="B21" s="238" t="s">
        <v>358</v>
      </c>
      <c r="C21" s="102" t="s">
        <v>251</v>
      </c>
      <c r="D21" s="246" t="e">
        <f>IF($D$6="Tapered",0,CurrentSal*Acc_CARE*(D18+D19))</f>
        <v>#N/A</v>
      </c>
    </row>
    <row r="22" spans="1:13" ht="12.75" customHeight="1" x14ac:dyDescent="0.25">
      <c r="B22" s="725" t="s">
        <v>359</v>
      </c>
      <c r="C22" s="102" t="s">
        <v>377</v>
      </c>
      <c r="D22" s="247">
        <f ca="1">INT((DATE(YEAR(DoB)+60,MONTH(DoB),DAY(DoB))-DoStartSchYear)/DoY)</f>
        <v>-61</v>
      </c>
      <c r="F22" s="227"/>
    </row>
    <row r="23" spans="1:13" ht="12.75" customHeight="1" x14ac:dyDescent="0.25">
      <c r="B23" s="726"/>
      <c r="C23" s="103" t="s">
        <v>378</v>
      </c>
      <c r="D23" s="248">
        <f ca="1">(DATE(YEAR(DoB)+60,MONTH(DoB),DAY(DoB))-DoStartSchYear)/DoY-D22</f>
        <v>0.7481177275838462</v>
      </c>
      <c r="F23" s="227"/>
    </row>
    <row r="24" spans="1:13" x14ac:dyDescent="0.25">
      <c r="B24" s="726"/>
      <c r="C24" s="103" t="s">
        <v>381</v>
      </c>
      <c r="D24" s="245" t="e">
        <f>IF($D$6="Tapered",CurrentSal*Acc_CARE*(D22+D23),0)</f>
        <v>#N/A</v>
      </c>
      <c r="F24" s="95"/>
    </row>
    <row r="25" spans="1:13" x14ac:dyDescent="0.25">
      <c r="B25" s="726"/>
      <c r="C25" s="103" t="s">
        <v>382</v>
      </c>
      <c r="D25" s="245" t="e">
        <f>IF($D$6="Tapered",INT($D$16),0)</f>
        <v>#N/A</v>
      </c>
      <c r="E25" s="95"/>
      <c r="F25" s="95"/>
    </row>
    <row r="26" spans="1:13" x14ac:dyDescent="0.25">
      <c r="B26" s="726"/>
      <c r="C26" s="103" t="s">
        <v>383</v>
      </c>
      <c r="D26" s="245" t="e">
        <f>IF($D$6="Tapered",CurrentSal*Acc_CARE*(D25+($D$16-INT($D$16))),0)</f>
        <v>#N/A</v>
      </c>
      <c r="E26" s="95"/>
      <c r="F26" s="95"/>
    </row>
    <row r="27" spans="1:13" ht="13.8" thickBot="1" x14ac:dyDescent="0.3">
      <c r="B27" s="727"/>
      <c r="C27" s="103" t="s">
        <v>251</v>
      </c>
      <c r="D27" s="245" t="e">
        <f>D24-D26</f>
        <v>#N/A</v>
      </c>
      <c r="F27" s="95"/>
    </row>
    <row r="28" spans="1:13" x14ac:dyDescent="0.25">
      <c r="C28" s="197" t="s">
        <v>412</v>
      </c>
      <c r="D28" s="249" t="e">
        <f ca="1">SUM(D20,D21,D27)</f>
        <v>#N/A</v>
      </c>
    </row>
    <row r="29" spans="1:13" ht="13.8" thickBot="1" x14ac:dyDescent="0.3">
      <c r="C29" s="104" t="s">
        <v>366</v>
      </c>
      <c r="D29" s="250" t="e">
        <f ca="1">IF(PT_Status="Part-Time",D28*future_PTP,D28)</f>
        <v>#N/A</v>
      </c>
    </row>
    <row r="30" spans="1:13" x14ac:dyDescent="0.25">
      <c r="D30" s="95"/>
    </row>
    <row r="31" spans="1:13" x14ac:dyDescent="0.25">
      <c r="D31" s="95"/>
    </row>
    <row r="32" spans="1:13" x14ac:dyDescent="0.25">
      <c r="D32" s="70"/>
    </row>
    <row r="34" spans="4:4" x14ac:dyDescent="0.25">
      <c r="D34" s="70"/>
    </row>
    <row r="35" spans="4:4" x14ac:dyDescent="0.25">
      <c r="D35" s="95"/>
    </row>
    <row r="36" spans="4:4" x14ac:dyDescent="0.25">
      <c r="D36" s="95"/>
    </row>
    <row r="37" spans="4:4" x14ac:dyDescent="0.25">
      <c r="D37" s="95"/>
    </row>
  </sheetData>
  <mergeCells count="4">
    <mergeCell ref="B12:B14"/>
    <mergeCell ref="B15:B16"/>
    <mergeCell ref="B18:B20"/>
    <mergeCell ref="B22:B27"/>
  </mergeCells>
  <pageMargins left="0.70866141732283472" right="0.70866141732283472" top="0.74803149606299213" bottom="0.74803149606299213" header="0.31496062992125984" footer="0.31496062992125984"/>
  <pageSetup paperSize="9" scale="65" orientation="portrait" r:id="rId1"/>
  <headerFooter>
    <oddHeader>&amp;CPROTECT - SCHEME MANAGEMENT&amp;L_x000D_&amp;Z&amp;F  [&amp;A]</oddHeader>
    <oddFooter>&amp;LPage &amp;P of &amp;N&amp;R&amp;T &amp;D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tabColor rgb="FF92D050"/>
  </sheetPr>
  <dimension ref="A1:M52"/>
  <sheetViews>
    <sheetView workbookViewId="0">
      <selection activeCell="E126" sqref="E126"/>
    </sheetView>
  </sheetViews>
  <sheetFormatPr defaultRowHeight="13.2" x14ac:dyDescent="0.25"/>
  <cols>
    <col min="2" max="2" width="12.33203125" customWidth="1"/>
    <col min="3" max="3" width="28.88671875" bestFit="1" customWidth="1"/>
    <col min="4" max="6" width="17.5546875" customWidth="1"/>
    <col min="7" max="7" width="11.44140625" customWidth="1"/>
    <col min="8" max="8" width="21.88671875" customWidth="1"/>
    <col min="9" max="9" width="10.109375" bestFit="1" customWidth="1"/>
  </cols>
  <sheetData>
    <row r="1" spans="1:13" ht="21" x14ac:dyDescent="0.4">
      <c r="A1" s="13" t="s">
        <v>19</v>
      </c>
      <c r="B1" s="12"/>
      <c r="C1" s="12"/>
      <c r="D1" s="12"/>
      <c r="E1" s="12"/>
      <c r="F1" s="12"/>
      <c r="G1" s="12"/>
      <c r="H1" s="12"/>
      <c r="I1" s="12"/>
    </row>
    <row r="2" spans="1:13" ht="15.6" x14ac:dyDescent="0.3">
      <c r="A2" s="27" t="str">
        <f>IF(title="&gt; Enter workbook title here","Enter workbook title in Cover sheet",title)</f>
        <v>Scottish Fire pension  projection calculator</v>
      </c>
      <c r="B2" s="11"/>
      <c r="C2" s="11"/>
      <c r="D2" s="11"/>
      <c r="E2" s="11"/>
      <c r="F2" s="11"/>
      <c r="G2" s="11"/>
      <c r="H2" s="11"/>
      <c r="I2" s="11"/>
    </row>
    <row r="3" spans="1:13" ht="15.6" x14ac:dyDescent="0.3">
      <c r="A3" s="76" t="s">
        <v>263</v>
      </c>
      <c r="B3" s="11"/>
      <c r="C3" s="11"/>
      <c r="D3" s="11"/>
      <c r="E3" s="11"/>
      <c r="F3" s="11"/>
      <c r="G3" s="11"/>
      <c r="H3" s="11"/>
      <c r="I3" s="11"/>
    </row>
    <row r="4" spans="1:13" x14ac:dyDescent="0.25">
      <c r="A4" s="7" t="str">
        <f ca="1">CELL("filename",A1)</f>
        <v>\\Gad-ast\ast\Development_Tools\Benefit projection calculators\File sent to client team Feb 2021\[Fire Scotland - Benefit Calculator - 23Feb2021.xlsx]Lump Sum</v>
      </c>
      <c r="K4" s="29"/>
    </row>
    <row r="5" spans="1:13" ht="13.8" thickBot="1" x14ac:dyDescent="0.3"/>
    <row r="6" spans="1:13" ht="13.8" thickBot="1" x14ac:dyDescent="0.3">
      <c r="C6" s="732" t="s">
        <v>270</v>
      </c>
      <c r="D6" s="733"/>
      <c r="G6" s="29"/>
      <c r="M6" s="29"/>
    </row>
    <row r="7" spans="1:13" x14ac:dyDescent="0.25">
      <c r="C7" s="102" t="s">
        <v>267</v>
      </c>
      <c r="D7" s="105">
        <f>ChosenRA</f>
        <v>0</v>
      </c>
      <c r="G7" s="29"/>
      <c r="I7" s="29"/>
    </row>
    <row r="8" spans="1:13" x14ac:dyDescent="0.25">
      <c r="C8" s="103" t="s">
        <v>265</v>
      </c>
      <c r="D8" s="371">
        <f>INT(D7)</f>
        <v>0</v>
      </c>
      <c r="G8" s="29"/>
      <c r="I8" s="29"/>
    </row>
    <row r="9" spans="1:13" ht="13.8" thickBot="1" x14ac:dyDescent="0.3">
      <c r="C9" s="104" t="s">
        <v>266</v>
      </c>
      <c r="D9" s="106">
        <f>INT((D7-D8)*12)</f>
        <v>0</v>
      </c>
    </row>
    <row r="10" spans="1:13" x14ac:dyDescent="0.25">
      <c r="C10" s="16"/>
      <c r="D10" s="9"/>
    </row>
    <row r="11" spans="1:13" ht="13.8" thickBot="1" x14ac:dyDescent="0.3">
      <c r="C11" s="16" t="s">
        <v>534</v>
      </c>
      <c r="D11" s="9"/>
    </row>
    <row r="12" spans="1:13" x14ac:dyDescent="0.25">
      <c r="C12" s="102" t="s">
        <v>460</v>
      </c>
      <c r="D12" s="387" t="e">
        <f>IF(CurrentScheme=Sch_FPS,IF(D8&lt;50,'Commutation Factors'!C13,VLOOKUP(D8,Comm_92_S,D9+2)),NFPS_Comm)</f>
        <v>#N/A</v>
      </c>
    </row>
    <row r="13" spans="1:13" x14ac:dyDescent="0.25">
      <c r="C13" s="103" t="s">
        <v>461</v>
      </c>
      <c r="D13" s="388" t="e">
        <f>IF(CurrentScheme=Sch_FPS,IF(D8&lt;50,'Commutation Factors'!C45,VLOOKUP(D8,Comm_92_E,D9+2)),NFPS_Comm)</f>
        <v>#N/A</v>
      </c>
      <c r="E13" s="86"/>
    </row>
    <row r="14" spans="1:13" x14ac:dyDescent="0.25">
      <c r="C14" s="103" t="s">
        <v>462</v>
      </c>
      <c r="D14" s="388" t="b">
        <f>DoR&lt;=DoUnderpin</f>
        <v>1</v>
      </c>
    </row>
    <row r="15" spans="1:13" ht="13.8" thickBot="1" x14ac:dyDescent="0.3">
      <c r="C15" s="104" t="s">
        <v>288</v>
      </c>
      <c r="D15" s="389" t="e">
        <f>IF(D14=TRUE,MAX(D12,D13),D12)</f>
        <v>#N/A</v>
      </c>
      <c r="F15" s="25"/>
    </row>
    <row r="16" spans="1:13" ht="13.8" thickBot="1" x14ac:dyDescent="0.3">
      <c r="C16" s="16"/>
      <c r="D16" s="9"/>
      <c r="F16" s="9"/>
      <c r="H16" s="29" t="s">
        <v>469</v>
      </c>
    </row>
    <row r="17" spans="1:11" ht="13.8" thickBot="1" x14ac:dyDescent="0.3">
      <c r="C17" s="102"/>
      <c r="D17" s="98" t="s">
        <v>286</v>
      </c>
      <c r="E17" s="109" t="s">
        <v>321</v>
      </c>
      <c r="H17" s="26" t="s">
        <v>470</v>
      </c>
    </row>
    <row r="18" spans="1:11" x14ac:dyDescent="0.25">
      <c r="C18" s="102" t="s">
        <v>277</v>
      </c>
      <c r="D18" s="386" t="e">
        <f>ROUND(MAX(0,YEARFRAC(DJS,DoR-1)+TVinYears+TVinDays/DoY),4)</f>
        <v>#NUM!</v>
      </c>
      <c r="E18" s="382"/>
      <c r="F18" s="69"/>
      <c r="H18" s="534" t="s">
        <v>590</v>
      </c>
    </row>
    <row r="19" spans="1:11" x14ac:dyDescent="0.25">
      <c r="C19" s="103" t="s">
        <v>278</v>
      </c>
      <c r="D19" s="494">
        <f>Parameters!C103</f>
        <v>55</v>
      </c>
      <c r="E19" s="110"/>
      <c r="H19" s="86"/>
    </row>
    <row r="20" spans="1:11" x14ac:dyDescent="0.25">
      <c r="C20" s="112" t="s">
        <v>288</v>
      </c>
      <c r="D20" s="384" t="e">
        <f>D15</f>
        <v>#N/A</v>
      </c>
      <c r="E20" s="225">
        <v>12</v>
      </c>
      <c r="G20" s="69"/>
      <c r="H20" s="26" t="s">
        <v>576</v>
      </c>
      <c r="I20" t="e">
        <f>Reckonable_service&gt;=30</f>
        <v>#NUM!</v>
      </c>
      <c r="K20" t="s">
        <v>579</v>
      </c>
    </row>
    <row r="21" spans="1:11" ht="13.8" thickBot="1" x14ac:dyDescent="0.3">
      <c r="A21" s="189"/>
      <c r="C21" s="113" t="s">
        <v>268</v>
      </c>
      <c r="D21" s="385" t="e">
        <f>IF(OR(CurrentScheme=Sch_NFPS,I20,ChosenRA&gt;=VRA),0.25*Comm_Factor,2.25)</f>
        <v>#N/A</v>
      </c>
      <c r="E21" s="224">
        <v>0.25</v>
      </c>
      <c r="G21" s="69"/>
      <c r="H21" s="26" t="s">
        <v>577</v>
      </c>
      <c r="I21" t="e">
        <f>AND(Reckonable_service&lt;30,Reckonable_service&gt;=25)</f>
        <v>#NUM!</v>
      </c>
    </row>
    <row r="22" spans="1:11" ht="13.8" thickBot="1" x14ac:dyDescent="0.3">
      <c r="A22" s="189"/>
      <c r="C22" s="107"/>
      <c r="D22" s="69"/>
      <c r="G22" s="69"/>
      <c r="H22" s="26" t="s">
        <v>578</v>
      </c>
      <c r="I22" t="b">
        <f>AND(ChosenRA&gt;50, ChosenRA&lt;=55)</f>
        <v>0</v>
      </c>
    </row>
    <row r="23" spans="1:11" ht="13.8" thickBot="1" x14ac:dyDescent="0.3">
      <c r="A23" s="189"/>
      <c r="D23" s="124" t="str">
        <f>basis1</f>
        <v>CPI + 0%</v>
      </c>
      <c r="E23" s="118" t="str">
        <f>basis2</f>
        <v>CPI + 1%</v>
      </c>
      <c r="F23" s="119" t="str">
        <f>basis3</f>
        <v>CPI + 2%</v>
      </c>
    </row>
    <row r="24" spans="1:11" ht="13.8" thickBot="1" x14ac:dyDescent="0.3">
      <c r="A24" s="189"/>
      <c r="C24" s="120" t="s">
        <v>286</v>
      </c>
      <c r="D24" s="732" t="s">
        <v>262</v>
      </c>
      <c r="E24" s="734"/>
      <c r="F24" s="733"/>
    </row>
    <row r="25" spans="1:11" x14ac:dyDescent="0.25">
      <c r="A25" s="189"/>
      <c r="C25" s="103" t="s">
        <v>289</v>
      </c>
      <c r="D25" s="121" t="e">
        <f>'FPS and NFPS calcs'!F38</f>
        <v>#N/A</v>
      </c>
      <c r="E25" s="115" t="e">
        <f>'FPS and NFPS calcs'!F39</f>
        <v>#N/A</v>
      </c>
      <c r="F25" s="99" t="e">
        <f>'FPS and NFPS calcs'!F40</f>
        <v>#N/A</v>
      </c>
      <c r="H25" s="95"/>
    </row>
    <row r="26" spans="1:11" x14ac:dyDescent="0.25">
      <c r="A26" s="189"/>
      <c r="C26" s="103" t="s">
        <v>320</v>
      </c>
      <c r="D26" s="121" t="e">
        <f>$D$21*D25/$D$20</f>
        <v>#N/A</v>
      </c>
      <c r="E26" s="115" t="e">
        <f t="shared" ref="E26:F26" si="0">$D$21*E25/$D$20</f>
        <v>#N/A</v>
      </c>
      <c r="F26" s="99" t="e">
        <f t="shared" si="0"/>
        <v>#N/A</v>
      </c>
      <c r="H26" s="95"/>
    </row>
    <row r="27" spans="1:11" x14ac:dyDescent="0.25">
      <c r="A27" s="189"/>
      <c r="C27" s="103" t="s">
        <v>364</v>
      </c>
      <c r="D27" s="125" t="e">
        <f>D25-D26</f>
        <v>#N/A</v>
      </c>
      <c r="E27" s="115" t="e">
        <f>E25-E26</f>
        <v>#N/A</v>
      </c>
      <c r="F27" s="99" t="e">
        <f>F25-F26</f>
        <v>#N/A</v>
      </c>
      <c r="H27" s="95"/>
    </row>
    <row r="28" spans="1:11" ht="13.8" thickBot="1" x14ac:dyDescent="0.3">
      <c r="A28" s="189"/>
      <c r="C28" s="104" t="s">
        <v>264</v>
      </c>
      <c r="D28" s="126" t="e">
        <f>$D$21*D25</f>
        <v>#N/A</v>
      </c>
      <c r="E28" s="123" t="e">
        <f t="shared" ref="E28:F28" si="1">$D$21*E25</f>
        <v>#N/A</v>
      </c>
      <c r="F28" s="162" t="e">
        <f t="shared" si="1"/>
        <v>#N/A</v>
      </c>
    </row>
    <row r="29" spans="1:11" x14ac:dyDescent="0.25">
      <c r="A29" s="189"/>
      <c r="C29" s="16"/>
      <c r="D29" s="116"/>
      <c r="E29" s="115"/>
      <c r="F29" s="115"/>
    </row>
    <row r="30" spans="1:11" ht="13.8" thickBot="1" x14ac:dyDescent="0.3">
      <c r="C30" s="16"/>
    </row>
    <row r="31" spans="1:11" ht="13.8" thickBot="1" x14ac:dyDescent="0.3">
      <c r="C31" s="120" t="s">
        <v>287</v>
      </c>
      <c r="D31" s="124" t="str">
        <f>basis1</f>
        <v>CPI + 0%</v>
      </c>
      <c r="E31" s="118" t="str">
        <f>basis2</f>
        <v>CPI + 1%</v>
      </c>
      <c r="F31" s="119" t="str">
        <f>basis3</f>
        <v>CPI + 2%</v>
      </c>
    </row>
    <row r="32" spans="1:11" x14ac:dyDescent="0.25">
      <c r="B32" s="735"/>
      <c r="C32" s="102" t="s">
        <v>289</v>
      </c>
      <c r="D32" s="372" t="e">
        <f ca="1">'CARE calcs'!D38</f>
        <v>#N/A</v>
      </c>
      <c r="E32" s="376" t="e">
        <f ca="1">'CARE calcs'!E38</f>
        <v>#N/A</v>
      </c>
      <c r="F32" s="373" t="e">
        <f ca="1">'CARE calcs'!F38</f>
        <v>#N/A</v>
      </c>
    </row>
    <row r="33" spans="2:7" x14ac:dyDescent="0.25">
      <c r="B33" s="735"/>
      <c r="C33" s="103" t="s">
        <v>285</v>
      </c>
      <c r="D33" s="125" t="e">
        <f ca="1">$E$21*D32</f>
        <v>#N/A</v>
      </c>
      <c r="E33" s="116" t="e">
        <f ca="1">$E$21*E32</f>
        <v>#N/A</v>
      </c>
      <c r="F33" s="374" t="e">
        <f ca="1">$E$21*F32</f>
        <v>#N/A</v>
      </c>
    </row>
    <row r="34" spans="2:7" x14ac:dyDescent="0.25">
      <c r="B34" s="735"/>
      <c r="C34" s="103" t="s">
        <v>364</v>
      </c>
      <c r="D34" s="121" t="e">
        <f ca="1">D32-D33</f>
        <v>#N/A</v>
      </c>
      <c r="E34" s="115" t="e">
        <f ca="1">E32-E33</f>
        <v>#N/A</v>
      </c>
      <c r="F34" s="99" t="e">
        <f ca="1">F32-F33</f>
        <v>#N/A</v>
      </c>
    </row>
    <row r="35" spans="2:7" ht="13.8" thickBot="1" x14ac:dyDescent="0.3">
      <c r="B35" s="735"/>
      <c r="C35" s="104" t="s">
        <v>264</v>
      </c>
      <c r="D35" s="126" t="e">
        <f ca="1">D33*$E$20</f>
        <v>#N/A</v>
      </c>
      <c r="E35" s="377" t="e">
        <f ca="1">E33*$E$20</f>
        <v>#N/A</v>
      </c>
      <c r="F35" s="375" t="e">
        <f ca="1">F33*$E$20</f>
        <v>#N/A</v>
      </c>
    </row>
    <row r="37" spans="2:7" x14ac:dyDescent="0.25">
      <c r="D37" s="116"/>
      <c r="E37" s="1"/>
    </row>
    <row r="38" spans="2:7" x14ac:dyDescent="0.25">
      <c r="C38" s="1"/>
      <c r="D38" s="80"/>
      <c r="E38" s="85"/>
      <c r="F38" s="86"/>
    </row>
    <row r="39" spans="2:7" x14ac:dyDescent="0.25">
      <c r="C39" s="1"/>
      <c r="D39" s="80"/>
    </row>
    <row r="40" spans="2:7" x14ac:dyDescent="0.25">
      <c r="C40" s="1"/>
      <c r="D40" s="80"/>
    </row>
    <row r="41" spans="2:7" x14ac:dyDescent="0.25">
      <c r="C41" s="1"/>
      <c r="D41" s="1"/>
      <c r="E41" s="1"/>
      <c r="F41" s="1"/>
      <c r="G41" s="1"/>
    </row>
    <row r="42" spans="2:7" x14ac:dyDescent="0.25">
      <c r="C42" s="1"/>
      <c r="D42" s="79"/>
      <c r="E42" s="79"/>
      <c r="F42" s="79"/>
      <c r="G42" s="79"/>
    </row>
    <row r="44" spans="2:7" x14ac:dyDescent="0.25">
      <c r="C44" s="1"/>
      <c r="D44" s="1"/>
      <c r="E44" s="1"/>
      <c r="F44" s="1"/>
    </row>
    <row r="45" spans="2:7" x14ac:dyDescent="0.25">
      <c r="C45" s="1"/>
      <c r="D45" s="79"/>
      <c r="E45" s="79"/>
      <c r="F45" s="79"/>
    </row>
    <row r="46" spans="2:7" x14ac:dyDescent="0.25">
      <c r="C46" s="1"/>
      <c r="D46" s="79"/>
      <c r="E46" s="79"/>
      <c r="F46" s="79"/>
    </row>
    <row r="47" spans="2:7" x14ac:dyDescent="0.25">
      <c r="C47" s="1"/>
      <c r="E47" s="79"/>
      <c r="F47" s="79"/>
    </row>
    <row r="48" spans="2:7" x14ac:dyDescent="0.25">
      <c r="C48" s="1"/>
      <c r="D48" s="79"/>
      <c r="E48" s="79"/>
      <c r="F48" s="79"/>
    </row>
    <row r="50" spans="3:4" x14ac:dyDescent="0.25">
      <c r="C50" s="1"/>
    </row>
    <row r="51" spans="3:4" x14ac:dyDescent="0.25">
      <c r="C51" s="1"/>
      <c r="D51" s="90"/>
    </row>
    <row r="52" spans="3:4" x14ac:dyDescent="0.25">
      <c r="D52" s="91"/>
    </row>
  </sheetData>
  <mergeCells count="3">
    <mergeCell ref="C6:D6"/>
    <mergeCell ref="D24:F24"/>
    <mergeCell ref="B32:B35"/>
  </mergeCells>
  <pageMargins left="0.7" right="0.7" top="0.75" bottom="0.75" header="0.3" footer="0.3"/>
  <pageSetup paperSize="9" orientation="portrait" r:id="rId1"/>
  <headerFooter>
    <oddHeader>&amp;CPROTECT - SCHEME MANAGEMENT&amp;L_x000D_&amp;Z&amp;F  [&amp;A]</oddHeader>
    <oddFooter>&amp;LPage &amp;P of &amp;N&amp;R&amp;T &amp;D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
    <tabColor rgb="FF92D050"/>
  </sheetPr>
  <dimension ref="A1:G53"/>
  <sheetViews>
    <sheetView topLeftCell="A16" workbookViewId="0">
      <selection activeCell="E126" sqref="E126"/>
    </sheetView>
  </sheetViews>
  <sheetFormatPr defaultRowHeight="13.2" x14ac:dyDescent="0.25"/>
  <cols>
    <col min="2" max="2" width="14.6640625" style="1" customWidth="1"/>
    <col min="3" max="3" width="36.88671875" bestFit="1" customWidth="1"/>
    <col min="4" max="6" width="12.33203125" customWidth="1"/>
  </cols>
  <sheetData>
    <row r="1" spans="1:6" ht="21" x14ac:dyDescent="0.4">
      <c r="A1" s="13" t="s">
        <v>19</v>
      </c>
      <c r="B1" s="31"/>
      <c r="C1" s="12"/>
      <c r="D1" s="12"/>
      <c r="E1" s="12"/>
      <c r="F1" s="12"/>
    </row>
    <row r="2" spans="1:6" ht="15.6" x14ac:dyDescent="0.3">
      <c r="A2" s="27" t="str">
        <f>IF(title="&gt; Enter workbook title here","Enter workbook title in Cover sheet",title)</f>
        <v>Scottish Fire pension  projection calculator</v>
      </c>
      <c r="B2" s="32"/>
      <c r="C2" s="11"/>
      <c r="D2" s="11"/>
      <c r="E2" s="11"/>
      <c r="F2" s="11"/>
    </row>
    <row r="3" spans="1:6" ht="15.6" x14ac:dyDescent="0.3">
      <c r="A3" s="76" t="s">
        <v>82</v>
      </c>
      <c r="B3" s="32"/>
      <c r="C3" s="11"/>
      <c r="D3" s="11"/>
      <c r="E3" s="11"/>
      <c r="F3" s="11"/>
    </row>
    <row r="4" spans="1:6" x14ac:dyDescent="0.25">
      <c r="A4" s="7" t="str">
        <f ca="1">CELL("filename",A1)</f>
        <v>\\Gad-ast\ast\Development_Tools\Benefit projection calculators\File sent to client team Feb 2021\[Fire Scotland - Benefit Calculator - 23Feb2021.xlsx]Summary</v>
      </c>
    </row>
    <row r="6" spans="1:6" ht="13.8" thickBot="1" x14ac:dyDescent="0.3"/>
    <row r="7" spans="1:6" ht="13.8" thickBot="1" x14ac:dyDescent="0.3">
      <c r="D7" s="124" t="str">
        <f>basis1</f>
        <v>CPI + 0%</v>
      </c>
      <c r="E7" s="118" t="str">
        <f>basis2</f>
        <v>CPI + 1%</v>
      </c>
      <c r="F7" s="119" t="str">
        <f>basis3</f>
        <v>CPI + 2%</v>
      </c>
    </row>
    <row r="8" spans="1:6" x14ac:dyDescent="0.25">
      <c r="B8" s="742" t="s">
        <v>322</v>
      </c>
      <c r="C8" s="102" t="s">
        <v>301</v>
      </c>
      <c r="D8" s="179">
        <f>CurrentSal</f>
        <v>0</v>
      </c>
      <c r="E8" s="179">
        <f>D8</f>
        <v>0</v>
      </c>
      <c r="F8" s="180">
        <f>D8</f>
        <v>0</v>
      </c>
    </row>
    <row r="9" spans="1:6" x14ac:dyDescent="0.25">
      <c r="B9" s="743"/>
      <c r="C9" s="103" t="s">
        <v>303</v>
      </c>
      <c r="D9" s="181" t="e">
        <f>'FPS and NFPS calcs'!F32</f>
        <v>#N/A</v>
      </c>
      <c r="E9" s="181" t="e">
        <f>'FPS and NFPS calcs'!F33</f>
        <v>#N/A</v>
      </c>
      <c r="F9" s="182" t="e">
        <f>'FPS and NFPS calcs'!F34</f>
        <v>#N/A</v>
      </c>
    </row>
    <row r="10" spans="1:6" x14ac:dyDescent="0.25">
      <c r="B10" s="743"/>
      <c r="C10" s="103" t="s">
        <v>304</v>
      </c>
      <c r="D10" s="171" t="e">
        <f>'FPS and NFPS calcs'!F35</f>
        <v>#N/A</v>
      </c>
      <c r="E10" s="171" t="e">
        <f>'FPS and NFPS calcs'!F36</f>
        <v>#N/A</v>
      </c>
      <c r="F10" s="172" t="e">
        <f>'FPS and NFPS calcs'!F37</f>
        <v>#N/A</v>
      </c>
    </row>
    <row r="11" spans="1:6" x14ac:dyDescent="0.25">
      <c r="B11" s="743"/>
      <c r="C11" s="103" t="s">
        <v>86</v>
      </c>
      <c r="D11" s="83">
        <f>'FPS and NFPS calcs'!D9</f>
        <v>112.25188227241615</v>
      </c>
      <c r="E11" s="83">
        <f t="shared" ref="E11:E16" si="0">D11</f>
        <v>112.25188227241615</v>
      </c>
      <c r="F11" s="84">
        <f t="shared" ref="F11:F16" si="1">D11</f>
        <v>112.25188227241615</v>
      </c>
    </row>
    <row r="12" spans="1:6" x14ac:dyDescent="0.25">
      <c r="B12" s="743"/>
      <c r="C12" s="103" t="s">
        <v>89</v>
      </c>
      <c r="D12" s="83" t="e">
        <f>'FPS and NFPS calcs'!D17</f>
        <v>#N/A</v>
      </c>
      <c r="E12" s="83" t="e">
        <f t="shared" si="0"/>
        <v>#N/A</v>
      </c>
      <c r="F12" s="84" t="e">
        <f t="shared" si="1"/>
        <v>#N/A</v>
      </c>
    </row>
    <row r="13" spans="1:6" x14ac:dyDescent="0.25">
      <c r="B13" s="743"/>
      <c r="C13" s="103" t="s">
        <v>80</v>
      </c>
      <c r="D13" s="169" t="e">
        <f>DoProtEnd</f>
        <v>#N/A</v>
      </c>
      <c r="E13" s="169" t="e">
        <f>DoProtEnd</f>
        <v>#N/A</v>
      </c>
      <c r="F13" s="170" t="e">
        <f>DoProtEnd</f>
        <v>#N/A</v>
      </c>
    </row>
    <row r="14" spans="1:6" x14ac:dyDescent="0.25">
      <c r="B14" s="743"/>
      <c r="C14" s="103" t="s">
        <v>98</v>
      </c>
      <c r="D14" s="169">
        <f>DoR</f>
        <v>0</v>
      </c>
      <c r="E14" s="169">
        <f>DoR</f>
        <v>0</v>
      </c>
      <c r="F14" s="170">
        <f>DoR</f>
        <v>0</v>
      </c>
    </row>
    <row r="15" spans="1:6" x14ac:dyDescent="0.25">
      <c r="B15" s="743"/>
      <c r="C15" s="103" t="s">
        <v>99</v>
      </c>
      <c r="D15" s="183">
        <f>ChosenRA</f>
        <v>0</v>
      </c>
      <c r="E15" s="183">
        <f>ChosenRA</f>
        <v>0</v>
      </c>
      <c r="F15" s="184">
        <f>ChosenRA</f>
        <v>0</v>
      </c>
    </row>
    <row r="16" spans="1:6" x14ac:dyDescent="0.25">
      <c r="B16" s="743"/>
      <c r="C16" s="103" t="s">
        <v>97</v>
      </c>
      <c r="D16" s="83" t="e">
        <f>'FPS and NFPS calcs'!F28</f>
        <v>#N/A</v>
      </c>
      <c r="E16" s="83" t="e">
        <f t="shared" si="0"/>
        <v>#N/A</v>
      </c>
      <c r="F16" s="84" t="e">
        <f t="shared" si="1"/>
        <v>#N/A</v>
      </c>
    </row>
    <row r="17" spans="2:7" x14ac:dyDescent="0.25">
      <c r="B17" s="743"/>
      <c r="C17" s="103" t="s">
        <v>291</v>
      </c>
      <c r="D17" s="181" t="e">
        <f>'Lump Sum'!D25</f>
        <v>#N/A</v>
      </c>
      <c r="E17" s="181" t="e">
        <f>'Lump Sum'!E25</f>
        <v>#N/A</v>
      </c>
      <c r="F17" s="182" t="e">
        <f>'Lump Sum'!F25</f>
        <v>#N/A</v>
      </c>
    </row>
    <row r="18" spans="2:7" x14ac:dyDescent="0.25">
      <c r="B18" s="743"/>
      <c r="C18" s="103" t="s">
        <v>264</v>
      </c>
      <c r="D18" s="181" t="e">
        <f>'Lump Sum'!D28</f>
        <v>#N/A</v>
      </c>
      <c r="E18" s="181" t="e">
        <f>'Lump Sum'!E28</f>
        <v>#N/A</v>
      </c>
      <c r="F18" s="182" t="e">
        <f>'Lump Sum'!F28</f>
        <v>#N/A</v>
      </c>
    </row>
    <row r="19" spans="2:7" x14ac:dyDescent="0.25">
      <c r="B19" s="743"/>
      <c r="C19" s="103" t="s">
        <v>313</v>
      </c>
      <c r="D19" s="181" t="e">
        <f>'Lump Sum'!D26</f>
        <v>#N/A</v>
      </c>
      <c r="E19" s="181" t="e">
        <f>'Lump Sum'!E26</f>
        <v>#N/A</v>
      </c>
      <c r="F19" s="182" t="e">
        <f>'Lump Sum'!F26</f>
        <v>#N/A</v>
      </c>
    </row>
    <row r="20" spans="2:7" x14ac:dyDescent="0.25">
      <c r="B20" s="743"/>
      <c r="C20" s="103" t="s">
        <v>290</v>
      </c>
      <c r="D20" s="181" t="e">
        <f>'Lump Sum'!D27</f>
        <v>#N/A</v>
      </c>
      <c r="E20" s="181" t="e">
        <f>'Lump Sum'!E27</f>
        <v>#N/A</v>
      </c>
      <c r="F20" s="182" t="e">
        <f>'Lump Sum'!F27</f>
        <v>#N/A</v>
      </c>
    </row>
    <row r="21" spans="2:7" ht="13.8" thickBot="1" x14ac:dyDescent="0.3">
      <c r="B21" s="744"/>
      <c r="C21" s="104" t="s">
        <v>100</v>
      </c>
      <c r="D21" s="185" t="e">
        <f>IF(AND(CurrentScheme="PPS",D16&gt;FPSmax),45,IF(AND(CurrentScheme="NPPS",D16&gt;NFPSmax),70,MAX(45,D8*D16/D17)))</f>
        <v>#N/A</v>
      </c>
      <c r="E21" s="185" t="e">
        <f>D21</f>
        <v>#N/A</v>
      </c>
      <c r="F21" s="186" t="e">
        <f>D21</f>
        <v>#N/A</v>
      </c>
    </row>
    <row r="22" spans="2:7" ht="13.8" thickBot="1" x14ac:dyDescent="0.3"/>
    <row r="23" spans="2:7" ht="13.8" thickBot="1" x14ac:dyDescent="0.3">
      <c r="D23" s="98" t="str">
        <f>basis1</f>
        <v>CPI + 0%</v>
      </c>
      <c r="E23" s="108" t="str">
        <f>basis2</f>
        <v>CPI + 1%</v>
      </c>
      <c r="F23" s="109" t="str">
        <f>basis3</f>
        <v>CPI + 2%</v>
      </c>
      <c r="G23" s="9"/>
    </row>
    <row r="24" spans="2:7" x14ac:dyDescent="0.25">
      <c r="B24" s="742" t="s">
        <v>338</v>
      </c>
      <c r="C24" s="197" t="s">
        <v>323</v>
      </c>
      <c r="D24" s="198">
        <f>'CARE calcs'!D10</f>
        <v>0</v>
      </c>
      <c r="E24" s="199">
        <f>'CARE calcs'!E10</f>
        <v>0</v>
      </c>
      <c r="F24" s="200">
        <f>'CARE calcs'!F10</f>
        <v>0</v>
      </c>
      <c r="G24" s="9"/>
    </row>
    <row r="25" spans="2:7" x14ac:dyDescent="0.25">
      <c r="B25" s="743"/>
      <c r="C25" s="112" t="s">
        <v>73</v>
      </c>
      <c r="D25" s="223" t="e">
        <f>'CARE calcs'!D9</f>
        <v>#N/A</v>
      </c>
      <c r="E25" s="219" t="e">
        <f>'CARE calcs'!E9</f>
        <v>#N/A</v>
      </c>
      <c r="F25" s="222" t="e">
        <f>'CARE calcs'!F9</f>
        <v>#N/A</v>
      </c>
      <c r="G25" s="9"/>
    </row>
    <row r="26" spans="2:7" x14ac:dyDescent="0.25">
      <c r="B26" s="743"/>
      <c r="C26" s="103" t="str">
        <f>CONCATENATE(IF(ChosenRA&lt;55,"Deferred p","P"),"re-Commutation Pension")</f>
        <v>Deferred pre-Commutation Pension</v>
      </c>
      <c r="D26" s="195" t="e">
        <f ca="1">'Lump Sum'!D32</f>
        <v>#N/A</v>
      </c>
      <c r="E26" s="171" t="e">
        <f ca="1">'Lump Sum'!E32</f>
        <v>#N/A</v>
      </c>
      <c r="F26" s="172" t="e">
        <f ca="1">'Lump Sum'!F32</f>
        <v>#N/A</v>
      </c>
      <c r="G26" s="9"/>
    </row>
    <row r="27" spans="2:7" x14ac:dyDescent="0.25">
      <c r="B27" s="743"/>
      <c r="C27" s="103" t="s">
        <v>264</v>
      </c>
      <c r="D27" s="195" t="e">
        <f ca="1">'Lump Sum'!D35</f>
        <v>#N/A</v>
      </c>
      <c r="E27" s="171" t="e">
        <f ca="1">'Lump Sum'!E35</f>
        <v>#N/A</v>
      </c>
      <c r="F27" s="172" t="e">
        <f ca="1">'Lump Sum'!F35</f>
        <v>#N/A</v>
      </c>
      <c r="G27" s="9"/>
    </row>
    <row r="28" spans="2:7" x14ac:dyDescent="0.25">
      <c r="B28" s="743"/>
      <c r="C28" s="103" t="s">
        <v>313</v>
      </c>
      <c r="D28" s="195" t="e">
        <f ca="1">'Lump Sum'!D33</f>
        <v>#N/A</v>
      </c>
      <c r="E28" s="171" t="e">
        <f ca="1">'Lump Sum'!E33</f>
        <v>#N/A</v>
      </c>
      <c r="F28" s="172" t="e">
        <f ca="1">'Lump Sum'!F33</f>
        <v>#N/A</v>
      </c>
    </row>
    <row r="29" spans="2:7" ht="13.8" thickBot="1" x14ac:dyDescent="0.3">
      <c r="B29" s="744"/>
      <c r="C29" s="104" t="s">
        <v>364</v>
      </c>
      <c r="D29" s="196" t="e">
        <f ca="1">'Lump Sum'!D34</f>
        <v>#N/A</v>
      </c>
      <c r="E29" s="173" t="e">
        <f ca="1">'Lump Sum'!E34</f>
        <v>#N/A</v>
      </c>
      <c r="F29" s="174" t="e">
        <f ca="1">'Lump Sum'!F34</f>
        <v>#N/A</v>
      </c>
    </row>
    <row r="30" spans="2:7" ht="13.8" thickBot="1" x14ac:dyDescent="0.3">
      <c r="B30" s="201"/>
      <c r="C30" s="16"/>
      <c r="D30" s="171"/>
      <c r="E30" s="171"/>
      <c r="F30" s="171"/>
      <c r="G30" s="9"/>
    </row>
    <row r="31" spans="2:7" x14ac:dyDescent="0.25">
      <c r="B31" s="745" t="s">
        <v>410</v>
      </c>
      <c r="C31" s="197" t="s">
        <v>414</v>
      </c>
      <c r="D31" s="405" t="e">
        <f>'FPS and NFPS calcs'!F60</f>
        <v>#N/A</v>
      </c>
      <c r="E31" s="9"/>
      <c r="F31" s="9"/>
    </row>
    <row r="32" spans="2:7" x14ac:dyDescent="0.25">
      <c r="B32" s="746"/>
      <c r="C32" s="112" t="s">
        <v>413</v>
      </c>
      <c r="D32" s="406" t="e">
        <f ca="1">'CARE calcs ABS'!D29</f>
        <v>#N/A</v>
      </c>
    </row>
    <row r="33" spans="2:6" x14ac:dyDescent="0.25">
      <c r="B33" s="746"/>
      <c r="C33" s="112" t="s">
        <v>415</v>
      </c>
      <c r="D33" s="406" t="e">
        <f>SUM(D31:D32)</f>
        <v>#N/A</v>
      </c>
    </row>
    <row r="34" spans="2:6" ht="13.8" thickBot="1" x14ac:dyDescent="0.3">
      <c r="B34" s="747"/>
      <c r="C34" s="113" t="s">
        <v>424</v>
      </c>
      <c r="D34" s="407" t="e">
        <f>IF(CurrentScheme="NPPS",D31*4,0)</f>
        <v>#N/A</v>
      </c>
    </row>
    <row r="35" spans="2:6" ht="13.8" thickBot="1" x14ac:dyDescent="0.3"/>
    <row r="36" spans="2:6" ht="13.8" thickBot="1" x14ac:dyDescent="0.3">
      <c r="C36" s="1" t="s">
        <v>450</v>
      </c>
      <c r="D36" s="98" t="str">
        <f>basis1</f>
        <v>CPI + 0%</v>
      </c>
      <c r="E36" s="108" t="str">
        <f>basis2</f>
        <v>CPI + 1%</v>
      </c>
      <c r="F36" s="109" t="str">
        <f>basis3</f>
        <v>CPI + 2%</v>
      </c>
    </row>
    <row r="37" spans="2:6" x14ac:dyDescent="0.25">
      <c r="C37" s="197" t="s">
        <v>451</v>
      </c>
      <c r="D37" s="261">
        <f>ROUND(CurrentSal,0)</f>
        <v>0</v>
      </c>
      <c r="E37" s="261">
        <f>$D37</f>
        <v>0</v>
      </c>
      <c r="F37" s="262">
        <f>$D37</f>
        <v>0</v>
      </c>
    </row>
    <row r="38" spans="2:6" ht="12.75" customHeight="1" thickBot="1" x14ac:dyDescent="0.3">
      <c r="C38" s="103" t="s">
        <v>423</v>
      </c>
      <c r="D38" s="115" t="e">
        <f>ROUND(Summary!D9,0)</f>
        <v>#N/A</v>
      </c>
      <c r="E38" s="115" t="e">
        <f>ROUND(Summary!E9,0)</f>
        <v>#N/A</v>
      </c>
      <c r="F38" s="99" t="e">
        <f>ROUND(Summary!F9,0)</f>
        <v>#N/A</v>
      </c>
    </row>
    <row r="39" spans="2:6" x14ac:dyDescent="0.25">
      <c r="B39" s="736" t="s">
        <v>455</v>
      </c>
      <c r="C39" s="102" t="str">
        <f>Scheme_Full&amp;" pension"</f>
        <v xml:space="preserve"> pension</v>
      </c>
      <c r="D39" s="261" t="e">
        <f>IF(Summary!D20&lt;0,"input error",ROUND(Summary!D20,0))</f>
        <v>#N/A</v>
      </c>
      <c r="E39" s="261" t="e">
        <f>IF(Summary!E20&lt;0,"input error",ROUND(Summary!E20,0))</f>
        <v>#N/A</v>
      </c>
      <c r="F39" s="262" t="e">
        <f>IF(Summary!F20&lt;0,"input error",ROUND(Summary!F20,0))</f>
        <v>#N/A</v>
      </c>
    </row>
    <row r="40" spans="2:6" x14ac:dyDescent="0.25">
      <c r="B40" s="737"/>
      <c r="C40" s="103" t="str">
        <f>Scheme_Full&amp;" lump sum"</f>
        <v xml:space="preserve"> lump sum</v>
      </c>
      <c r="D40" s="115" t="e">
        <f>ROUND(Summary!D18,0)</f>
        <v>#N/A</v>
      </c>
      <c r="E40" s="115" t="e">
        <f>ROUND(Summary!E18,0)</f>
        <v>#N/A</v>
      </c>
      <c r="F40" s="99" t="e">
        <f>ROUND(Summary!F18,0)</f>
        <v>#N/A</v>
      </c>
    </row>
    <row r="41" spans="2:6" x14ac:dyDescent="0.25">
      <c r="B41" s="737"/>
      <c r="C41" s="103" t="str">
        <f>"2015 Scheme pension" &amp; IF(ChosenRA&gt;=55,""," deferred until SPA")</f>
        <v>2015 Scheme pension deferred until SPA</v>
      </c>
      <c r="D41" s="115" t="e">
        <f ca="1">IF(Summary!D29&lt;0,"input error",ROUND(Summary!D29,0))</f>
        <v>#N/A</v>
      </c>
      <c r="E41" s="115" t="e">
        <f ca="1">IF(Summary!E29&lt;0,"input error",ROUND(Summary!E29,0))</f>
        <v>#N/A</v>
      </c>
      <c r="F41" s="99" t="e">
        <f ca="1">IF(Summary!F29&lt;0,"input error",ROUND(Summary!F29,0))</f>
        <v>#N/A</v>
      </c>
    </row>
    <row r="42" spans="2:6" x14ac:dyDescent="0.25">
      <c r="B42" s="737"/>
      <c r="C42" s="103" t="str">
        <f>"2015 Scheme lump sum" &amp; IF(ChosenRA&gt;=55,""," deferred until SPA")</f>
        <v>2015 Scheme lump sum deferred until SPA</v>
      </c>
      <c r="D42" s="115" t="e">
        <f ca="1">ROUND(Summary!D27,0)</f>
        <v>#N/A</v>
      </c>
      <c r="E42" s="115" t="e">
        <f ca="1">ROUND(Summary!E27,0)</f>
        <v>#N/A</v>
      </c>
      <c r="F42" s="99" t="e">
        <f ca="1">ROUND(Summary!F27,0)</f>
        <v>#N/A</v>
      </c>
    </row>
    <row r="43" spans="2:6" x14ac:dyDescent="0.25">
      <c r="B43" s="737"/>
      <c r="C43" s="103" t="s">
        <v>408</v>
      </c>
      <c r="D43" s="115" t="str">
        <f>IF(ChosenRA&lt;55,"",IF(OR(Summary!D20&lt;0,Summary!D29&lt;0),"input error",ROUND(SUM(Summary!D39,Summary!D41),0)))</f>
        <v/>
      </c>
      <c r="E43" s="115" t="str">
        <f>IF(ChosenRA&lt;55,"",IF(OR(Summary!E20&lt;0,Summary!E29&lt;0),"input error",ROUND(SUM(Summary!E39,Summary!E41),0)))</f>
        <v/>
      </c>
      <c r="F43" s="99" t="str">
        <f>IF(ChosenRA&lt;55,"",IF(OR(Summary!F20&lt;0,Summary!F29&lt;0),"input error",ROUND(SUM(Summary!F39,Summary!F41),0)))</f>
        <v/>
      </c>
    </row>
    <row r="44" spans="2:6" ht="13.8" thickBot="1" x14ac:dyDescent="0.3">
      <c r="B44" s="738"/>
      <c r="C44" s="104" t="s">
        <v>454</v>
      </c>
      <c r="D44" s="123" t="str">
        <f>IF(ChosenRA&lt;55,"",ROUND(SUM(D40,D42),0))</f>
        <v/>
      </c>
      <c r="E44" s="123" t="str">
        <f>IF(ChosenRA&lt;55,"",ROUND(SUM(E40,E42),0))</f>
        <v/>
      </c>
      <c r="F44" s="162" t="str">
        <f>IF(ChosenRA&lt;55,"",ROUND(SUM(F40,F42),0))</f>
        <v/>
      </c>
    </row>
    <row r="45" spans="2:6" ht="12.75" customHeight="1" x14ac:dyDescent="0.25">
      <c r="B45" s="736" t="s">
        <v>456</v>
      </c>
      <c r="C45" s="102" t="str">
        <f>Scheme_Full&amp;" pension"</f>
        <v xml:space="preserve"> pension</v>
      </c>
      <c r="D45" s="261" t="e">
        <f>IF(Summary!D17&lt;0,"input error",ROUND(Summary!D17,0))</f>
        <v>#N/A</v>
      </c>
      <c r="E45" s="261" t="e">
        <f>IF(Summary!E17&lt;0,"input error",ROUND(Summary!E17,0))</f>
        <v>#N/A</v>
      </c>
      <c r="F45" s="262" t="e">
        <f>IF(Summary!F17&lt;0,"input error",ROUND(Summary!F17,0))</f>
        <v>#N/A</v>
      </c>
    </row>
    <row r="46" spans="2:6" x14ac:dyDescent="0.25">
      <c r="B46" s="737"/>
      <c r="C46" s="103" t="str">
        <f>Scheme_Full&amp;" lump sum"</f>
        <v xml:space="preserve"> lump sum</v>
      </c>
      <c r="D46" s="115" t="e">
        <f>IF(CurrentScheme="NPPS",ROUND(Summary!D18,0),0)</f>
        <v>#N/A</v>
      </c>
      <c r="E46" s="115" t="e">
        <f>IF(CurrentScheme="NPPS",ROUND(Summary!E18,0),0)</f>
        <v>#N/A</v>
      </c>
      <c r="F46" s="99" t="e">
        <f>IF(CurrentScheme="NPPS",ROUND(Summary!F18,0),0)</f>
        <v>#N/A</v>
      </c>
    </row>
    <row r="47" spans="2:6" x14ac:dyDescent="0.25">
      <c r="B47" s="737"/>
      <c r="C47" s="103" t="str">
        <f>"2015 Scheme pension" &amp; IF(ChosenRA&gt;=55,""," deferred until SPA")</f>
        <v>2015 Scheme pension deferred until SPA</v>
      </c>
      <c r="D47" s="115" t="e">
        <f ca="1">IF(Summary!D26&lt;0,"input error",ROUND(Summary!D26,0))</f>
        <v>#N/A</v>
      </c>
      <c r="E47" s="115" t="e">
        <f ca="1">IF(Summary!E26&lt;0,"input error",ROUND(Summary!E26,0))</f>
        <v>#N/A</v>
      </c>
      <c r="F47" s="99" t="e">
        <f ca="1">IF(Summary!F26&lt;0,"input error",ROUND(Summary!F26,0))</f>
        <v>#N/A</v>
      </c>
    </row>
    <row r="48" spans="2:6" x14ac:dyDescent="0.25">
      <c r="B48" s="737"/>
      <c r="C48" s="103" t="s">
        <v>408</v>
      </c>
      <c r="D48" s="115" t="str">
        <f>IF(ChosenRA&lt;55,"",IF(OR(Summary!D17&lt;0,Summary!D26&lt;0),"input error",ROUND(SUM(Summary!D45,Summary!D47),0)))</f>
        <v/>
      </c>
      <c r="E48" s="115" t="str">
        <f>IF(ChosenRA&lt;55,"",IF(OR(Summary!E17&lt;0,Summary!E26&lt;0),"input error",ROUND(SUM(Summary!E45,Summary!E47),0)))</f>
        <v/>
      </c>
      <c r="F48" s="99" t="str">
        <f>IF(ChosenRA&lt;55,"",IF(OR(Summary!F17&lt;0,Summary!F26&lt;0),"input error",ROUND(SUM(Summary!F45,Summary!F47),0)))</f>
        <v/>
      </c>
    </row>
    <row r="49" spans="2:6" ht="13.8" thickBot="1" x14ac:dyDescent="0.3">
      <c r="B49" s="737"/>
      <c r="C49" s="103" t="s">
        <v>454</v>
      </c>
      <c r="D49" s="115" t="e">
        <f>D46</f>
        <v>#N/A</v>
      </c>
      <c r="E49" s="115" t="e">
        <f>E46</f>
        <v>#N/A</v>
      </c>
      <c r="F49" s="99" t="e">
        <f>F46</f>
        <v>#N/A</v>
      </c>
    </row>
    <row r="50" spans="2:6" ht="12.75" customHeight="1" x14ac:dyDescent="0.25">
      <c r="B50" s="739" t="s">
        <v>410</v>
      </c>
      <c r="C50" s="197" t="s">
        <v>452</v>
      </c>
      <c r="D50" s="396" t="e">
        <f>IF(Summary!D31&lt;0,"input error",ROUND(Summary!D31,0))</f>
        <v>#N/A</v>
      </c>
      <c r="E50" s="397" t="e">
        <f>$D50</f>
        <v>#N/A</v>
      </c>
      <c r="F50" s="398" t="e">
        <f t="shared" ref="E50:F51" si="2">$D50</f>
        <v>#N/A</v>
      </c>
    </row>
    <row r="51" spans="2:6" x14ac:dyDescent="0.25">
      <c r="B51" s="740"/>
      <c r="C51" s="112" t="s">
        <v>453</v>
      </c>
      <c r="D51" s="399" t="e">
        <f ca="1">IF(Summary!D32&lt;0,"input error",ROUND(Summary!D32,0))</f>
        <v>#N/A</v>
      </c>
      <c r="E51" s="400" t="e">
        <f t="shared" ca="1" si="2"/>
        <v>#N/A</v>
      </c>
      <c r="F51" s="401" t="e">
        <f t="shared" ca="1" si="2"/>
        <v>#N/A</v>
      </c>
    </row>
    <row r="52" spans="2:6" x14ac:dyDescent="0.25">
      <c r="B52" s="740"/>
      <c r="C52" s="112" t="s">
        <v>408</v>
      </c>
      <c r="D52" s="399" t="e">
        <f ca="1">IF(OR(D31&lt;0,D32&lt;0),"input error",ROUND(SUM(D50,D51),0))</f>
        <v>#N/A</v>
      </c>
      <c r="E52" s="400" t="e">
        <f ca="1">$D52</f>
        <v>#N/A</v>
      </c>
      <c r="F52" s="401" t="e">
        <f ca="1">$D52</f>
        <v>#N/A</v>
      </c>
    </row>
    <row r="53" spans="2:6" ht="13.8" thickBot="1" x14ac:dyDescent="0.3">
      <c r="B53" s="741"/>
      <c r="C53" s="113" t="s">
        <v>459</v>
      </c>
      <c r="D53" s="402" t="e">
        <f>ROUND(Summary!D34,0)</f>
        <v>#N/A</v>
      </c>
      <c r="E53" s="403" t="e">
        <f t="shared" ref="E53:F53" si="3">$D53</f>
        <v>#N/A</v>
      </c>
      <c r="F53" s="404" t="e">
        <f t="shared" si="3"/>
        <v>#N/A</v>
      </c>
    </row>
  </sheetData>
  <mergeCells count="6">
    <mergeCell ref="B39:B44"/>
    <mergeCell ref="B45:B49"/>
    <mergeCell ref="B50:B53"/>
    <mergeCell ref="B8:B21"/>
    <mergeCell ref="B24:B29"/>
    <mergeCell ref="B31:B34"/>
  </mergeCells>
  <phoneticPr fontId="30" type="noConversion"/>
  <pageMargins left="0.7" right="0.7" top="0.75" bottom="0.75" header="0.3" footer="0.3"/>
  <pageSetup paperSize="9" orientation="landscape" r:id="rId1"/>
  <headerFooter>
    <oddHeader>&amp;CPROTECT - SCHEME MANAGEMENT&amp;L_x000D_&amp;Z&amp;F  [&amp;A]</oddHeader>
    <oddFooter>&amp;LPage &amp;P of &amp;N&amp;R&amp;T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dimension ref="A1:C160"/>
  <sheetViews>
    <sheetView workbookViewId="0"/>
  </sheetViews>
  <sheetFormatPr defaultRowHeight="13.2" x14ac:dyDescent="0.25"/>
  <sheetData>
    <row r="1" spans="1:3" x14ac:dyDescent="0.25">
      <c r="A1" t="s">
        <v>695</v>
      </c>
    </row>
    <row r="3" spans="1:3" x14ac:dyDescent="0.25">
      <c r="A3" t="s">
        <v>696</v>
      </c>
      <c r="C3" t="s">
        <v>697</v>
      </c>
    </row>
    <row r="4" spans="1:3" x14ac:dyDescent="0.25">
      <c r="A4" t="s">
        <v>698</v>
      </c>
      <c r="C4" t="s">
        <v>855</v>
      </c>
    </row>
    <row r="5" spans="1:3" x14ac:dyDescent="0.25">
      <c r="A5" t="s">
        <v>699</v>
      </c>
      <c r="C5" t="s">
        <v>856</v>
      </c>
    </row>
    <row r="6" spans="1:3" x14ac:dyDescent="0.25">
      <c r="A6" t="s">
        <v>700</v>
      </c>
      <c r="C6" t="s">
        <v>857</v>
      </c>
    </row>
    <row r="7" spans="1:3" x14ac:dyDescent="0.25">
      <c r="A7" t="s">
        <v>701</v>
      </c>
      <c r="C7" t="s">
        <v>858</v>
      </c>
    </row>
    <row r="8" spans="1:3" x14ac:dyDescent="0.25">
      <c r="A8" t="s">
        <v>702</v>
      </c>
      <c r="C8" t="s">
        <v>859</v>
      </c>
    </row>
    <row r="9" spans="1:3" x14ac:dyDescent="0.25">
      <c r="A9" t="s">
        <v>703</v>
      </c>
      <c r="C9" t="s">
        <v>860</v>
      </c>
    </row>
    <row r="10" spans="1:3" x14ac:dyDescent="0.25">
      <c r="A10" t="s">
        <v>704</v>
      </c>
      <c r="C10" t="s">
        <v>861</v>
      </c>
    </row>
    <row r="11" spans="1:3" x14ac:dyDescent="0.25">
      <c r="A11" t="s">
        <v>705</v>
      </c>
      <c r="C11" t="s">
        <v>701</v>
      </c>
    </row>
    <row r="12" spans="1:3" x14ac:dyDescent="0.25">
      <c r="A12" t="s">
        <v>706</v>
      </c>
      <c r="C12" t="s">
        <v>862</v>
      </c>
    </row>
    <row r="13" spans="1:3" x14ac:dyDescent="0.25">
      <c r="A13" t="s">
        <v>707</v>
      </c>
      <c r="C13" t="s">
        <v>705</v>
      </c>
    </row>
    <row r="14" spans="1:3" x14ac:dyDescent="0.25">
      <c r="A14" t="s">
        <v>708</v>
      </c>
      <c r="C14" t="s">
        <v>863</v>
      </c>
    </row>
    <row r="15" spans="1:3" x14ac:dyDescent="0.25">
      <c r="A15" t="s">
        <v>709</v>
      </c>
      <c r="C15" t="s">
        <v>864</v>
      </c>
    </row>
    <row r="16" spans="1:3" x14ac:dyDescent="0.25">
      <c r="A16" t="s">
        <v>710</v>
      </c>
      <c r="C16" t="s">
        <v>865</v>
      </c>
    </row>
    <row r="17" spans="1:3" x14ac:dyDescent="0.25">
      <c r="A17" t="s">
        <v>711</v>
      </c>
      <c r="C17" t="s">
        <v>866</v>
      </c>
    </row>
    <row r="18" spans="1:3" x14ac:dyDescent="0.25">
      <c r="A18" t="s">
        <v>712</v>
      </c>
      <c r="C18" t="s">
        <v>867</v>
      </c>
    </row>
    <row r="19" spans="1:3" x14ac:dyDescent="0.25">
      <c r="A19" t="s">
        <v>713</v>
      </c>
      <c r="C19" t="s">
        <v>868</v>
      </c>
    </row>
    <row r="20" spans="1:3" x14ac:dyDescent="0.25">
      <c r="A20" t="s">
        <v>714</v>
      </c>
      <c r="C20" t="s">
        <v>869</v>
      </c>
    </row>
    <row r="21" spans="1:3" x14ac:dyDescent="0.25">
      <c r="A21" t="s">
        <v>715</v>
      </c>
      <c r="C21" t="s">
        <v>870</v>
      </c>
    </row>
    <row r="22" spans="1:3" x14ac:dyDescent="0.25">
      <c r="A22" t="s">
        <v>716</v>
      </c>
      <c r="C22" t="s">
        <v>871</v>
      </c>
    </row>
    <row r="23" spans="1:3" x14ac:dyDescent="0.25">
      <c r="A23" t="s">
        <v>717</v>
      </c>
      <c r="C23" t="s">
        <v>872</v>
      </c>
    </row>
    <row r="24" spans="1:3" x14ac:dyDescent="0.25">
      <c r="A24" t="s">
        <v>718</v>
      </c>
      <c r="C24" t="s">
        <v>873</v>
      </c>
    </row>
    <row r="25" spans="1:3" x14ac:dyDescent="0.25">
      <c r="A25" t="s">
        <v>719</v>
      </c>
      <c r="C25" t="s">
        <v>874</v>
      </c>
    </row>
    <row r="26" spans="1:3" x14ac:dyDescent="0.25">
      <c r="A26" t="s">
        <v>720</v>
      </c>
      <c r="C26" t="s">
        <v>875</v>
      </c>
    </row>
    <row r="27" spans="1:3" x14ac:dyDescent="0.25">
      <c r="A27" t="s">
        <v>721</v>
      </c>
      <c r="C27" t="s">
        <v>876</v>
      </c>
    </row>
    <row r="28" spans="1:3" x14ac:dyDescent="0.25">
      <c r="A28" t="s">
        <v>722</v>
      </c>
      <c r="C28" t="s">
        <v>877</v>
      </c>
    </row>
    <row r="29" spans="1:3" x14ac:dyDescent="0.25">
      <c r="A29" t="s">
        <v>723</v>
      </c>
      <c r="C29" t="s">
        <v>878</v>
      </c>
    </row>
    <row r="30" spans="1:3" x14ac:dyDescent="0.25">
      <c r="A30" t="s">
        <v>724</v>
      </c>
      <c r="C30" t="s">
        <v>879</v>
      </c>
    </row>
    <row r="31" spans="1:3" x14ac:dyDescent="0.25">
      <c r="A31" t="s">
        <v>725</v>
      </c>
      <c r="C31" t="s">
        <v>880</v>
      </c>
    </row>
    <row r="32" spans="1:3" x14ac:dyDescent="0.25">
      <c r="A32" t="s">
        <v>726</v>
      </c>
      <c r="C32" t="s">
        <v>881</v>
      </c>
    </row>
    <row r="33" spans="1:3" x14ac:dyDescent="0.25">
      <c r="A33" t="s">
        <v>727</v>
      </c>
      <c r="C33" t="s">
        <v>882</v>
      </c>
    </row>
    <row r="34" spans="1:3" x14ac:dyDescent="0.25">
      <c r="A34" t="s">
        <v>728</v>
      </c>
      <c r="C34" t="s">
        <v>883</v>
      </c>
    </row>
    <row r="35" spans="1:3" x14ac:dyDescent="0.25">
      <c r="A35" t="s">
        <v>729</v>
      </c>
      <c r="C35" t="s">
        <v>884</v>
      </c>
    </row>
    <row r="36" spans="1:3" x14ac:dyDescent="0.25">
      <c r="A36" t="s">
        <v>730</v>
      </c>
      <c r="C36" t="s">
        <v>885</v>
      </c>
    </row>
    <row r="37" spans="1:3" x14ac:dyDescent="0.25">
      <c r="A37" t="s">
        <v>731</v>
      </c>
      <c r="C37" t="s">
        <v>886</v>
      </c>
    </row>
    <row r="38" spans="1:3" x14ac:dyDescent="0.25">
      <c r="A38" t="s">
        <v>732</v>
      </c>
      <c r="C38" t="s">
        <v>202</v>
      </c>
    </row>
    <row r="39" spans="1:3" x14ac:dyDescent="0.25">
      <c r="A39" t="s">
        <v>733</v>
      </c>
    </row>
    <row r="40" spans="1:3" x14ac:dyDescent="0.25">
      <c r="A40" t="s">
        <v>734</v>
      </c>
    </row>
    <row r="41" spans="1:3" x14ac:dyDescent="0.25">
      <c r="A41" t="s">
        <v>735</v>
      </c>
    </row>
    <row r="42" spans="1:3" x14ac:dyDescent="0.25">
      <c r="A42" t="s">
        <v>736</v>
      </c>
    </row>
    <row r="43" spans="1:3" x14ac:dyDescent="0.25">
      <c r="A43" t="s">
        <v>737</v>
      </c>
    </row>
    <row r="44" spans="1:3" x14ac:dyDescent="0.25">
      <c r="A44" t="s">
        <v>738</v>
      </c>
    </row>
    <row r="45" spans="1:3" x14ac:dyDescent="0.25">
      <c r="A45" t="s">
        <v>739</v>
      </c>
    </row>
    <row r="46" spans="1:3" x14ac:dyDescent="0.25">
      <c r="A46" t="s">
        <v>740</v>
      </c>
    </row>
    <row r="47" spans="1:3" x14ac:dyDescent="0.25">
      <c r="A47" t="s">
        <v>741</v>
      </c>
    </row>
    <row r="48" spans="1:3" x14ac:dyDescent="0.25">
      <c r="A48" t="s">
        <v>742</v>
      </c>
    </row>
    <row r="49" spans="1:1" x14ac:dyDescent="0.25">
      <c r="A49" t="s">
        <v>743</v>
      </c>
    </row>
    <row r="50" spans="1:1" x14ac:dyDescent="0.25">
      <c r="A50" t="s">
        <v>744</v>
      </c>
    </row>
    <row r="51" spans="1:1" x14ac:dyDescent="0.25">
      <c r="A51" t="s">
        <v>745</v>
      </c>
    </row>
    <row r="52" spans="1:1" x14ac:dyDescent="0.25">
      <c r="A52" t="s">
        <v>746</v>
      </c>
    </row>
    <row r="53" spans="1:1" x14ac:dyDescent="0.25">
      <c r="A53" t="s">
        <v>747</v>
      </c>
    </row>
    <row r="54" spans="1:1" x14ac:dyDescent="0.25">
      <c r="A54" t="s">
        <v>748</v>
      </c>
    </row>
    <row r="55" spans="1:1" x14ac:dyDescent="0.25">
      <c r="A55" t="s">
        <v>749</v>
      </c>
    </row>
    <row r="56" spans="1:1" x14ac:dyDescent="0.25">
      <c r="A56" t="s">
        <v>750</v>
      </c>
    </row>
    <row r="57" spans="1:1" x14ac:dyDescent="0.25">
      <c r="A57" t="s">
        <v>751</v>
      </c>
    </row>
    <row r="58" spans="1:1" x14ac:dyDescent="0.25">
      <c r="A58" t="s">
        <v>752</v>
      </c>
    </row>
    <row r="59" spans="1:1" x14ac:dyDescent="0.25">
      <c r="A59" t="s">
        <v>753</v>
      </c>
    </row>
    <row r="60" spans="1:1" x14ac:dyDescent="0.25">
      <c r="A60" t="s">
        <v>754</v>
      </c>
    </row>
    <row r="61" spans="1:1" x14ac:dyDescent="0.25">
      <c r="A61" t="s">
        <v>755</v>
      </c>
    </row>
    <row r="62" spans="1:1" x14ac:dyDescent="0.25">
      <c r="A62" t="s">
        <v>756</v>
      </c>
    </row>
    <row r="63" spans="1:1" x14ac:dyDescent="0.25">
      <c r="A63" t="s">
        <v>757</v>
      </c>
    </row>
    <row r="64" spans="1:1" x14ac:dyDescent="0.25">
      <c r="A64" t="s">
        <v>758</v>
      </c>
    </row>
    <row r="65" spans="1:1" x14ac:dyDescent="0.25">
      <c r="A65" t="s">
        <v>759</v>
      </c>
    </row>
    <row r="66" spans="1:1" x14ac:dyDescent="0.25">
      <c r="A66" t="s">
        <v>760</v>
      </c>
    </row>
    <row r="67" spans="1:1" x14ac:dyDescent="0.25">
      <c r="A67" t="s">
        <v>761</v>
      </c>
    </row>
    <row r="68" spans="1:1" x14ac:dyDescent="0.25">
      <c r="A68" t="s">
        <v>762</v>
      </c>
    </row>
    <row r="69" spans="1:1" x14ac:dyDescent="0.25">
      <c r="A69" t="s">
        <v>763</v>
      </c>
    </row>
    <row r="70" spans="1:1" x14ac:dyDescent="0.25">
      <c r="A70" t="s">
        <v>764</v>
      </c>
    </row>
    <row r="71" spans="1:1" x14ac:dyDescent="0.25">
      <c r="A71" t="s">
        <v>765</v>
      </c>
    </row>
    <row r="72" spans="1:1" x14ac:dyDescent="0.25">
      <c r="A72" t="s">
        <v>766</v>
      </c>
    </row>
    <row r="73" spans="1:1" x14ac:dyDescent="0.25">
      <c r="A73" t="s">
        <v>767</v>
      </c>
    </row>
    <row r="74" spans="1:1" x14ac:dyDescent="0.25">
      <c r="A74" t="s">
        <v>768</v>
      </c>
    </row>
    <row r="75" spans="1:1" x14ac:dyDescent="0.25">
      <c r="A75" t="s">
        <v>769</v>
      </c>
    </row>
    <row r="76" spans="1:1" x14ac:dyDescent="0.25">
      <c r="A76" t="s">
        <v>770</v>
      </c>
    </row>
    <row r="77" spans="1:1" x14ac:dyDescent="0.25">
      <c r="A77" t="s">
        <v>771</v>
      </c>
    </row>
    <row r="78" spans="1:1" x14ac:dyDescent="0.25">
      <c r="A78" t="s">
        <v>772</v>
      </c>
    </row>
    <row r="79" spans="1:1" x14ac:dyDescent="0.25">
      <c r="A79" t="s">
        <v>773</v>
      </c>
    </row>
    <row r="80" spans="1:1" x14ac:dyDescent="0.25">
      <c r="A80" t="s">
        <v>774</v>
      </c>
    </row>
    <row r="81" spans="1:1" x14ac:dyDescent="0.25">
      <c r="A81" t="s">
        <v>775</v>
      </c>
    </row>
    <row r="82" spans="1:1" x14ac:dyDescent="0.25">
      <c r="A82" t="s">
        <v>776</v>
      </c>
    </row>
    <row r="83" spans="1:1" x14ac:dyDescent="0.25">
      <c r="A83" t="s">
        <v>777</v>
      </c>
    </row>
    <row r="84" spans="1:1" x14ac:dyDescent="0.25">
      <c r="A84" t="s">
        <v>778</v>
      </c>
    </row>
    <row r="85" spans="1:1" x14ac:dyDescent="0.25">
      <c r="A85" t="s">
        <v>779</v>
      </c>
    </row>
    <row r="86" spans="1:1" x14ac:dyDescent="0.25">
      <c r="A86" t="s">
        <v>780</v>
      </c>
    </row>
    <row r="87" spans="1:1" x14ac:dyDescent="0.25">
      <c r="A87" t="s">
        <v>781</v>
      </c>
    </row>
    <row r="88" spans="1:1" x14ac:dyDescent="0.25">
      <c r="A88" t="s">
        <v>782</v>
      </c>
    </row>
    <row r="89" spans="1:1" x14ac:dyDescent="0.25">
      <c r="A89" t="s">
        <v>783</v>
      </c>
    </row>
    <row r="90" spans="1:1" x14ac:dyDescent="0.25">
      <c r="A90" t="s">
        <v>784</v>
      </c>
    </row>
    <row r="91" spans="1:1" x14ac:dyDescent="0.25">
      <c r="A91" t="s">
        <v>785</v>
      </c>
    </row>
    <row r="92" spans="1:1" x14ac:dyDescent="0.25">
      <c r="A92" t="s">
        <v>786</v>
      </c>
    </row>
    <row r="93" spans="1:1" x14ac:dyDescent="0.25">
      <c r="A93" t="s">
        <v>787</v>
      </c>
    </row>
    <row r="94" spans="1:1" x14ac:dyDescent="0.25">
      <c r="A94" t="s">
        <v>788</v>
      </c>
    </row>
    <row r="95" spans="1:1" x14ac:dyDescent="0.25">
      <c r="A95" t="s">
        <v>789</v>
      </c>
    </row>
    <row r="96" spans="1:1" x14ac:dyDescent="0.25">
      <c r="A96" t="s">
        <v>790</v>
      </c>
    </row>
    <row r="97" spans="1:1" x14ac:dyDescent="0.25">
      <c r="A97" t="s">
        <v>791</v>
      </c>
    </row>
    <row r="98" spans="1:1" x14ac:dyDescent="0.25">
      <c r="A98" t="s">
        <v>792</v>
      </c>
    </row>
    <row r="99" spans="1:1" x14ac:dyDescent="0.25">
      <c r="A99" t="s">
        <v>793</v>
      </c>
    </row>
    <row r="100" spans="1:1" x14ac:dyDescent="0.25">
      <c r="A100" t="s">
        <v>794</v>
      </c>
    </row>
    <row r="101" spans="1:1" x14ac:dyDescent="0.25">
      <c r="A101" t="s">
        <v>795</v>
      </c>
    </row>
    <row r="102" spans="1:1" x14ac:dyDescent="0.25">
      <c r="A102" t="s">
        <v>796</v>
      </c>
    </row>
    <row r="103" spans="1:1" x14ac:dyDescent="0.25">
      <c r="A103" t="s">
        <v>797</v>
      </c>
    </row>
    <row r="104" spans="1:1" x14ac:dyDescent="0.25">
      <c r="A104" t="s">
        <v>798</v>
      </c>
    </row>
    <row r="105" spans="1:1" x14ac:dyDescent="0.25">
      <c r="A105" t="s">
        <v>799</v>
      </c>
    </row>
    <row r="106" spans="1:1" x14ac:dyDescent="0.25">
      <c r="A106" t="s">
        <v>800</v>
      </c>
    </row>
    <row r="107" spans="1:1" x14ac:dyDescent="0.25">
      <c r="A107" t="s">
        <v>801</v>
      </c>
    </row>
    <row r="108" spans="1:1" x14ac:dyDescent="0.25">
      <c r="A108" t="s">
        <v>802</v>
      </c>
    </row>
    <row r="109" spans="1:1" x14ac:dyDescent="0.25">
      <c r="A109" t="s">
        <v>803</v>
      </c>
    </row>
    <row r="110" spans="1:1" x14ac:dyDescent="0.25">
      <c r="A110" t="s">
        <v>804</v>
      </c>
    </row>
    <row r="111" spans="1:1" x14ac:dyDescent="0.25">
      <c r="A111" t="s">
        <v>805</v>
      </c>
    </row>
    <row r="112" spans="1:1" x14ac:dyDescent="0.25">
      <c r="A112" t="s">
        <v>806</v>
      </c>
    </row>
    <row r="113" spans="1:1" x14ac:dyDescent="0.25">
      <c r="A113" t="s">
        <v>807</v>
      </c>
    </row>
    <row r="114" spans="1:1" x14ac:dyDescent="0.25">
      <c r="A114" t="s">
        <v>808</v>
      </c>
    </row>
    <row r="115" spans="1:1" x14ac:dyDescent="0.25">
      <c r="A115" t="s">
        <v>809</v>
      </c>
    </row>
    <row r="116" spans="1:1" x14ac:dyDescent="0.25">
      <c r="A116" t="s">
        <v>810</v>
      </c>
    </row>
    <row r="117" spans="1:1" x14ac:dyDescent="0.25">
      <c r="A117" t="s">
        <v>811</v>
      </c>
    </row>
    <row r="118" spans="1:1" x14ac:dyDescent="0.25">
      <c r="A118" t="s">
        <v>812</v>
      </c>
    </row>
    <row r="119" spans="1:1" x14ac:dyDescent="0.25">
      <c r="A119" t="s">
        <v>813</v>
      </c>
    </row>
    <row r="120" spans="1:1" x14ac:dyDescent="0.25">
      <c r="A120" t="s">
        <v>814</v>
      </c>
    </row>
    <row r="121" spans="1:1" x14ac:dyDescent="0.25">
      <c r="A121" t="s">
        <v>815</v>
      </c>
    </row>
    <row r="122" spans="1:1" x14ac:dyDescent="0.25">
      <c r="A122" t="s">
        <v>816</v>
      </c>
    </row>
    <row r="123" spans="1:1" x14ac:dyDescent="0.25">
      <c r="A123" t="s">
        <v>817</v>
      </c>
    </row>
    <row r="124" spans="1:1" x14ac:dyDescent="0.25">
      <c r="A124" t="s">
        <v>818</v>
      </c>
    </row>
    <row r="125" spans="1:1" x14ac:dyDescent="0.25">
      <c r="A125" t="s">
        <v>819</v>
      </c>
    </row>
    <row r="126" spans="1:1" x14ac:dyDescent="0.25">
      <c r="A126" t="s">
        <v>820</v>
      </c>
    </row>
    <row r="127" spans="1:1" x14ac:dyDescent="0.25">
      <c r="A127" t="s">
        <v>821</v>
      </c>
    </row>
    <row r="128" spans="1:1" x14ac:dyDescent="0.25">
      <c r="A128" t="s">
        <v>822</v>
      </c>
    </row>
    <row r="129" spans="1:1" x14ac:dyDescent="0.25">
      <c r="A129" t="s">
        <v>823</v>
      </c>
    </row>
    <row r="130" spans="1:1" x14ac:dyDescent="0.25">
      <c r="A130" t="s">
        <v>824</v>
      </c>
    </row>
    <row r="131" spans="1:1" x14ac:dyDescent="0.25">
      <c r="A131" t="s">
        <v>825</v>
      </c>
    </row>
    <row r="132" spans="1:1" x14ac:dyDescent="0.25">
      <c r="A132" t="s">
        <v>826</v>
      </c>
    </row>
    <row r="133" spans="1:1" x14ac:dyDescent="0.25">
      <c r="A133" t="s">
        <v>827</v>
      </c>
    </row>
    <row r="134" spans="1:1" x14ac:dyDescent="0.25">
      <c r="A134" t="s">
        <v>828</v>
      </c>
    </row>
    <row r="135" spans="1:1" x14ac:dyDescent="0.25">
      <c r="A135" t="s">
        <v>829</v>
      </c>
    </row>
    <row r="136" spans="1:1" x14ac:dyDescent="0.25">
      <c r="A136" t="s">
        <v>830</v>
      </c>
    </row>
    <row r="137" spans="1:1" x14ac:dyDescent="0.25">
      <c r="A137" t="s">
        <v>831</v>
      </c>
    </row>
    <row r="138" spans="1:1" x14ac:dyDescent="0.25">
      <c r="A138" t="s">
        <v>832</v>
      </c>
    </row>
    <row r="139" spans="1:1" x14ac:dyDescent="0.25">
      <c r="A139" t="s">
        <v>833</v>
      </c>
    </row>
    <row r="140" spans="1:1" x14ac:dyDescent="0.25">
      <c r="A140" t="s">
        <v>834</v>
      </c>
    </row>
    <row r="141" spans="1:1" x14ac:dyDescent="0.25">
      <c r="A141" t="s">
        <v>835</v>
      </c>
    </row>
    <row r="142" spans="1:1" x14ac:dyDescent="0.25">
      <c r="A142" t="s">
        <v>836</v>
      </c>
    </row>
    <row r="143" spans="1:1" x14ac:dyDescent="0.25">
      <c r="A143" t="s">
        <v>837</v>
      </c>
    </row>
    <row r="144" spans="1:1" x14ac:dyDescent="0.25">
      <c r="A144" t="s">
        <v>838</v>
      </c>
    </row>
    <row r="145" spans="1:1" x14ac:dyDescent="0.25">
      <c r="A145" t="s">
        <v>839</v>
      </c>
    </row>
    <row r="146" spans="1:1" x14ac:dyDescent="0.25">
      <c r="A146" t="s">
        <v>840</v>
      </c>
    </row>
    <row r="147" spans="1:1" x14ac:dyDescent="0.25">
      <c r="A147" t="s">
        <v>841</v>
      </c>
    </row>
    <row r="148" spans="1:1" x14ac:dyDescent="0.25">
      <c r="A148" t="s">
        <v>842</v>
      </c>
    </row>
    <row r="149" spans="1:1" x14ac:dyDescent="0.25">
      <c r="A149" t="s">
        <v>843</v>
      </c>
    </row>
    <row r="150" spans="1:1" x14ac:dyDescent="0.25">
      <c r="A150" t="s">
        <v>844</v>
      </c>
    </row>
    <row r="151" spans="1:1" x14ac:dyDescent="0.25">
      <c r="A151" t="s">
        <v>845</v>
      </c>
    </row>
    <row r="152" spans="1:1" x14ac:dyDescent="0.25">
      <c r="A152" t="s">
        <v>846</v>
      </c>
    </row>
    <row r="153" spans="1:1" x14ac:dyDescent="0.25">
      <c r="A153" t="s">
        <v>847</v>
      </c>
    </row>
    <row r="154" spans="1:1" x14ac:dyDescent="0.25">
      <c r="A154" t="s">
        <v>848</v>
      </c>
    </row>
    <row r="155" spans="1:1" x14ac:dyDescent="0.25">
      <c r="A155" t="s">
        <v>849</v>
      </c>
    </row>
    <row r="156" spans="1:1" x14ac:dyDescent="0.25">
      <c r="A156" t="s">
        <v>850</v>
      </c>
    </row>
    <row r="157" spans="1:1" x14ac:dyDescent="0.25">
      <c r="A157" t="s">
        <v>851</v>
      </c>
    </row>
    <row r="158" spans="1:1" x14ac:dyDescent="0.25">
      <c r="A158" t="s">
        <v>852</v>
      </c>
    </row>
    <row r="159" spans="1:1" x14ac:dyDescent="0.25">
      <c r="A159" t="s">
        <v>853</v>
      </c>
    </row>
    <row r="160" spans="1:1" x14ac:dyDescent="0.25">
      <c r="A160" t="s">
        <v>854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L113"/>
  <sheetViews>
    <sheetView topLeftCell="F100" workbookViewId="0">
      <selection activeCell="H113" sqref="H113"/>
    </sheetView>
  </sheetViews>
  <sheetFormatPr defaultRowHeight="13.2" x14ac:dyDescent="0.25"/>
  <cols>
    <col min="2" max="2" width="66" customWidth="1"/>
    <col min="3" max="4" width="11.5546875" customWidth="1"/>
    <col min="5" max="5" width="26.44140625" customWidth="1"/>
    <col min="6" max="6" width="17.6640625" customWidth="1"/>
    <col min="7" max="7" width="11.44140625" customWidth="1"/>
    <col min="8" max="8" width="65.6640625" customWidth="1"/>
    <col min="9" max="9" width="17.6640625" customWidth="1"/>
    <col min="10" max="10" width="11.44140625" customWidth="1"/>
    <col min="11" max="11" width="65.6640625" customWidth="1"/>
    <col min="12" max="12" width="14.109375" customWidth="1"/>
    <col min="15" max="15" width="15.44140625" bestFit="1" customWidth="1"/>
    <col min="16" max="16" width="21" bestFit="1" customWidth="1"/>
    <col min="17" max="17" width="9.33203125" customWidth="1"/>
    <col min="18" max="22" width="9.5546875" customWidth="1"/>
    <col min="23" max="23" width="13.109375" customWidth="1"/>
    <col min="30" max="30" width="10.33203125" customWidth="1"/>
    <col min="31" max="31" width="10.6640625" customWidth="1"/>
    <col min="34" max="34" width="15.44140625" bestFit="1" customWidth="1"/>
    <col min="35" max="35" width="21" bestFit="1" customWidth="1"/>
    <col min="36" max="37" width="9.5546875" bestFit="1" customWidth="1"/>
    <col min="38" max="38" width="9.5546875" customWidth="1"/>
  </cols>
  <sheetData>
    <row r="1" spans="1:12" ht="21" x14ac:dyDescent="0.4">
      <c r="A1" s="4" t="s">
        <v>19</v>
      </c>
      <c r="B1" s="4"/>
      <c r="C1" s="4"/>
      <c r="D1" s="4"/>
      <c r="E1" s="4"/>
      <c r="F1" s="4"/>
      <c r="G1" s="4"/>
      <c r="H1" s="4"/>
      <c r="I1" s="4"/>
      <c r="J1" s="4"/>
      <c r="K1" s="4"/>
      <c r="L1" s="4"/>
    </row>
    <row r="2" spans="1:12" ht="15.6" x14ac:dyDescent="0.3">
      <c r="A2" s="5" t="str">
        <f>IF(title="&gt; Enter workbook title here","Enter workbook title in Cover sheet",title)</f>
        <v>Scottish Fire pension  projection calculator</v>
      </c>
      <c r="B2" s="5"/>
      <c r="C2" s="5"/>
      <c r="D2" s="5"/>
      <c r="E2" s="5"/>
      <c r="F2" s="5"/>
      <c r="G2" s="5"/>
      <c r="H2" s="5"/>
      <c r="I2" s="5"/>
      <c r="J2" s="5"/>
      <c r="K2" s="5"/>
      <c r="L2" s="5"/>
    </row>
    <row r="3" spans="1:12" ht="15.6" x14ac:dyDescent="0.3">
      <c r="A3" s="77" t="s">
        <v>0</v>
      </c>
      <c r="B3" s="6"/>
      <c r="C3" s="6"/>
      <c r="D3" s="6"/>
      <c r="E3" s="6"/>
      <c r="F3" s="6"/>
      <c r="G3" s="6"/>
      <c r="H3" s="6"/>
      <c r="I3" s="6"/>
      <c r="J3" s="6"/>
      <c r="K3" s="6"/>
      <c r="L3" s="6"/>
    </row>
    <row r="4" spans="1:12" x14ac:dyDescent="0.25">
      <c r="A4" s="7" t="str">
        <f ca="1">CELL("filename",A1)</f>
        <v>\\Gad-ast\ast\Development_Tools\Benefit projection calculators\File sent to client team Feb 2021\[Fire Scotland - Benefit Calculator - 23Feb2021.xlsx]Version control</v>
      </c>
      <c r="B4" s="7"/>
    </row>
    <row r="5" spans="1:12" x14ac:dyDescent="0.25">
      <c r="E5" s="8"/>
      <c r="F5" s="8"/>
      <c r="G5" s="8"/>
    </row>
    <row r="6" spans="1:12" ht="39.6" x14ac:dyDescent="0.25">
      <c r="A6" s="10" t="s">
        <v>1</v>
      </c>
      <c r="B6" s="10" t="s">
        <v>36</v>
      </c>
      <c r="C6" s="10" t="s">
        <v>8</v>
      </c>
      <c r="D6" s="10" t="s">
        <v>9</v>
      </c>
      <c r="E6" s="10" t="s">
        <v>7</v>
      </c>
      <c r="F6" s="10" t="s">
        <v>10</v>
      </c>
      <c r="G6" s="10" t="s">
        <v>2</v>
      </c>
      <c r="H6" s="10" t="s">
        <v>3</v>
      </c>
      <c r="I6" s="10" t="s">
        <v>6</v>
      </c>
      <c r="J6" s="10" t="s">
        <v>2</v>
      </c>
      <c r="K6" s="10" t="s">
        <v>3</v>
      </c>
      <c r="L6" s="10" t="s">
        <v>15</v>
      </c>
    </row>
    <row r="7" spans="1:12" ht="26.4" x14ac:dyDescent="0.25">
      <c r="A7" s="2" t="s">
        <v>14</v>
      </c>
      <c r="B7" s="2" t="s">
        <v>57</v>
      </c>
      <c r="C7" s="2"/>
      <c r="D7" s="2"/>
      <c r="E7" s="2"/>
      <c r="F7" s="2" t="s">
        <v>58</v>
      </c>
      <c r="G7" s="28">
        <v>41136</v>
      </c>
      <c r="H7" s="2" t="s">
        <v>101</v>
      </c>
      <c r="I7" s="2" t="s">
        <v>91</v>
      </c>
      <c r="J7" s="28">
        <v>41137</v>
      </c>
      <c r="K7" s="2" t="s">
        <v>92</v>
      </c>
      <c r="L7" s="2"/>
    </row>
    <row r="8" spans="1:12" ht="66" x14ac:dyDescent="0.25">
      <c r="A8" s="2">
        <v>2</v>
      </c>
      <c r="B8" s="2" t="s">
        <v>85</v>
      </c>
      <c r="C8" s="2"/>
      <c r="D8" s="2"/>
      <c r="E8" s="2"/>
      <c r="F8" s="2" t="s">
        <v>58</v>
      </c>
      <c r="G8" s="28">
        <v>41138</v>
      </c>
      <c r="H8" s="2" t="s">
        <v>102</v>
      </c>
      <c r="I8" s="2" t="s">
        <v>91</v>
      </c>
      <c r="J8" s="28">
        <v>41141</v>
      </c>
      <c r="K8" s="2" t="s">
        <v>93</v>
      </c>
      <c r="L8" s="2" t="s">
        <v>95</v>
      </c>
    </row>
    <row r="9" spans="1:12" ht="52.8" x14ac:dyDescent="0.25">
      <c r="A9" s="2">
        <v>3</v>
      </c>
      <c r="B9" s="2" t="s">
        <v>88</v>
      </c>
      <c r="C9" s="2"/>
      <c r="D9" s="2"/>
      <c r="E9" s="2"/>
      <c r="F9" s="2" t="s">
        <v>58</v>
      </c>
      <c r="G9" s="28">
        <v>41142</v>
      </c>
      <c r="H9" s="2" t="s">
        <v>103</v>
      </c>
      <c r="I9" s="2" t="s">
        <v>91</v>
      </c>
      <c r="J9" s="28">
        <v>41142</v>
      </c>
      <c r="K9" s="2" t="s">
        <v>94</v>
      </c>
      <c r="L9" s="2"/>
    </row>
    <row r="10" spans="1:12" ht="79.2" x14ac:dyDescent="0.25">
      <c r="A10" s="2">
        <v>4</v>
      </c>
      <c r="B10" s="2" t="s">
        <v>96</v>
      </c>
      <c r="C10" s="2"/>
      <c r="D10" s="2"/>
      <c r="E10" s="2"/>
      <c r="F10" s="2" t="s">
        <v>58</v>
      </c>
      <c r="G10" s="28">
        <v>41142</v>
      </c>
      <c r="H10" s="2" t="s">
        <v>104</v>
      </c>
      <c r="I10" s="2" t="s">
        <v>91</v>
      </c>
      <c r="J10" s="28">
        <v>41142</v>
      </c>
      <c r="K10" s="2" t="s">
        <v>105</v>
      </c>
      <c r="L10" s="2"/>
    </row>
    <row r="11" spans="1:12" ht="26.4" x14ac:dyDescent="0.25">
      <c r="A11" s="2">
        <v>5</v>
      </c>
      <c r="B11" s="2" t="s">
        <v>106</v>
      </c>
      <c r="C11" s="2"/>
      <c r="D11" s="2"/>
      <c r="E11" s="2"/>
      <c r="F11" s="2" t="s">
        <v>58</v>
      </c>
      <c r="G11" s="28">
        <v>41143</v>
      </c>
      <c r="H11" s="2" t="s">
        <v>107</v>
      </c>
      <c r="I11" s="2" t="s">
        <v>91</v>
      </c>
      <c r="J11" s="28">
        <v>41143</v>
      </c>
      <c r="K11" s="2" t="s">
        <v>108</v>
      </c>
      <c r="L11" s="2"/>
    </row>
    <row r="12" spans="1:12" ht="66" x14ac:dyDescent="0.25">
      <c r="A12" s="2">
        <v>6</v>
      </c>
      <c r="B12" s="2" t="s">
        <v>109</v>
      </c>
      <c r="C12" s="2"/>
      <c r="D12" s="2"/>
      <c r="E12" s="2"/>
      <c r="F12" s="2" t="s">
        <v>58</v>
      </c>
      <c r="G12" s="28">
        <v>41143</v>
      </c>
      <c r="H12" s="2" t="s">
        <v>111</v>
      </c>
      <c r="I12" s="2" t="s">
        <v>112</v>
      </c>
      <c r="J12" s="28">
        <v>41144</v>
      </c>
      <c r="K12" s="2" t="s">
        <v>113</v>
      </c>
      <c r="L12" s="2"/>
    </row>
    <row r="13" spans="1:12" ht="145.19999999999999" x14ac:dyDescent="0.25">
      <c r="A13" s="2">
        <v>7</v>
      </c>
      <c r="B13" s="39" t="s">
        <v>114</v>
      </c>
      <c r="C13" s="2"/>
      <c r="D13" s="2"/>
      <c r="E13" s="2"/>
      <c r="F13" s="2" t="s">
        <v>115</v>
      </c>
      <c r="G13" s="28">
        <v>41144</v>
      </c>
      <c r="H13" s="2" t="s">
        <v>136</v>
      </c>
      <c r="I13" s="2" t="s">
        <v>91</v>
      </c>
      <c r="J13" s="28">
        <v>41145</v>
      </c>
      <c r="K13" s="2" t="s">
        <v>137</v>
      </c>
      <c r="L13" s="2"/>
    </row>
    <row r="14" spans="1:12" ht="39.6" x14ac:dyDescent="0.25">
      <c r="A14" s="2">
        <v>8</v>
      </c>
      <c r="B14" s="39" t="s">
        <v>138</v>
      </c>
      <c r="C14" s="2"/>
      <c r="D14" s="2"/>
      <c r="E14" s="2"/>
      <c r="F14" s="2" t="s">
        <v>139</v>
      </c>
      <c r="G14" s="28">
        <v>41145</v>
      </c>
      <c r="H14" s="2" t="s">
        <v>140</v>
      </c>
      <c r="I14" s="2" t="s">
        <v>91</v>
      </c>
      <c r="J14" s="28">
        <v>41145</v>
      </c>
      <c r="K14" s="2" t="s">
        <v>142</v>
      </c>
      <c r="L14" s="2"/>
    </row>
    <row r="15" spans="1:12" ht="52.8" x14ac:dyDescent="0.25">
      <c r="A15" s="2">
        <v>9</v>
      </c>
      <c r="B15" s="2" t="s">
        <v>150</v>
      </c>
      <c r="C15" s="2"/>
      <c r="D15" s="2"/>
      <c r="E15" s="2"/>
      <c r="F15" s="2" t="s">
        <v>58</v>
      </c>
      <c r="G15" s="28">
        <v>41145</v>
      </c>
      <c r="H15" s="2" t="s">
        <v>147</v>
      </c>
      <c r="I15" s="2" t="s">
        <v>91</v>
      </c>
      <c r="J15" s="28">
        <v>41145</v>
      </c>
      <c r="K15" s="2" t="s">
        <v>148</v>
      </c>
      <c r="L15" s="2"/>
    </row>
    <row r="16" spans="1:12" ht="39.6" x14ac:dyDescent="0.25">
      <c r="A16" s="2">
        <v>10</v>
      </c>
      <c r="B16" s="2" t="s">
        <v>149</v>
      </c>
      <c r="C16" s="2"/>
      <c r="D16" s="2"/>
      <c r="E16" s="2"/>
      <c r="F16" s="2" t="s">
        <v>58</v>
      </c>
      <c r="G16" s="28">
        <v>41149</v>
      </c>
      <c r="H16" s="2" t="s">
        <v>151</v>
      </c>
      <c r="I16" s="2" t="s">
        <v>91</v>
      </c>
      <c r="J16" s="28">
        <v>41149</v>
      </c>
      <c r="K16" s="2" t="s">
        <v>154</v>
      </c>
      <c r="L16" s="2"/>
    </row>
    <row r="17" spans="1:12" ht="39.6" x14ac:dyDescent="0.25">
      <c r="A17" s="2">
        <v>11</v>
      </c>
      <c r="B17" s="2" t="s">
        <v>152</v>
      </c>
      <c r="C17" s="2"/>
      <c r="D17" s="2"/>
      <c r="E17" s="2"/>
      <c r="F17" s="2" t="s">
        <v>58</v>
      </c>
      <c r="G17" s="28">
        <v>41149</v>
      </c>
      <c r="H17" s="2" t="s">
        <v>153</v>
      </c>
      <c r="I17" s="2" t="s">
        <v>91</v>
      </c>
      <c r="J17" s="28">
        <v>41150</v>
      </c>
      <c r="K17" s="2" t="s">
        <v>162</v>
      </c>
      <c r="L17" s="2"/>
    </row>
    <row r="18" spans="1:12" ht="39.6" x14ac:dyDescent="0.25">
      <c r="A18" s="2">
        <v>12</v>
      </c>
      <c r="B18" s="2" t="s">
        <v>155</v>
      </c>
      <c r="C18" s="2"/>
      <c r="D18" s="2"/>
      <c r="E18" s="2"/>
      <c r="F18" s="2" t="s">
        <v>58</v>
      </c>
      <c r="G18" s="28">
        <v>41150</v>
      </c>
      <c r="H18" s="2" t="s">
        <v>156</v>
      </c>
      <c r="I18" s="2" t="s">
        <v>91</v>
      </c>
      <c r="J18" s="28">
        <v>41150</v>
      </c>
      <c r="K18" s="2" t="s">
        <v>163</v>
      </c>
      <c r="L18" s="2"/>
    </row>
    <row r="19" spans="1:12" ht="66" x14ac:dyDescent="0.25">
      <c r="A19" s="2">
        <v>13</v>
      </c>
      <c r="B19" s="2" t="s">
        <v>158</v>
      </c>
      <c r="C19" s="2"/>
      <c r="D19" s="2"/>
      <c r="E19" s="2"/>
      <c r="F19" s="2" t="s">
        <v>58</v>
      </c>
      <c r="G19" s="28">
        <v>41150</v>
      </c>
      <c r="H19" s="2" t="s">
        <v>159</v>
      </c>
      <c r="I19" s="2" t="s">
        <v>91</v>
      </c>
      <c r="J19" s="28">
        <v>41150</v>
      </c>
      <c r="K19" s="2" t="s">
        <v>164</v>
      </c>
      <c r="L19" s="2"/>
    </row>
    <row r="20" spans="1:12" ht="52.8" x14ac:dyDescent="0.25">
      <c r="A20" s="2">
        <v>14</v>
      </c>
      <c r="B20" s="2" t="s">
        <v>160</v>
      </c>
      <c r="C20" s="2"/>
      <c r="D20" s="2"/>
      <c r="E20" s="2"/>
      <c r="F20" s="2" t="s">
        <v>58</v>
      </c>
      <c r="G20" s="28">
        <v>41150</v>
      </c>
      <c r="H20" s="2" t="s">
        <v>161</v>
      </c>
      <c r="I20" s="2" t="s">
        <v>91</v>
      </c>
      <c r="J20" s="28">
        <v>41150</v>
      </c>
      <c r="K20" s="2" t="s">
        <v>165</v>
      </c>
      <c r="L20" s="2"/>
    </row>
    <row r="21" spans="1:12" ht="80.25" customHeight="1" x14ac:dyDescent="0.25">
      <c r="A21" s="2">
        <v>15</v>
      </c>
      <c r="B21" s="2" t="s">
        <v>166</v>
      </c>
      <c r="C21" s="2"/>
      <c r="D21" s="2"/>
      <c r="E21" s="2"/>
      <c r="F21" s="2" t="s">
        <v>167</v>
      </c>
      <c r="G21" s="28">
        <v>41151</v>
      </c>
      <c r="H21" s="2" t="s">
        <v>171</v>
      </c>
      <c r="I21" s="2" t="s">
        <v>91</v>
      </c>
      <c r="J21" s="28">
        <v>41151</v>
      </c>
      <c r="K21" s="2" t="s">
        <v>108</v>
      </c>
      <c r="L21" s="2"/>
    </row>
    <row r="22" spans="1:12" ht="66" x14ac:dyDescent="0.25">
      <c r="A22" s="2">
        <v>16</v>
      </c>
      <c r="B22" s="2" t="s">
        <v>172</v>
      </c>
      <c r="C22" s="2"/>
      <c r="D22" s="2"/>
      <c r="E22" s="2"/>
      <c r="F22" s="2" t="s">
        <v>167</v>
      </c>
      <c r="G22" s="28">
        <v>41151</v>
      </c>
      <c r="H22" s="2" t="s">
        <v>173</v>
      </c>
      <c r="I22" s="2" t="s">
        <v>91</v>
      </c>
      <c r="J22" s="28">
        <v>41151</v>
      </c>
      <c r="K22" s="2" t="s">
        <v>372</v>
      </c>
      <c r="L22" s="2"/>
    </row>
    <row r="23" spans="1:12" ht="36.75" customHeight="1" x14ac:dyDescent="0.25">
      <c r="A23" s="2">
        <v>17</v>
      </c>
      <c r="B23" s="2" t="s">
        <v>174</v>
      </c>
      <c r="C23" s="2"/>
      <c r="D23" s="2"/>
      <c r="E23" s="2"/>
      <c r="F23" s="2" t="s">
        <v>167</v>
      </c>
      <c r="G23" s="28">
        <v>41152</v>
      </c>
      <c r="H23" s="2" t="s">
        <v>175</v>
      </c>
      <c r="I23" s="2" t="s">
        <v>91</v>
      </c>
      <c r="J23" s="28">
        <v>41152</v>
      </c>
      <c r="K23" s="2" t="s">
        <v>176</v>
      </c>
      <c r="L23" s="2"/>
    </row>
    <row r="24" spans="1:12" ht="26.4" x14ac:dyDescent="0.25">
      <c r="A24" s="2">
        <v>18</v>
      </c>
      <c r="B24" s="39" t="s">
        <v>180</v>
      </c>
      <c r="C24" s="2"/>
      <c r="D24" s="2"/>
      <c r="E24" s="2"/>
      <c r="F24" s="2" t="s">
        <v>181</v>
      </c>
      <c r="G24" s="28">
        <v>41152</v>
      </c>
      <c r="H24" s="2" t="s">
        <v>182</v>
      </c>
      <c r="I24" s="2" t="s">
        <v>91</v>
      </c>
      <c r="J24" s="28">
        <v>41155</v>
      </c>
      <c r="K24" s="2" t="s">
        <v>185</v>
      </c>
      <c r="L24" s="2"/>
    </row>
    <row r="25" spans="1:12" ht="26.4" x14ac:dyDescent="0.25">
      <c r="A25" s="2">
        <v>19</v>
      </c>
      <c r="B25" s="39" t="s">
        <v>192</v>
      </c>
      <c r="C25" s="2"/>
      <c r="D25" s="2"/>
      <c r="E25" s="2"/>
      <c r="F25" s="2" t="s">
        <v>181</v>
      </c>
      <c r="G25" s="28">
        <v>41154</v>
      </c>
      <c r="H25" s="2" t="s">
        <v>182</v>
      </c>
      <c r="I25" s="2" t="s">
        <v>91</v>
      </c>
      <c r="J25" s="28">
        <v>41155</v>
      </c>
      <c r="K25" s="2" t="s">
        <v>185</v>
      </c>
      <c r="L25" s="2"/>
    </row>
    <row r="26" spans="1:12" ht="39.6" x14ac:dyDescent="0.25">
      <c r="A26" s="2">
        <v>20</v>
      </c>
      <c r="B26" s="2" t="s">
        <v>193</v>
      </c>
      <c r="C26" s="2"/>
      <c r="D26" s="2"/>
      <c r="E26" s="2"/>
      <c r="F26" s="2" t="s">
        <v>91</v>
      </c>
      <c r="G26" s="28">
        <v>41155</v>
      </c>
      <c r="H26" s="2" t="s">
        <v>191</v>
      </c>
      <c r="I26" s="2" t="s">
        <v>181</v>
      </c>
      <c r="J26" s="28">
        <v>41155</v>
      </c>
      <c r="K26" s="2" t="s">
        <v>197</v>
      </c>
      <c r="L26" s="2"/>
    </row>
    <row r="27" spans="1:12" ht="39.6" x14ac:dyDescent="0.25">
      <c r="A27" s="2">
        <v>21</v>
      </c>
      <c r="B27" s="2" t="s">
        <v>196</v>
      </c>
      <c r="C27" s="2"/>
      <c r="D27" s="2"/>
      <c r="E27" s="2"/>
      <c r="F27" s="2" t="s">
        <v>58</v>
      </c>
      <c r="G27" s="28">
        <v>41163</v>
      </c>
      <c r="H27" s="2" t="s">
        <v>195</v>
      </c>
      <c r="I27" s="2" t="s">
        <v>91</v>
      </c>
      <c r="J27" s="28">
        <v>41163</v>
      </c>
      <c r="K27" s="2" t="s">
        <v>176</v>
      </c>
      <c r="L27" s="2"/>
    </row>
    <row r="28" spans="1:12" ht="66" x14ac:dyDescent="0.25">
      <c r="A28" s="2"/>
      <c r="B28" s="2"/>
      <c r="C28" s="2"/>
      <c r="D28" s="2"/>
      <c r="E28" s="2"/>
      <c r="F28" s="2"/>
      <c r="G28" s="2"/>
      <c r="H28" s="2"/>
      <c r="I28" s="2" t="s">
        <v>198</v>
      </c>
      <c r="J28" s="28">
        <v>41171</v>
      </c>
      <c r="K28" s="2" t="s">
        <v>214</v>
      </c>
      <c r="L28" s="2"/>
    </row>
    <row r="29" spans="1:12" ht="39.6" x14ac:dyDescent="0.25">
      <c r="A29" s="2">
        <v>22</v>
      </c>
      <c r="B29" s="2" t="s">
        <v>199</v>
      </c>
      <c r="C29" s="2"/>
      <c r="D29" s="2"/>
      <c r="E29" s="2"/>
      <c r="F29" s="2" t="s">
        <v>58</v>
      </c>
      <c r="G29" s="28">
        <v>41173</v>
      </c>
      <c r="H29" s="2" t="s">
        <v>205</v>
      </c>
      <c r="I29" s="2" t="s">
        <v>91</v>
      </c>
      <c r="J29" s="28">
        <v>41173</v>
      </c>
      <c r="K29" s="2" t="s">
        <v>206</v>
      </c>
      <c r="L29" s="2"/>
    </row>
    <row r="30" spans="1:12" ht="52.8" x14ac:dyDescent="0.25">
      <c r="A30" s="2">
        <v>23</v>
      </c>
      <c r="B30" s="2" t="s">
        <v>207</v>
      </c>
      <c r="C30" s="2"/>
      <c r="D30" s="2"/>
      <c r="E30" s="2"/>
      <c r="F30" s="2" t="s">
        <v>58</v>
      </c>
      <c r="G30" s="28">
        <v>41173</v>
      </c>
      <c r="H30" s="2" t="s">
        <v>208</v>
      </c>
      <c r="I30" s="2" t="s">
        <v>91</v>
      </c>
      <c r="J30" s="28">
        <v>41176</v>
      </c>
      <c r="K30" s="2" t="s">
        <v>209</v>
      </c>
      <c r="L30" s="2"/>
    </row>
    <row r="31" spans="1:12" ht="26.4" x14ac:dyDescent="0.25">
      <c r="A31" s="2">
        <v>24</v>
      </c>
      <c r="B31" s="2" t="s">
        <v>210</v>
      </c>
      <c r="F31" s="2" t="s">
        <v>58</v>
      </c>
      <c r="G31" s="28">
        <v>41177</v>
      </c>
      <c r="H31" s="2" t="s">
        <v>211</v>
      </c>
      <c r="I31" s="2" t="s">
        <v>91</v>
      </c>
      <c r="J31" s="28">
        <v>41179</v>
      </c>
      <c r="K31" s="2" t="s">
        <v>176</v>
      </c>
    </row>
    <row r="32" spans="1:12" ht="52.8" x14ac:dyDescent="0.25">
      <c r="F32" s="2" t="s">
        <v>91</v>
      </c>
      <c r="G32" s="28">
        <v>41180</v>
      </c>
      <c r="H32" s="2" t="s">
        <v>213</v>
      </c>
      <c r="I32" s="2" t="s">
        <v>215</v>
      </c>
      <c r="J32" s="8">
        <v>41183</v>
      </c>
      <c r="K32" s="2" t="s">
        <v>373</v>
      </c>
    </row>
    <row r="33" spans="1:11" ht="26.4" x14ac:dyDescent="0.25">
      <c r="F33" s="2" t="s">
        <v>215</v>
      </c>
      <c r="G33" s="64">
        <v>41183</v>
      </c>
      <c r="H33" s="2" t="s">
        <v>217</v>
      </c>
      <c r="I33" s="2" t="s">
        <v>91</v>
      </c>
      <c r="J33" s="8">
        <v>41183</v>
      </c>
      <c r="K33" s="2" t="s">
        <v>218</v>
      </c>
    </row>
    <row r="34" spans="1:11" ht="39.6" x14ac:dyDescent="0.25">
      <c r="A34" s="2">
        <v>25</v>
      </c>
      <c r="B34" s="2" t="s">
        <v>219</v>
      </c>
      <c r="F34" s="2" t="s">
        <v>58</v>
      </c>
      <c r="G34" s="8">
        <v>41184</v>
      </c>
      <c r="H34" s="2" t="s">
        <v>220</v>
      </c>
      <c r="I34" s="2" t="s">
        <v>91</v>
      </c>
      <c r="J34" s="8">
        <v>40910</v>
      </c>
      <c r="K34" s="2" t="s">
        <v>176</v>
      </c>
    </row>
    <row r="35" spans="1:11" ht="92.4" x14ac:dyDescent="0.25">
      <c r="A35" s="2">
        <v>26</v>
      </c>
      <c r="B35" s="39" t="s">
        <v>223</v>
      </c>
      <c r="F35" s="2" t="s">
        <v>224</v>
      </c>
      <c r="G35" s="8">
        <v>41619</v>
      </c>
      <c r="H35" s="41" t="s">
        <v>225</v>
      </c>
    </row>
    <row r="36" spans="1:11" ht="52.8" x14ac:dyDescent="0.25">
      <c r="F36" s="2" t="s">
        <v>224</v>
      </c>
      <c r="G36" s="8">
        <v>41619</v>
      </c>
      <c r="H36" s="2" t="s">
        <v>226</v>
      </c>
      <c r="I36" s="2" t="s">
        <v>227</v>
      </c>
      <c r="J36" s="8">
        <v>41620</v>
      </c>
    </row>
    <row r="37" spans="1:11" x14ac:dyDescent="0.25">
      <c r="A37">
        <v>27</v>
      </c>
      <c r="B37" s="35" t="s">
        <v>228</v>
      </c>
      <c r="F37" s="2" t="s">
        <v>227</v>
      </c>
      <c r="G37" s="8">
        <v>41626</v>
      </c>
      <c r="H37" s="2" t="s">
        <v>229</v>
      </c>
      <c r="I37" s="2" t="s">
        <v>234</v>
      </c>
      <c r="J37" s="8">
        <v>41626</v>
      </c>
      <c r="K37" s="2" t="s">
        <v>235</v>
      </c>
    </row>
    <row r="38" spans="1:11" ht="52.8" x14ac:dyDescent="0.25">
      <c r="A38">
        <v>28</v>
      </c>
      <c r="B38" s="40" t="s">
        <v>236</v>
      </c>
      <c r="F38" s="2" t="s">
        <v>234</v>
      </c>
      <c r="G38" s="8">
        <v>41626</v>
      </c>
      <c r="H38" s="2" t="s">
        <v>238</v>
      </c>
      <c r="I38" s="2" t="s">
        <v>227</v>
      </c>
      <c r="J38" s="8">
        <v>41626</v>
      </c>
    </row>
    <row r="39" spans="1:11" ht="39.6" x14ac:dyDescent="0.25">
      <c r="A39">
        <v>29</v>
      </c>
      <c r="B39" s="35" t="s">
        <v>239</v>
      </c>
      <c r="F39" s="2" t="s">
        <v>227</v>
      </c>
      <c r="G39" s="8">
        <v>41627</v>
      </c>
      <c r="H39" s="2" t="s">
        <v>244</v>
      </c>
      <c r="I39" s="2" t="s">
        <v>234</v>
      </c>
      <c r="J39" s="8">
        <v>41642</v>
      </c>
      <c r="K39" s="2" t="s">
        <v>243</v>
      </c>
    </row>
    <row r="40" spans="1:11" ht="26.4" x14ac:dyDescent="0.25">
      <c r="A40">
        <v>30</v>
      </c>
      <c r="B40" s="35" t="s">
        <v>245</v>
      </c>
      <c r="F40" s="2" t="s">
        <v>227</v>
      </c>
      <c r="G40" s="8">
        <v>41647</v>
      </c>
      <c r="H40" s="2" t="s">
        <v>246</v>
      </c>
      <c r="I40" s="2" t="s">
        <v>234</v>
      </c>
      <c r="J40" s="8">
        <v>41647</v>
      </c>
      <c r="K40" s="2" t="s">
        <v>247</v>
      </c>
    </row>
    <row r="41" spans="1:11" ht="39.6" x14ac:dyDescent="0.25">
      <c r="A41">
        <v>31</v>
      </c>
      <c r="B41" s="67" t="s">
        <v>248</v>
      </c>
      <c r="F41" s="2" t="s">
        <v>234</v>
      </c>
      <c r="G41" s="8">
        <v>41648</v>
      </c>
      <c r="H41" s="2" t="s">
        <v>249</v>
      </c>
    </row>
    <row r="42" spans="1:11" s="72" customFormat="1" ht="171.6" x14ac:dyDescent="0.25">
      <c r="A42" s="71" t="s">
        <v>257</v>
      </c>
      <c r="B42" s="73" t="s">
        <v>258</v>
      </c>
      <c r="F42" s="71" t="s">
        <v>259</v>
      </c>
      <c r="G42" s="74">
        <v>42635</v>
      </c>
      <c r="H42" s="75" t="s">
        <v>272</v>
      </c>
      <c r="I42" s="88" t="s">
        <v>274</v>
      </c>
      <c r="J42" s="89">
        <v>42640</v>
      </c>
      <c r="K42" s="87" t="s">
        <v>276</v>
      </c>
    </row>
    <row r="43" spans="1:11" ht="382.8" x14ac:dyDescent="0.25">
      <c r="A43" t="s">
        <v>314</v>
      </c>
      <c r="B43" s="35" t="s">
        <v>315</v>
      </c>
      <c r="F43" s="2" t="s">
        <v>259</v>
      </c>
      <c r="G43" s="187">
        <v>42656</v>
      </c>
      <c r="H43" s="41" t="s">
        <v>316</v>
      </c>
    </row>
    <row r="44" spans="1:11" ht="92.4" x14ac:dyDescent="0.25">
      <c r="A44" t="s">
        <v>324</v>
      </c>
      <c r="B44" s="35" t="s">
        <v>325</v>
      </c>
      <c r="F44" s="2" t="s">
        <v>326</v>
      </c>
      <c r="G44" s="8">
        <v>42661</v>
      </c>
      <c r="H44" s="41" t="s">
        <v>327</v>
      </c>
    </row>
    <row r="45" spans="1:11" ht="26.4" x14ac:dyDescent="0.25">
      <c r="B45" s="35"/>
      <c r="F45" s="2"/>
      <c r="G45" s="8"/>
      <c r="H45" s="2" t="s">
        <v>331</v>
      </c>
    </row>
    <row r="46" spans="1:11" ht="26.4" x14ac:dyDescent="0.25">
      <c r="B46" s="35"/>
      <c r="F46" s="2"/>
      <c r="G46" s="8"/>
      <c r="H46" s="2" t="s">
        <v>332</v>
      </c>
    </row>
    <row r="47" spans="1:11" x14ac:dyDescent="0.25">
      <c r="B47" s="35"/>
      <c r="F47" s="2"/>
      <c r="G47" s="8"/>
      <c r="H47" s="2" t="s">
        <v>333</v>
      </c>
    </row>
    <row r="48" spans="1:11" ht="26.4" x14ac:dyDescent="0.25">
      <c r="B48" s="35"/>
      <c r="F48" s="2"/>
      <c r="G48" s="8"/>
      <c r="H48" s="2" t="s">
        <v>334</v>
      </c>
    </row>
    <row r="49" spans="1:11" ht="52.8" x14ac:dyDescent="0.25">
      <c r="B49" s="35"/>
      <c r="F49" s="2"/>
      <c r="G49" s="8"/>
      <c r="H49" s="2" t="s">
        <v>335</v>
      </c>
    </row>
    <row r="50" spans="1:11" ht="26.4" x14ac:dyDescent="0.25">
      <c r="B50" s="35"/>
      <c r="F50" s="2"/>
      <c r="G50" s="8"/>
      <c r="H50" s="2" t="s">
        <v>336</v>
      </c>
    </row>
    <row r="51" spans="1:11" ht="224.4" x14ac:dyDescent="0.25">
      <c r="A51" s="29" t="s">
        <v>328</v>
      </c>
      <c r="B51" s="35" t="s">
        <v>329</v>
      </c>
      <c r="F51" s="2" t="s">
        <v>259</v>
      </c>
      <c r="G51" s="8">
        <v>42662</v>
      </c>
      <c r="H51" s="41" t="s">
        <v>330</v>
      </c>
    </row>
    <row r="52" spans="1:11" ht="409.6" x14ac:dyDescent="0.25">
      <c r="A52" s="29" t="s">
        <v>340</v>
      </c>
      <c r="B52" s="35" t="s">
        <v>341</v>
      </c>
      <c r="F52" s="29" t="s">
        <v>259</v>
      </c>
      <c r="G52" s="8">
        <v>42664</v>
      </c>
      <c r="H52" s="41" t="s">
        <v>345</v>
      </c>
      <c r="I52" t="s">
        <v>274</v>
      </c>
      <c r="J52" s="8">
        <v>42678</v>
      </c>
      <c r="K52" s="214" t="s">
        <v>350</v>
      </c>
    </row>
    <row r="53" spans="1:11" ht="211.2" x14ac:dyDescent="0.25">
      <c r="A53" t="s">
        <v>346</v>
      </c>
      <c r="B53" s="35" t="s">
        <v>347</v>
      </c>
      <c r="F53" t="s">
        <v>259</v>
      </c>
      <c r="G53" s="8">
        <v>42671</v>
      </c>
      <c r="H53" s="41" t="s">
        <v>351</v>
      </c>
      <c r="K53" s="214" t="s">
        <v>352</v>
      </c>
    </row>
    <row r="54" spans="1:11" ht="39.6" x14ac:dyDescent="0.25">
      <c r="K54" s="40" t="s">
        <v>353</v>
      </c>
    </row>
    <row r="55" spans="1:11" ht="409.6" x14ac:dyDescent="0.25">
      <c r="A55" t="s">
        <v>360</v>
      </c>
      <c r="B55" s="35" t="s">
        <v>361</v>
      </c>
      <c r="F55" s="2" t="s">
        <v>259</v>
      </c>
      <c r="G55" s="8">
        <v>42683</v>
      </c>
      <c r="H55" s="214" t="s">
        <v>368</v>
      </c>
      <c r="I55" t="s">
        <v>386</v>
      </c>
      <c r="J55" s="8">
        <v>42695</v>
      </c>
      <c r="K55" s="40" t="s">
        <v>387</v>
      </c>
    </row>
    <row r="56" spans="1:11" ht="145.19999999999999" x14ac:dyDescent="0.25">
      <c r="A56" t="s">
        <v>370</v>
      </c>
      <c r="B56" s="35" t="s">
        <v>371</v>
      </c>
      <c r="F56" t="s">
        <v>259</v>
      </c>
      <c r="G56" s="8">
        <v>42690</v>
      </c>
      <c r="H56" s="41" t="s">
        <v>374</v>
      </c>
      <c r="I56" t="s">
        <v>386</v>
      </c>
      <c r="J56" s="8">
        <v>42695</v>
      </c>
      <c r="K56" s="40" t="s">
        <v>387</v>
      </c>
    </row>
    <row r="57" spans="1:11" ht="264" x14ac:dyDescent="0.25">
      <c r="A57" t="s">
        <v>375</v>
      </c>
      <c r="B57" s="35" t="s">
        <v>376</v>
      </c>
      <c r="F57" t="s">
        <v>259</v>
      </c>
      <c r="G57" s="8">
        <v>42695</v>
      </c>
      <c r="H57" s="41" t="s">
        <v>388</v>
      </c>
      <c r="I57" t="s">
        <v>386</v>
      </c>
      <c r="J57" s="8">
        <v>42696</v>
      </c>
      <c r="K57" s="40" t="s">
        <v>387</v>
      </c>
    </row>
    <row r="58" spans="1:11" ht="105.6" x14ac:dyDescent="0.25">
      <c r="A58" s="29" t="s">
        <v>390</v>
      </c>
      <c r="B58" s="35" t="s">
        <v>391</v>
      </c>
      <c r="F58" s="29" t="s">
        <v>259</v>
      </c>
      <c r="G58" s="8">
        <v>42703</v>
      </c>
      <c r="H58" s="41" t="s">
        <v>392</v>
      </c>
    </row>
    <row r="59" spans="1:11" ht="369.6" x14ac:dyDescent="0.25">
      <c r="A59" s="29" t="s">
        <v>397</v>
      </c>
      <c r="B59" s="35" t="s">
        <v>398</v>
      </c>
      <c r="F59" s="29" t="s">
        <v>259</v>
      </c>
      <c r="G59" s="8">
        <v>42706</v>
      </c>
      <c r="H59" s="41" t="s">
        <v>416</v>
      </c>
    </row>
    <row r="60" spans="1:11" ht="26.4" x14ac:dyDescent="0.25">
      <c r="H60" s="41" t="s">
        <v>402</v>
      </c>
      <c r="I60" t="s">
        <v>386</v>
      </c>
      <c r="J60" s="8">
        <v>42710</v>
      </c>
      <c r="K60" s="40" t="s">
        <v>418</v>
      </c>
    </row>
    <row r="61" spans="1:11" ht="26.4" x14ac:dyDescent="0.25">
      <c r="H61" s="67" t="s">
        <v>403</v>
      </c>
    </row>
    <row r="62" spans="1:11" ht="264" x14ac:dyDescent="0.25">
      <c r="A62" s="29" t="s">
        <v>419</v>
      </c>
      <c r="B62" s="35" t="s">
        <v>420</v>
      </c>
      <c r="F62" s="29" t="s">
        <v>259</v>
      </c>
      <c r="G62" s="8">
        <v>42710</v>
      </c>
      <c r="H62" s="253" t="s">
        <v>426</v>
      </c>
    </row>
    <row r="63" spans="1:11" ht="52.8" x14ac:dyDescent="0.25">
      <c r="A63" s="29" t="s">
        <v>436</v>
      </c>
      <c r="B63" s="35" t="s">
        <v>437</v>
      </c>
      <c r="F63" s="29" t="s">
        <v>259</v>
      </c>
      <c r="G63" s="8">
        <v>42719</v>
      </c>
      <c r="H63" s="41" t="s">
        <v>438</v>
      </c>
      <c r="I63" s="29" t="s">
        <v>386</v>
      </c>
      <c r="J63" s="8">
        <v>42720</v>
      </c>
      <c r="K63" s="29" t="s">
        <v>439</v>
      </c>
    </row>
    <row r="64" spans="1:11" ht="92.4" x14ac:dyDescent="0.25">
      <c r="A64" s="29" t="s">
        <v>440</v>
      </c>
      <c r="B64" s="35" t="s">
        <v>441</v>
      </c>
      <c r="F64" s="29" t="s">
        <v>326</v>
      </c>
      <c r="G64" s="8">
        <v>42720</v>
      </c>
      <c r="H64" s="214" t="s">
        <v>442</v>
      </c>
    </row>
    <row r="65" spans="1:12" ht="39.6" x14ac:dyDescent="0.25">
      <c r="F65" s="29" t="s">
        <v>326</v>
      </c>
      <c r="G65" s="8">
        <v>42725</v>
      </c>
      <c r="H65" s="214" t="s">
        <v>444</v>
      </c>
      <c r="I65" s="29" t="s">
        <v>259</v>
      </c>
      <c r="J65" s="8">
        <v>42725</v>
      </c>
      <c r="K65" s="29" t="s">
        <v>445</v>
      </c>
    </row>
    <row r="66" spans="1:12" ht="39.6" x14ac:dyDescent="0.25">
      <c r="A66" s="29" t="s">
        <v>446</v>
      </c>
      <c r="B66" s="35" t="s">
        <v>447</v>
      </c>
      <c r="F66" s="29" t="s">
        <v>259</v>
      </c>
      <c r="G66" s="8">
        <v>42738</v>
      </c>
      <c r="H66" s="41" t="s">
        <v>448</v>
      </c>
      <c r="I66" s="29" t="s">
        <v>386</v>
      </c>
      <c r="J66" s="8">
        <v>42740</v>
      </c>
      <c r="K66" s="214" t="s">
        <v>449</v>
      </c>
    </row>
    <row r="67" spans="1:12" ht="184.8" x14ac:dyDescent="0.25">
      <c r="A67" s="29" t="s">
        <v>457</v>
      </c>
      <c r="B67" s="35" t="s">
        <v>458</v>
      </c>
      <c r="F67" s="29" t="s">
        <v>259</v>
      </c>
      <c r="G67" s="8">
        <v>42747</v>
      </c>
      <c r="H67" s="41" t="s">
        <v>464</v>
      </c>
      <c r="I67" s="29" t="s">
        <v>386</v>
      </c>
      <c r="J67" s="8">
        <v>42748</v>
      </c>
      <c r="K67" s="29" t="s">
        <v>465</v>
      </c>
    </row>
    <row r="68" spans="1:12" x14ac:dyDescent="0.25">
      <c r="E68" t="s">
        <v>475</v>
      </c>
      <c r="F68" s="29" t="s">
        <v>386</v>
      </c>
      <c r="G68" s="8">
        <v>42767</v>
      </c>
      <c r="H68" s="214" t="s">
        <v>466</v>
      </c>
      <c r="I68" s="29" t="s">
        <v>471</v>
      </c>
      <c r="J68" s="8">
        <v>42769</v>
      </c>
      <c r="K68" s="29" t="s">
        <v>472</v>
      </c>
    </row>
    <row r="69" spans="1:12" ht="39.6" x14ac:dyDescent="0.25">
      <c r="H69" s="214" t="s">
        <v>467</v>
      </c>
      <c r="K69" s="214" t="s">
        <v>474</v>
      </c>
    </row>
    <row r="70" spans="1:12" ht="26.4" x14ac:dyDescent="0.25">
      <c r="H70" s="214" t="s">
        <v>468</v>
      </c>
      <c r="K70" s="29" t="s">
        <v>473</v>
      </c>
    </row>
    <row r="71" spans="1:12" ht="26.4" x14ac:dyDescent="0.25">
      <c r="A71" t="s">
        <v>475</v>
      </c>
      <c r="F71" t="s">
        <v>386</v>
      </c>
      <c r="G71" s="8">
        <v>42782</v>
      </c>
      <c r="H71" s="214" t="s">
        <v>476</v>
      </c>
      <c r="I71" s="29" t="s">
        <v>259</v>
      </c>
      <c r="J71" s="8">
        <v>42790</v>
      </c>
      <c r="K71" s="29" t="s">
        <v>472</v>
      </c>
    </row>
    <row r="72" spans="1:12" ht="52.8" x14ac:dyDescent="0.25">
      <c r="A72" t="s">
        <v>475</v>
      </c>
      <c r="F72" t="s">
        <v>386</v>
      </c>
      <c r="G72" s="8">
        <v>42782</v>
      </c>
      <c r="H72" s="214" t="s">
        <v>479</v>
      </c>
      <c r="K72" s="29" t="s">
        <v>486</v>
      </c>
    </row>
    <row r="73" spans="1:12" ht="26.4" x14ac:dyDescent="0.25">
      <c r="A73" t="s">
        <v>475</v>
      </c>
      <c r="F73" t="s">
        <v>386</v>
      </c>
      <c r="G73" s="8">
        <v>42782</v>
      </c>
      <c r="H73" s="214" t="s">
        <v>478</v>
      </c>
      <c r="K73" s="214" t="s">
        <v>485</v>
      </c>
    </row>
    <row r="74" spans="1:12" ht="26.4" x14ac:dyDescent="0.25">
      <c r="A74" t="s">
        <v>475</v>
      </c>
      <c r="F74" t="s">
        <v>386</v>
      </c>
      <c r="G74" s="8">
        <v>42782</v>
      </c>
      <c r="H74" s="214" t="s">
        <v>477</v>
      </c>
      <c r="K74" s="29" t="s">
        <v>472</v>
      </c>
    </row>
    <row r="75" spans="1:12" ht="66" x14ac:dyDescent="0.25">
      <c r="A75" s="29" t="s">
        <v>481</v>
      </c>
      <c r="F75" s="29" t="s">
        <v>386</v>
      </c>
      <c r="G75" s="8">
        <v>42790</v>
      </c>
      <c r="H75" s="214" t="s">
        <v>482</v>
      </c>
      <c r="I75" s="29" t="s">
        <v>259</v>
      </c>
      <c r="J75" s="8">
        <v>42790</v>
      </c>
      <c r="K75" s="29" t="s">
        <v>483</v>
      </c>
    </row>
    <row r="76" spans="1:12" ht="66" x14ac:dyDescent="0.25">
      <c r="A76" s="29" t="s">
        <v>488</v>
      </c>
      <c r="F76" s="29" t="s">
        <v>259</v>
      </c>
      <c r="G76" s="8">
        <v>42794</v>
      </c>
      <c r="H76" s="214" t="s">
        <v>489</v>
      </c>
    </row>
    <row r="77" spans="1:12" s="289" customFormat="1" ht="79.2" x14ac:dyDescent="0.25">
      <c r="A77" s="288" t="s">
        <v>502</v>
      </c>
      <c r="F77" s="288" t="s">
        <v>259</v>
      </c>
      <c r="G77" s="290">
        <v>42801</v>
      </c>
      <c r="H77" s="291" t="s">
        <v>504</v>
      </c>
      <c r="I77" s="289" t="s">
        <v>505</v>
      </c>
      <c r="J77" s="290">
        <v>42801</v>
      </c>
      <c r="K77" s="289" t="s">
        <v>506</v>
      </c>
    </row>
    <row r="78" spans="1:12" ht="303.60000000000002" x14ac:dyDescent="0.25">
      <c r="A78" s="26" t="s">
        <v>583</v>
      </c>
      <c r="F78" s="26" t="s">
        <v>259</v>
      </c>
      <c r="G78" s="8">
        <v>42801</v>
      </c>
      <c r="H78" s="41" t="s">
        <v>539</v>
      </c>
      <c r="I78" t="s">
        <v>326</v>
      </c>
      <c r="J78" s="8">
        <v>42863</v>
      </c>
      <c r="K78" s="408" t="s">
        <v>639</v>
      </c>
    </row>
    <row r="79" spans="1:12" ht="184.8" x14ac:dyDescent="0.25">
      <c r="A79" s="26" t="s">
        <v>257</v>
      </c>
      <c r="F79" s="26" t="s">
        <v>259</v>
      </c>
      <c r="G79" s="8">
        <v>42802</v>
      </c>
      <c r="H79" s="2" t="s">
        <v>584</v>
      </c>
      <c r="I79" t="s">
        <v>326</v>
      </c>
      <c r="J79" s="8">
        <v>42866</v>
      </c>
      <c r="K79" s="408" t="s">
        <v>644</v>
      </c>
      <c r="L79" t="s">
        <v>645</v>
      </c>
    </row>
    <row r="80" spans="1:12" ht="26.4" x14ac:dyDescent="0.25">
      <c r="F80" s="26" t="s">
        <v>326</v>
      </c>
      <c r="G80" s="8">
        <v>42866</v>
      </c>
      <c r="H80" s="40" t="s">
        <v>580</v>
      </c>
      <c r="I80" s="29" t="s">
        <v>259</v>
      </c>
      <c r="J80" s="8">
        <v>42887</v>
      </c>
      <c r="K80" s="26" t="s">
        <v>589</v>
      </c>
    </row>
    <row r="81" spans="1:11" ht="92.4" x14ac:dyDescent="0.25">
      <c r="F81" s="26" t="s">
        <v>326</v>
      </c>
      <c r="G81" s="8">
        <v>42866</v>
      </c>
      <c r="H81" s="214" t="s">
        <v>581</v>
      </c>
      <c r="K81" s="408" t="s">
        <v>638</v>
      </c>
    </row>
    <row r="82" spans="1:11" ht="26.4" x14ac:dyDescent="0.25">
      <c r="H82" s="214" t="s">
        <v>582</v>
      </c>
    </row>
    <row r="83" spans="1:11" ht="118.8" x14ac:dyDescent="0.25">
      <c r="A83" s="29" t="s">
        <v>538</v>
      </c>
      <c r="F83" s="29" t="s">
        <v>259</v>
      </c>
      <c r="G83" s="8">
        <v>42887</v>
      </c>
      <c r="H83" s="41" t="s">
        <v>626</v>
      </c>
      <c r="K83" s="408" t="s">
        <v>646</v>
      </c>
    </row>
    <row r="84" spans="1:11" ht="26.4" x14ac:dyDescent="0.25">
      <c r="H84" s="41" t="s">
        <v>623</v>
      </c>
      <c r="K84" t="s">
        <v>661</v>
      </c>
    </row>
    <row r="85" spans="1:11" ht="26.4" x14ac:dyDescent="0.25">
      <c r="H85" s="41" t="s">
        <v>624</v>
      </c>
      <c r="K85" t="s">
        <v>661</v>
      </c>
    </row>
    <row r="86" spans="1:11" ht="26.4" x14ac:dyDescent="0.25">
      <c r="H86" s="41" t="s">
        <v>625</v>
      </c>
      <c r="K86" s="214" t="s">
        <v>663</v>
      </c>
    </row>
    <row r="87" spans="1:11" ht="39.6" x14ac:dyDescent="0.25">
      <c r="H87" s="41" t="s">
        <v>628</v>
      </c>
      <c r="K87" s="29" t="s">
        <v>661</v>
      </c>
    </row>
    <row r="88" spans="1:11" ht="39.6" x14ac:dyDescent="0.25">
      <c r="H88" s="214" t="s">
        <v>629</v>
      </c>
      <c r="K88" s="29" t="s">
        <v>661</v>
      </c>
    </row>
    <row r="89" spans="1:11" ht="39.6" x14ac:dyDescent="0.25">
      <c r="H89" s="41" t="s">
        <v>630</v>
      </c>
      <c r="K89" s="29" t="s">
        <v>661</v>
      </c>
    </row>
    <row r="90" spans="1:11" ht="66" x14ac:dyDescent="0.25">
      <c r="H90" s="41" t="s">
        <v>636</v>
      </c>
      <c r="K90" s="29" t="s">
        <v>661</v>
      </c>
    </row>
    <row r="91" spans="1:11" ht="39.6" x14ac:dyDescent="0.25">
      <c r="H91" s="41" t="s">
        <v>637</v>
      </c>
      <c r="I91" t="s">
        <v>642</v>
      </c>
      <c r="J91" s="8">
        <v>42902</v>
      </c>
      <c r="K91" s="29" t="s">
        <v>661</v>
      </c>
    </row>
    <row r="92" spans="1:11" x14ac:dyDescent="0.25">
      <c r="F92" t="s">
        <v>642</v>
      </c>
      <c r="G92" s="8">
        <v>42902</v>
      </c>
      <c r="H92" s="214" t="s">
        <v>643</v>
      </c>
      <c r="K92" s="29" t="s">
        <v>666</v>
      </c>
    </row>
    <row r="93" spans="1:11" ht="52.8" x14ac:dyDescent="0.25">
      <c r="H93" s="214" t="s">
        <v>662</v>
      </c>
      <c r="K93" s="214" t="s">
        <v>669</v>
      </c>
    </row>
    <row r="94" spans="1:11" ht="92.4" x14ac:dyDescent="0.25">
      <c r="F94" t="s">
        <v>259</v>
      </c>
      <c r="G94" s="8">
        <v>42913</v>
      </c>
      <c r="H94" s="41" t="s">
        <v>667</v>
      </c>
      <c r="I94" t="s">
        <v>642</v>
      </c>
      <c r="J94" t="s">
        <v>668</v>
      </c>
      <c r="K94" s="29" t="s">
        <v>661</v>
      </c>
    </row>
    <row r="95" spans="1:11" x14ac:dyDescent="0.25">
      <c r="F95" t="s">
        <v>671</v>
      </c>
      <c r="G95" s="8">
        <v>42915</v>
      </c>
      <c r="H95" s="214" t="s">
        <v>672</v>
      </c>
    </row>
    <row r="96" spans="1:11" ht="26.4" x14ac:dyDescent="0.25">
      <c r="F96" t="s">
        <v>671</v>
      </c>
      <c r="G96" s="8">
        <v>42919</v>
      </c>
      <c r="H96" s="214" t="s">
        <v>677</v>
      </c>
    </row>
    <row r="97" spans="1:11" ht="39.6" x14ac:dyDescent="0.25">
      <c r="F97" t="s">
        <v>259</v>
      </c>
      <c r="G97" s="8">
        <v>42942</v>
      </c>
      <c r="H97" s="214" t="s">
        <v>678</v>
      </c>
      <c r="I97" t="s">
        <v>386</v>
      </c>
      <c r="J97" s="8">
        <v>42943</v>
      </c>
      <c r="K97" t="s">
        <v>661</v>
      </c>
    </row>
    <row r="98" spans="1:11" ht="66" x14ac:dyDescent="0.25">
      <c r="A98" t="s">
        <v>440</v>
      </c>
      <c r="F98" t="s">
        <v>326</v>
      </c>
      <c r="G98" s="8">
        <v>43304</v>
      </c>
      <c r="H98" s="214" t="s">
        <v>694</v>
      </c>
    </row>
    <row r="99" spans="1:11" x14ac:dyDescent="0.25">
      <c r="F99" s="630" t="s">
        <v>888</v>
      </c>
      <c r="G99" s="8">
        <v>43420</v>
      </c>
      <c r="H99" s="214" t="s">
        <v>889</v>
      </c>
    </row>
    <row r="100" spans="1:11" ht="39.6" x14ac:dyDescent="0.25">
      <c r="A100" t="s">
        <v>457</v>
      </c>
      <c r="B100" s="40" t="s">
        <v>891</v>
      </c>
      <c r="F100" s="630" t="s">
        <v>892</v>
      </c>
      <c r="G100" s="8">
        <v>43473</v>
      </c>
      <c r="H100" s="214" t="s">
        <v>898</v>
      </c>
    </row>
    <row r="102" spans="1:11" ht="26.4" x14ac:dyDescent="0.25">
      <c r="A102" s="630" t="s">
        <v>899</v>
      </c>
      <c r="B102" s="40" t="s">
        <v>906</v>
      </c>
      <c r="F102" s="630" t="s">
        <v>900</v>
      </c>
      <c r="G102" s="8">
        <v>43476</v>
      </c>
      <c r="H102" s="214" t="s">
        <v>901</v>
      </c>
      <c r="I102" t="s">
        <v>902</v>
      </c>
      <c r="J102" s="8">
        <v>43488</v>
      </c>
      <c r="K102" t="s">
        <v>903</v>
      </c>
    </row>
    <row r="103" spans="1:11" x14ac:dyDescent="0.25">
      <c r="K103" s="629" t="s">
        <v>904</v>
      </c>
    </row>
    <row r="104" spans="1:11" x14ac:dyDescent="0.25">
      <c r="K104" t="s">
        <v>905</v>
      </c>
    </row>
    <row r="106" spans="1:11" ht="26.4" x14ac:dyDescent="0.25">
      <c r="A106" s="630" t="s">
        <v>907</v>
      </c>
      <c r="B106" s="40" t="s">
        <v>908</v>
      </c>
      <c r="F106" s="630" t="s">
        <v>900</v>
      </c>
      <c r="G106" s="8">
        <v>43655</v>
      </c>
      <c r="H106" s="214" t="s">
        <v>909</v>
      </c>
      <c r="I106" t="s">
        <v>902</v>
      </c>
      <c r="J106" s="8">
        <v>43658</v>
      </c>
      <c r="K106" t="s">
        <v>661</v>
      </c>
    </row>
    <row r="107" spans="1:11" ht="66" x14ac:dyDescent="0.25">
      <c r="F107" t="s">
        <v>912</v>
      </c>
      <c r="G107" s="8">
        <v>44126</v>
      </c>
      <c r="H107" s="214" t="s">
        <v>913</v>
      </c>
      <c r="I107" s="630" t="s">
        <v>917</v>
      </c>
      <c r="J107" s="8">
        <v>44163</v>
      </c>
      <c r="K107" s="214" t="s">
        <v>918</v>
      </c>
    </row>
    <row r="109" spans="1:11" ht="26.4" x14ac:dyDescent="0.25">
      <c r="E109" s="630" t="s">
        <v>922</v>
      </c>
      <c r="F109" s="630" t="s">
        <v>920</v>
      </c>
      <c r="G109" s="8">
        <v>44231</v>
      </c>
      <c r="H109" s="214" t="s">
        <v>921</v>
      </c>
      <c r="I109" s="630" t="s">
        <v>917</v>
      </c>
      <c r="J109" s="8">
        <v>44234</v>
      </c>
      <c r="K109" s="214" t="s">
        <v>928</v>
      </c>
    </row>
    <row r="110" spans="1:11" ht="39.6" x14ac:dyDescent="0.25">
      <c r="H110" s="214" t="s">
        <v>923</v>
      </c>
    </row>
    <row r="112" spans="1:11" ht="26.4" x14ac:dyDescent="0.25">
      <c r="G112" s="8">
        <v>44232</v>
      </c>
      <c r="H112" s="214" t="s">
        <v>926</v>
      </c>
    </row>
    <row r="113" spans="8:8" x14ac:dyDescent="0.25">
      <c r="H113" s="214" t="s">
        <v>927</v>
      </c>
    </row>
  </sheetData>
  <phoneticPr fontId="2" type="noConversion"/>
  <hyperlinks>
    <hyperlink ref="B13" r:id="rId1" xr:uid="{00000000-0004-0000-0200-000000000000}"/>
    <hyperlink ref="B14" r:id="rId2" xr:uid="{00000000-0004-0000-0200-000001000000}"/>
    <hyperlink ref="B24" r:id="rId3" xr:uid="{00000000-0004-0000-0200-000002000000}"/>
    <hyperlink ref="B25" r:id="rId4" xr:uid="{00000000-0004-0000-0200-000003000000}"/>
    <hyperlink ref="B35" r:id="rId5" xr:uid="{00000000-0004-0000-0200-000004000000}"/>
    <hyperlink ref="B37" r:id="rId6" xr:uid="{00000000-0004-0000-0200-000005000000}"/>
    <hyperlink ref="B39" r:id="rId7" xr:uid="{00000000-0004-0000-0200-000006000000}"/>
    <hyperlink ref="B40" r:id="rId8" xr:uid="{00000000-0004-0000-0200-000007000000}"/>
    <hyperlink ref="B42" r:id="rId9" xr:uid="{00000000-0004-0000-0200-000008000000}"/>
    <hyperlink ref="B43" r:id="rId10" xr:uid="{00000000-0004-0000-0200-000009000000}"/>
    <hyperlink ref="B44" r:id="rId11" xr:uid="{00000000-0004-0000-0200-00000A000000}"/>
    <hyperlink ref="B51" r:id="rId12" xr:uid="{00000000-0004-0000-0200-00000B000000}"/>
    <hyperlink ref="B52" r:id="rId13" xr:uid="{00000000-0004-0000-0200-00000C000000}"/>
    <hyperlink ref="B53" r:id="rId14" xr:uid="{00000000-0004-0000-0200-00000D000000}"/>
    <hyperlink ref="B55" r:id="rId15" xr:uid="{00000000-0004-0000-0200-00000E000000}"/>
    <hyperlink ref="B56" r:id="rId16" xr:uid="{00000000-0004-0000-0200-00000F000000}"/>
    <hyperlink ref="B57" r:id="rId17" xr:uid="{00000000-0004-0000-0200-000010000000}"/>
    <hyperlink ref="B58" r:id="rId18" xr:uid="{00000000-0004-0000-0200-000011000000}"/>
    <hyperlink ref="B59" r:id="rId19" xr:uid="{00000000-0004-0000-0200-000012000000}"/>
    <hyperlink ref="H61" r:id="rId20" xr:uid="{00000000-0004-0000-0200-000013000000}"/>
    <hyperlink ref="B62" r:id="rId21" xr:uid="{00000000-0004-0000-0200-000014000000}"/>
    <hyperlink ref="B63" r:id="rId22" xr:uid="{00000000-0004-0000-0200-000015000000}"/>
    <hyperlink ref="B64" r:id="rId23" xr:uid="{00000000-0004-0000-0200-000016000000}"/>
    <hyperlink ref="B66" r:id="rId24" xr:uid="{00000000-0004-0000-0200-000017000000}"/>
    <hyperlink ref="B67" r:id="rId25" xr:uid="{00000000-0004-0000-0200-000018000000}"/>
  </hyperlinks>
  <pageMargins left="0.74803149606299213" right="0.74803149606299213" top="0.98425196850393704" bottom="0.98425196850393704" header="0.51181102362204722" footer="0.51181102362204722"/>
  <pageSetup paperSize="9" scale="58" fitToWidth="2" orientation="landscape" r:id="rId26"/>
  <headerFooter alignWithMargins="0">
    <oddHeader>&amp;L&amp;Z&amp;F  [&amp;A]</oddHeader>
    <oddFooter>&amp;LPage &amp;P of &amp;N&amp;R&amp;T &amp;D</oddFooter>
  </headerFooter>
  <colBreaks count="1" manualBreakCount="1">
    <brk id="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5"/>
  <dimension ref="A6:M35"/>
  <sheetViews>
    <sheetView tabSelected="1" workbookViewId="0">
      <selection activeCell="A7" sqref="A7:L34"/>
    </sheetView>
  </sheetViews>
  <sheetFormatPr defaultColWidth="9.109375" defaultRowHeight="13.2" x14ac:dyDescent="0.25"/>
  <cols>
    <col min="1" max="10" width="9.109375" style="419"/>
    <col min="11" max="11" width="31.33203125" style="419" customWidth="1"/>
    <col min="12" max="12" width="19.109375" style="419" customWidth="1"/>
    <col min="13" max="13" width="9.109375" style="424"/>
    <col min="14" max="16384" width="9.109375" style="419"/>
  </cols>
  <sheetData>
    <row r="6" spans="1:13" ht="48" customHeight="1" thickBot="1" x14ac:dyDescent="0.35">
      <c r="A6" s="415"/>
      <c r="B6" s="416"/>
      <c r="C6" s="416"/>
      <c r="D6" s="416"/>
      <c r="E6" s="416"/>
      <c r="F6" s="416"/>
      <c r="G6" s="415"/>
      <c r="H6" s="415"/>
      <c r="I6" s="415"/>
      <c r="J6" s="415"/>
      <c r="K6" s="415"/>
      <c r="L6" s="417"/>
      <c r="M6" s="418"/>
    </row>
    <row r="7" spans="1:13" ht="12" customHeight="1" x14ac:dyDescent="0.25">
      <c r="A7" s="662" t="s">
        <v>929</v>
      </c>
      <c r="B7" s="663"/>
      <c r="C7" s="663"/>
      <c r="D7" s="663"/>
      <c r="E7" s="663"/>
      <c r="F7" s="663"/>
      <c r="G7" s="663"/>
      <c r="H7" s="663"/>
      <c r="I7" s="663"/>
      <c r="J7" s="663"/>
      <c r="K7" s="663"/>
      <c r="L7" s="664"/>
      <c r="M7" s="420"/>
    </row>
    <row r="8" spans="1:13" ht="11.4" customHeight="1" x14ac:dyDescent="0.25">
      <c r="A8" s="665"/>
      <c r="B8" s="666"/>
      <c r="C8" s="666"/>
      <c r="D8" s="666"/>
      <c r="E8" s="666"/>
      <c r="F8" s="666"/>
      <c r="G8" s="666"/>
      <c r="H8" s="666"/>
      <c r="I8" s="666"/>
      <c r="J8" s="666"/>
      <c r="K8" s="666"/>
      <c r="L8" s="667"/>
      <c r="M8" s="420"/>
    </row>
    <row r="9" spans="1:13" ht="17.399999999999999" customHeight="1" x14ac:dyDescent="0.25">
      <c r="A9" s="665"/>
      <c r="B9" s="666"/>
      <c r="C9" s="666"/>
      <c r="D9" s="666"/>
      <c r="E9" s="666"/>
      <c r="F9" s="666"/>
      <c r="G9" s="666"/>
      <c r="H9" s="666"/>
      <c r="I9" s="666"/>
      <c r="J9" s="666"/>
      <c r="K9" s="666"/>
      <c r="L9" s="667"/>
      <c r="M9" s="420"/>
    </row>
    <row r="10" spans="1:13" ht="37.5" customHeight="1" x14ac:dyDescent="0.25">
      <c r="A10" s="665"/>
      <c r="B10" s="666"/>
      <c r="C10" s="666"/>
      <c r="D10" s="666"/>
      <c r="E10" s="666"/>
      <c r="F10" s="666"/>
      <c r="G10" s="666"/>
      <c r="H10" s="666"/>
      <c r="I10" s="666"/>
      <c r="J10" s="666"/>
      <c r="K10" s="666"/>
      <c r="L10" s="667"/>
      <c r="M10" s="420"/>
    </row>
    <row r="11" spans="1:13" x14ac:dyDescent="0.25">
      <c r="A11" s="665"/>
      <c r="B11" s="666"/>
      <c r="C11" s="666"/>
      <c r="D11" s="666"/>
      <c r="E11" s="666"/>
      <c r="F11" s="666"/>
      <c r="G11" s="666"/>
      <c r="H11" s="666"/>
      <c r="I11" s="666"/>
      <c r="J11" s="666"/>
      <c r="K11" s="666"/>
      <c r="L11" s="667"/>
      <c r="M11" s="420"/>
    </row>
    <row r="12" spans="1:13" ht="28.2" customHeight="1" x14ac:dyDescent="0.25">
      <c r="A12" s="665"/>
      <c r="B12" s="666"/>
      <c r="C12" s="666"/>
      <c r="D12" s="666"/>
      <c r="E12" s="666"/>
      <c r="F12" s="666"/>
      <c r="G12" s="666"/>
      <c r="H12" s="666"/>
      <c r="I12" s="666"/>
      <c r="J12" s="666"/>
      <c r="K12" s="666"/>
      <c r="L12" s="667"/>
      <c r="M12" s="420"/>
    </row>
    <row r="13" spans="1:13" ht="52.95" customHeight="1" x14ac:dyDescent="0.25">
      <c r="A13" s="665"/>
      <c r="B13" s="666"/>
      <c r="C13" s="666"/>
      <c r="D13" s="666"/>
      <c r="E13" s="666"/>
      <c r="F13" s="666"/>
      <c r="G13" s="666"/>
      <c r="H13" s="666"/>
      <c r="I13" s="666"/>
      <c r="J13" s="666"/>
      <c r="K13" s="666"/>
      <c r="L13" s="667"/>
      <c r="M13" s="420"/>
    </row>
    <row r="14" spans="1:13" ht="57.6" customHeight="1" x14ac:dyDescent="0.25">
      <c r="A14" s="665"/>
      <c r="B14" s="666"/>
      <c r="C14" s="666"/>
      <c r="D14" s="666"/>
      <c r="E14" s="666"/>
      <c r="F14" s="666"/>
      <c r="G14" s="666"/>
      <c r="H14" s="666"/>
      <c r="I14" s="666"/>
      <c r="J14" s="666"/>
      <c r="K14" s="666"/>
      <c r="L14" s="667"/>
      <c r="M14" s="420"/>
    </row>
    <row r="15" spans="1:13" ht="69.75" customHeight="1" x14ac:dyDescent="0.25">
      <c r="A15" s="665"/>
      <c r="B15" s="666"/>
      <c r="C15" s="666"/>
      <c r="D15" s="666"/>
      <c r="E15" s="666"/>
      <c r="F15" s="666"/>
      <c r="G15" s="666"/>
      <c r="H15" s="666"/>
      <c r="I15" s="666"/>
      <c r="J15" s="666"/>
      <c r="K15" s="666"/>
      <c r="L15" s="667"/>
      <c r="M15" s="420"/>
    </row>
    <row r="16" spans="1:13" ht="54" customHeight="1" x14ac:dyDescent="0.25">
      <c r="A16" s="665"/>
      <c r="B16" s="666"/>
      <c r="C16" s="666"/>
      <c r="D16" s="666"/>
      <c r="E16" s="666"/>
      <c r="F16" s="666"/>
      <c r="G16" s="666"/>
      <c r="H16" s="666"/>
      <c r="I16" s="666"/>
      <c r="J16" s="666"/>
      <c r="K16" s="666"/>
      <c r="L16" s="667"/>
      <c r="M16" s="420"/>
    </row>
    <row r="17" spans="1:13" ht="28.2" customHeight="1" x14ac:dyDescent="0.25">
      <c r="A17" s="665"/>
      <c r="B17" s="666"/>
      <c r="C17" s="666"/>
      <c r="D17" s="666"/>
      <c r="E17" s="666"/>
      <c r="F17" s="666"/>
      <c r="G17" s="666"/>
      <c r="H17" s="666"/>
      <c r="I17" s="666"/>
      <c r="J17" s="666"/>
      <c r="K17" s="666"/>
      <c r="L17" s="667"/>
      <c r="M17" s="420"/>
    </row>
    <row r="18" spans="1:13" ht="53.4" customHeight="1" x14ac:dyDescent="0.25">
      <c r="A18" s="665"/>
      <c r="B18" s="666"/>
      <c r="C18" s="666"/>
      <c r="D18" s="666"/>
      <c r="E18" s="666"/>
      <c r="F18" s="666"/>
      <c r="G18" s="666"/>
      <c r="H18" s="666"/>
      <c r="I18" s="666"/>
      <c r="J18" s="666"/>
      <c r="K18" s="666"/>
      <c r="L18" s="667"/>
      <c r="M18" s="420"/>
    </row>
    <row r="19" spans="1:13" ht="39.75" customHeight="1" x14ac:dyDescent="0.25">
      <c r="A19" s="665"/>
      <c r="B19" s="666"/>
      <c r="C19" s="666"/>
      <c r="D19" s="666"/>
      <c r="E19" s="666"/>
      <c r="F19" s="666"/>
      <c r="G19" s="666"/>
      <c r="H19" s="666"/>
      <c r="I19" s="666"/>
      <c r="J19" s="666"/>
      <c r="K19" s="666"/>
      <c r="L19" s="667"/>
      <c r="M19" s="420"/>
    </row>
    <row r="20" spans="1:13" ht="40.950000000000003" customHeight="1" x14ac:dyDescent="0.25">
      <c r="A20" s="665"/>
      <c r="B20" s="666"/>
      <c r="C20" s="666"/>
      <c r="D20" s="666"/>
      <c r="E20" s="666"/>
      <c r="F20" s="666"/>
      <c r="G20" s="666"/>
      <c r="H20" s="666"/>
      <c r="I20" s="666"/>
      <c r="J20" s="666"/>
      <c r="K20" s="666"/>
      <c r="L20" s="667"/>
      <c r="M20" s="420"/>
    </row>
    <row r="21" spans="1:13" ht="26.4" customHeight="1" x14ac:dyDescent="0.25">
      <c r="A21" s="665"/>
      <c r="B21" s="666"/>
      <c r="C21" s="666"/>
      <c r="D21" s="666"/>
      <c r="E21" s="666"/>
      <c r="F21" s="666"/>
      <c r="G21" s="666"/>
      <c r="H21" s="666"/>
      <c r="I21" s="666"/>
      <c r="J21" s="666"/>
      <c r="K21" s="666"/>
      <c r="L21" s="667"/>
      <c r="M21" s="420"/>
    </row>
    <row r="22" spans="1:13" ht="15.75" customHeight="1" x14ac:dyDescent="0.25">
      <c r="A22" s="665"/>
      <c r="B22" s="666"/>
      <c r="C22" s="666"/>
      <c r="D22" s="666"/>
      <c r="E22" s="666"/>
      <c r="F22" s="666"/>
      <c r="G22" s="666"/>
      <c r="H22" s="666"/>
      <c r="I22" s="666"/>
      <c r="J22" s="666"/>
      <c r="K22" s="666"/>
      <c r="L22" s="667"/>
      <c r="M22" s="420"/>
    </row>
    <row r="23" spans="1:13" x14ac:dyDescent="0.25">
      <c r="A23" s="665"/>
      <c r="B23" s="666"/>
      <c r="C23" s="666"/>
      <c r="D23" s="666"/>
      <c r="E23" s="666"/>
      <c r="F23" s="666"/>
      <c r="G23" s="666"/>
      <c r="H23" s="666"/>
      <c r="I23" s="666"/>
      <c r="J23" s="666"/>
      <c r="K23" s="666"/>
      <c r="L23" s="667"/>
      <c r="M23" s="421"/>
    </row>
    <row r="24" spans="1:13" x14ac:dyDescent="0.25">
      <c r="A24" s="665"/>
      <c r="B24" s="666"/>
      <c r="C24" s="666"/>
      <c r="D24" s="666"/>
      <c r="E24" s="666"/>
      <c r="F24" s="666"/>
      <c r="G24" s="666"/>
      <c r="H24" s="666"/>
      <c r="I24" s="666"/>
      <c r="J24" s="666"/>
      <c r="K24" s="666"/>
      <c r="L24" s="667"/>
      <c r="M24" s="421"/>
    </row>
    <row r="25" spans="1:13" ht="31.5" customHeight="1" x14ac:dyDescent="0.25">
      <c r="A25" s="665"/>
      <c r="B25" s="666"/>
      <c r="C25" s="666"/>
      <c r="D25" s="666"/>
      <c r="E25" s="666"/>
      <c r="F25" s="666"/>
      <c r="G25" s="666"/>
      <c r="H25" s="666"/>
      <c r="I25" s="666"/>
      <c r="J25" s="666"/>
      <c r="K25" s="666"/>
      <c r="L25" s="667"/>
      <c r="M25" s="420"/>
    </row>
    <row r="26" spans="1:13" s="423" customFormat="1" ht="45" customHeight="1" x14ac:dyDescent="0.25">
      <c r="A26" s="665"/>
      <c r="B26" s="666"/>
      <c r="C26" s="666"/>
      <c r="D26" s="666"/>
      <c r="E26" s="666"/>
      <c r="F26" s="666"/>
      <c r="G26" s="666"/>
      <c r="H26" s="666"/>
      <c r="I26" s="666"/>
      <c r="J26" s="666"/>
      <c r="K26" s="666"/>
      <c r="L26" s="667"/>
      <c r="M26" s="422"/>
    </row>
    <row r="27" spans="1:13" x14ac:dyDescent="0.25">
      <c r="A27" s="665"/>
      <c r="B27" s="666"/>
      <c r="C27" s="666"/>
      <c r="D27" s="666"/>
      <c r="E27" s="666"/>
      <c r="F27" s="666"/>
      <c r="G27" s="666"/>
      <c r="H27" s="666"/>
      <c r="I27" s="666"/>
      <c r="J27" s="666"/>
      <c r="K27" s="666"/>
      <c r="L27" s="667"/>
      <c r="M27" s="420"/>
    </row>
    <row r="28" spans="1:13" x14ac:dyDescent="0.25">
      <c r="A28" s="665"/>
      <c r="B28" s="666"/>
      <c r="C28" s="666"/>
      <c r="D28" s="666"/>
      <c r="E28" s="666"/>
      <c r="F28" s="666"/>
      <c r="G28" s="666"/>
      <c r="H28" s="666"/>
      <c r="I28" s="666"/>
      <c r="J28" s="666"/>
      <c r="K28" s="666"/>
      <c r="L28" s="667"/>
      <c r="M28" s="420"/>
    </row>
    <row r="29" spans="1:13" x14ac:dyDescent="0.25">
      <c r="A29" s="665"/>
      <c r="B29" s="666"/>
      <c r="C29" s="666"/>
      <c r="D29" s="666"/>
      <c r="E29" s="666"/>
      <c r="F29" s="666"/>
      <c r="G29" s="666"/>
      <c r="H29" s="666"/>
      <c r="I29" s="666"/>
      <c r="J29" s="666"/>
      <c r="K29" s="666"/>
      <c r="L29" s="667"/>
      <c r="M29" s="420"/>
    </row>
    <row r="30" spans="1:13" x14ac:dyDescent="0.25">
      <c r="A30" s="665"/>
      <c r="B30" s="666"/>
      <c r="C30" s="666"/>
      <c r="D30" s="666"/>
      <c r="E30" s="666"/>
      <c r="F30" s="666"/>
      <c r="G30" s="666"/>
      <c r="H30" s="666"/>
      <c r="I30" s="666"/>
      <c r="J30" s="666"/>
      <c r="K30" s="666"/>
      <c r="L30" s="667"/>
      <c r="M30" s="420"/>
    </row>
    <row r="31" spans="1:13" x14ac:dyDescent="0.25">
      <c r="A31" s="665"/>
      <c r="B31" s="666"/>
      <c r="C31" s="666"/>
      <c r="D31" s="666"/>
      <c r="E31" s="666"/>
      <c r="F31" s="666"/>
      <c r="G31" s="666"/>
      <c r="H31" s="666"/>
      <c r="I31" s="666"/>
      <c r="J31" s="666"/>
      <c r="K31" s="666"/>
      <c r="L31" s="667"/>
      <c r="M31" s="420"/>
    </row>
    <row r="32" spans="1:13" ht="33" customHeight="1" x14ac:dyDescent="0.25">
      <c r="A32" s="665"/>
      <c r="B32" s="666"/>
      <c r="C32" s="666"/>
      <c r="D32" s="666"/>
      <c r="E32" s="666"/>
      <c r="F32" s="666"/>
      <c r="G32" s="666"/>
      <c r="H32" s="666"/>
      <c r="I32" s="666"/>
      <c r="J32" s="666"/>
      <c r="K32" s="666"/>
      <c r="L32" s="667"/>
      <c r="M32" s="420"/>
    </row>
    <row r="33" spans="1:13" x14ac:dyDescent="0.25">
      <c r="A33" s="665"/>
      <c r="B33" s="666"/>
      <c r="C33" s="666"/>
      <c r="D33" s="666"/>
      <c r="E33" s="666"/>
      <c r="F33" s="666"/>
      <c r="G33" s="666"/>
      <c r="H33" s="666"/>
      <c r="I33" s="666"/>
      <c r="J33" s="666"/>
      <c r="K33" s="666"/>
      <c r="L33" s="667"/>
      <c r="M33" s="420"/>
    </row>
    <row r="34" spans="1:13" ht="42" customHeight="1" thickBot="1" x14ac:dyDescent="0.3">
      <c r="A34" s="668"/>
      <c r="B34" s="669"/>
      <c r="C34" s="669"/>
      <c r="D34" s="669"/>
      <c r="E34" s="669"/>
      <c r="F34" s="669"/>
      <c r="G34" s="669"/>
      <c r="H34" s="669"/>
      <c r="I34" s="669"/>
      <c r="J34" s="669"/>
      <c r="K34" s="669"/>
      <c r="L34" s="670"/>
      <c r="M34" s="420"/>
    </row>
    <row r="35" spans="1:13" x14ac:dyDescent="0.25">
      <c r="A35" s="671"/>
      <c r="B35" s="671"/>
      <c r="C35" s="671"/>
      <c r="D35" s="671"/>
      <c r="E35" s="671"/>
      <c r="F35" s="671"/>
      <c r="G35" s="671"/>
      <c r="H35" s="671"/>
      <c r="I35" s="671"/>
      <c r="J35" s="671"/>
      <c r="K35" s="671"/>
      <c r="L35" s="671"/>
      <c r="M35" s="420"/>
    </row>
  </sheetData>
  <sheetProtection algorithmName="SHA-512" hashValue="MtG8LpocqN3uBqH6OgCiBteZ5SEi9u/S0NW2TfNPqdRQ9c/wiNS2NSmE1fX+K8MuA7jMzVzVup/G5KITOsptJw==" saltValue="2xQkszeOKkgZ9uDmgjgSAw==" spinCount="100000" sheet="1" objects="1" scenarios="1"/>
  <mergeCells count="2">
    <mergeCell ref="A7:L34"/>
    <mergeCell ref="A35:L35"/>
  </mergeCells>
  <pageMargins left="0.25" right="0.25"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Q206"/>
  <sheetViews>
    <sheetView zoomScale="90" zoomScaleNormal="90" workbookViewId="0"/>
  </sheetViews>
  <sheetFormatPr defaultColWidth="9.109375" defaultRowHeight="13.2" x14ac:dyDescent="0.25"/>
  <cols>
    <col min="1" max="1" width="6.6640625" style="48" customWidth="1"/>
    <col min="2" max="2" width="0.88671875" style="48" customWidth="1"/>
    <col min="3" max="3" width="10" style="49" customWidth="1"/>
    <col min="4" max="4" width="12.109375" style="48" customWidth="1"/>
    <col min="5" max="5" width="13.33203125" style="48" customWidth="1"/>
    <col min="6" max="7" width="10.109375" style="48" bestFit="1" customWidth="1"/>
    <col min="8" max="8" width="13.109375" style="48" customWidth="1"/>
    <col min="9" max="14" width="15" style="48" customWidth="1"/>
    <col min="15" max="15" width="10.109375" style="48" bestFit="1" customWidth="1"/>
    <col min="16" max="16" width="9.109375" style="48"/>
    <col min="17" max="17" width="10.109375" style="48" bestFit="1" customWidth="1"/>
    <col min="18" max="16384" width="9.109375" style="48"/>
  </cols>
  <sheetData>
    <row r="1" spans="1:16" x14ac:dyDescent="0.25">
      <c r="B1" s="579"/>
      <c r="C1" s="580"/>
      <c r="D1" s="410"/>
      <c r="E1" s="410"/>
      <c r="F1" s="410"/>
      <c r="G1" s="410"/>
      <c r="H1" s="410"/>
      <c r="I1" s="410"/>
      <c r="J1" s="410"/>
      <c r="K1" s="410"/>
      <c r="L1" s="410"/>
      <c r="M1" s="410"/>
      <c r="N1" s="410"/>
      <c r="O1" s="411"/>
    </row>
    <row r="2" spans="1:16" x14ac:dyDescent="0.25">
      <c r="A2" s="409"/>
      <c r="B2" s="581"/>
      <c r="C2" s="576"/>
      <c r="D2" s="243"/>
      <c r="E2" s="243"/>
      <c r="F2" s="243"/>
      <c r="G2" s="243"/>
      <c r="H2" s="243"/>
      <c r="I2" s="243"/>
      <c r="J2" s="243"/>
      <c r="K2" s="243"/>
      <c r="L2" s="243"/>
      <c r="M2" s="243"/>
      <c r="N2" s="243"/>
      <c r="O2" s="411"/>
      <c r="P2" s="409"/>
    </row>
    <row r="3" spans="1:16" x14ac:dyDescent="0.25">
      <c r="A3" s="409"/>
      <c r="B3" s="581"/>
      <c r="C3" s="576"/>
      <c r="D3" s="243"/>
      <c r="E3" s="243"/>
      <c r="F3" s="243"/>
      <c r="G3" s="243"/>
      <c r="H3" s="243"/>
      <c r="I3" s="243"/>
      <c r="J3" s="243"/>
      <c r="K3" s="243"/>
      <c r="L3" s="243"/>
      <c r="M3" s="243"/>
      <c r="N3" s="243"/>
      <c r="O3" s="411"/>
      <c r="P3" s="409"/>
    </row>
    <row r="4" spans="1:16" x14ac:dyDescent="0.25">
      <c r="A4" s="409"/>
      <c r="B4" s="581"/>
      <c r="C4" s="576"/>
      <c r="D4" s="243"/>
      <c r="E4" s="243"/>
      <c r="F4" s="243"/>
      <c r="G4" s="243"/>
      <c r="H4" s="243"/>
      <c r="I4" s="243"/>
      <c r="J4" s="243"/>
      <c r="K4" s="243"/>
      <c r="L4" s="243"/>
      <c r="M4" s="243"/>
      <c r="N4" s="243"/>
      <c r="O4" s="411"/>
      <c r="P4" s="409"/>
    </row>
    <row r="5" spans="1:16" x14ac:dyDescent="0.25">
      <c r="A5" s="409"/>
      <c r="B5" s="581"/>
      <c r="C5" s="576"/>
      <c r="D5" s="243"/>
      <c r="E5" s="243"/>
      <c r="F5" s="243"/>
      <c r="G5" s="243"/>
      <c r="H5" s="243"/>
      <c r="I5" s="243"/>
      <c r="J5" s="243"/>
      <c r="K5" s="243"/>
      <c r="L5" s="243"/>
      <c r="M5" s="243"/>
      <c r="N5" s="243"/>
      <c r="O5" s="411"/>
      <c r="P5" s="409"/>
    </row>
    <row r="6" spans="1:16" x14ac:dyDescent="0.25">
      <c r="A6" s="409"/>
      <c r="B6" s="581"/>
      <c r="C6" s="576"/>
      <c r="D6" s="243"/>
      <c r="E6" s="243"/>
      <c r="F6" s="243"/>
      <c r="G6" s="243"/>
      <c r="H6" s="243"/>
      <c r="I6" s="243"/>
      <c r="J6" s="243"/>
      <c r="K6" s="243"/>
      <c r="L6" s="243"/>
      <c r="M6" s="243"/>
      <c r="N6" s="243"/>
      <c r="O6" s="411"/>
      <c r="P6" s="409"/>
    </row>
    <row r="7" spans="1:16" x14ac:dyDescent="0.25">
      <c r="A7" s="409"/>
      <c r="B7" s="581"/>
      <c r="C7" s="576"/>
      <c r="D7" s="243"/>
      <c r="E7" s="243"/>
      <c r="F7" s="243"/>
      <c r="G7" s="243"/>
      <c r="H7" s="243"/>
      <c r="I7" s="243"/>
      <c r="J7" s="243"/>
      <c r="K7" s="243"/>
      <c r="L7" s="243"/>
      <c r="M7" s="243"/>
      <c r="N7" s="243"/>
      <c r="O7" s="411"/>
      <c r="P7" s="409"/>
    </row>
    <row r="8" spans="1:16" x14ac:dyDescent="0.25">
      <c r="A8" s="409"/>
      <c r="B8" s="581"/>
      <c r="C8" s="576"/>
      <c r="D8" s="243"/>
      <c r="E8" s="243"/>
      <c r="F8" s="243"/>
      <c r="G8" s="243"/>
      <c r="H8" s="243"/>
      <c r="I8" s="243"/>
      <c r="J8" s="243"/>
      <c r="K8" s="243"/>
      <c r="L8" s="243"/>
      <c r="M8" s="243"/>
      <c r="N8" s="243"/>
      <c r="O8" s="411"/>
      <c r="P8" s="409"/>
    </row>
    <row r="9" spans="1:16" x14ac:dyDescent="0.25">
      <c r="A9" s="409"/>
      <c r="B9" s="581"/>
      <c r="C9" s="576"/>
      <c r="D9" s="243"/>
      <c r="E9" s="243"/>
      <c r="F9" s="243"/>
      <c r="G9" s="243"/>
      <c r="H9" s="243"/>
      <c r="I9" s="243"/>
      <c r="J9" s="243"/>
      <c r="K9" s="243"/>
      <c r="L9" s="243"/>
      <c r="M9" s="243"/>
      <c r="N9" s="243"/>
      <c r="O9" s="411"/>
      <c r="P9" s="409"/>
    </row>
    <row r="10" spans="1:16" x14ac:dyDescent="0.25">
      <c r="A10" s="409"/>
      <c r="B10" s="581"/>
      <c r="C10" s="576"/>
      <c r="D10" s="243"/>
      <c r="E10" s="243"/>
      <c r="F10" s="243"/>
      <c r="G10" s="243"/>
      <c r="H10" s="243"/>
      <c r="I10" s="243"/>
      <c r="J10" s="243"/>
      <c r="K10" s="243"/>
      <c r="L10" s="243"/>
      <c r="M10" s="243"/>
      <c r="N10" s="243"/>
      <c r="O10" s="411"/>
      <c r="P10" s="409"/>
    </row>
    <row r="11" spans="1:16" x14ac:dyDescent="0.25">
      <c r="A11" s="409"/>
      <c r="B11" s="581"/>
      <c r="C11" s="576"/>
      <c r="D11" s="243"/>
      <c r="E11" s="243"/>
      <c r="F11" s="243"/>
      <c r="G11" s="243"/>
      <c r="H11" s="243"/>
      <c r="I11" s="243"/>
      <c r="J11" s="243"/>
      <c r="K11" s="243"/>
      <c r="L11" s="243"/>
      <c r="M11" s="243"/>
      <c r="N11" s="243"/>
      <c r="O11" s="411"/>
      <c r="P11" s="409"/>
    </row>
    <row r="12" spans="1:16" x14ac:dyDescent="0.25">
      <c r="A12" s="409"/>
      <c r="B12" s="581"/>
      <c r="C12" s="576"/>
      <c r="D12" s="243"/>
      <c r="E12" s="243"/>
      <c r="F12" s="243"/>
      <c r="G12" s="243"/>
      <c r="H12" s="243"/>
      <c r="I12" s="243"/>
      <c r="J12" s="243"/>
      <c r="K12" s="243"/>
      <c r="L12" s="243"/>
      <c r="M12" s="243"/>
      <c r="N12" s="243"/>
      <c r="O12" s="411"/>
      <c r="P12" s="409"/>
    </row>
    <row r="13" spans="1:16" ht="12" customHeight="1" x14ac:dyDescent="0.4">
      <c r="A13" s="409"/>
      <c r="B13" s="581"/>
      <c r="C13" s="672"/>
      <c r="D13" s="673"/>
      <c r="E13" s="673"/>
      <c r="F13" s="673"/>
      <c r="G13" s="673"/>
      <c r="H13" s="673"/>
      <c r="I13" s="673"/>
      <c r="J13" s="673"/>
      <c r="K13" s="673"/>
      <c r="L13" s="673"/>
      <c r="M13" s="673"/>
      <c r="N13" s="673"/>
      <c r="O13" s="411"/>
      <c r="P13" s="409"/>
    </row>
    <row r="14" spans="1:16" hidden="1" x14ac:dyDescent="0.25">
      <c r="A14" s="409"/>
      <c r="B14" s="581"/>
      <c r="C14" s="576"/>
      <c r="D14" s="243"/>
      <c r="E14" s="243"/>
      <c r="F14" s="243"/>
      <c r="G14" s="243"/>
      <c r="H14" s="243"/>
      <c r="I14" s="243"/>
      <c r="J14" s="243"/>
      <c r="K14" s="243"/>
      <c r="L14" s="243"/>
      <c r="M14" s="243"/>
      <c r="N14" s="243"/>
      <c r="O14" s="411"/>
      <c r="P14" s="409"/>
    </row>
    <row r="15" spans="1:16" ht="27" customHeight="1" x14ac:dyDescent="0.4">
      <c r="A15" s="409"/>
      <c r="B15" s="581"/>
      <c r="C15" s="674" t="s">
        <v>543</v>
      </c>
      <c r="D15" s="674"/>
      <c r="E15" s="674"/>
      <c r="F15" s="674"/>
      <c r="G15" s="674"/>
      <c r="H15" s="674"/>
      <c r="I15" s="674"/>
      <c r="J15" s="674"/>
      <c r="K15" s="674"/>
      <c r="L15" s="674"/>
      <c r="M15" s="674"/>
      <c r="N15" s="674"/>
      <c r="O15" s="411"/>
      <c r="P15" s="409"/>
    </row>
    <row r="16" spans="1:16" ht="20.25" customHeight="1" x14ac:dyDescent="0.4">
      <c r="A16" s="409"/>
      <c r="B16" s="581"/>
      <c r="C16" s="672" t="s">
        <v>169</v>
      </c>
      <c r="D16" s="673"/>
      <c r="E16" s="673"/>
      <c r="F16" s="673"/>
      <c r="G16" s="673"/>
      <c r="H16" s="673"/>
      <c r="I16" s="673"/>
      <c r="J16" s="673"/>
      <c r="K16" s="673"/>
      <c r="L16" s="673"/>
      <c r="M16" s="673"/>
      <c r="N16" s="673"/>
      <c r="O16" s="411"/>
      <c r="P16" s="409"/>
    </row>
    <row r="17" spans="1:16" ht="15.75" customHeight="1" x14ac:dyDescent="0.25">
      <c r="A17" s="409"/>
      <c r="B17" s="581"/>
      <c r="C17" s="675" t="s">
        <v>389</v>
      </c>
      <c r="D17" s="675"/>
      <c r="E17" s="675"/>
      <c r="F17" s="675"/>
      <c r="G17" s="675"/>
      <c r="H17" s="675"/>
      <c r="I17" s="675"/>
      <c r="J17" s="675"/>
      <c r="K17" s="675"/>
      <c r="L17" s="675"/>
      <c r="M17" s="675"/>
      <c r="N17" s="675"/>
      <c r="O17" s="411"/>
      <c r="P17" s="409"/>
    </row>
    <row r="18" spans="1:16" ht="15" customHeight="1" x14ac:dyDescent="0.25">
      <c r="A18" s="409"/>
      <c r="B18" s="581"/>
      <c r="C18" s="675" t="s">
        <v>178</v>
      </c>
      <c r="D18" s="675"/>
      <c r="E18" s="675"/>
      <c r="F18" s="675"/>
      <c r="G18" s="675"/>
      <c r="H18" s="675"/>
      <c r="I18" s="675"/>
      <c r="J18" s="675"/>
      <c r="K18" s="675"/>
      <c r="L18" s="675"/>
      <c r="M18" s="675"/>
      <c r="N18" s="675"/>
      <c r="O18" s="411"/>
      <c r="P18" s="409"/>
    </row>
    <row r="19" spans="1:16" ht="19.5" customHeight="1" x14ac:dyDescent="0.25">
      <c r="A19" s="409"/>
      <c r="B19" s="581"/>
      <c r="C19" s="675" t="s">
        <v>170</v>
      </c>
      <c r="D19" s="675"/>
      <c r="E19" s="675"/>
      <c r="F19" s="675"/>
      <c r="G19" s="675"/>
      <c r="H19" s="675"/>
      <c r="I19" s="675"/>
      <c r="J19" s="675"/>
      <c r="K19" s="675"/>
      <c r="L19" s="675"/>
      <c r="M19" s="675"/>
      <c r="N19" s="675"/>
      <c r="O19" s="411"/>
      <c r="P19" s="409"/>
    </row>
    <row r="20" spans="1:16" ht="28.8" customHeight="1" x14ac:dyDescent="0.25">
      <c r="A20" s="409"/>
      <c r="B20" s="581"/>
      <c r="C20" s="675" t="s">
        <v>369</v>
      </c>
      <c r="D20" s="675"/>
      <c r="E20" s="675"/>
      <c r="F20" s="675"/>
      <c r="G20" s="675"/>
      <c r="H20" s="675"/>
      <c r="I20" s="675"/>
      <c r="J20" s="675"/>
      <c r="K20" s="675"/>
      <c r="L20" s="675"/>
      <c r="M20" s="675"/>
      <c r="N20" s="675"/>
      <c r="O20" s="411"/>
      <c r="P20" s="409"/>
    </row>
    <row r="21" spans="1:16" ht="99" customHeight="1" x14ac:dyDescent="0.25">
      <c r="A21" s="409"/>
      <c r="B21" s="581"/>
      <c r="C21" s="691" t="s">
        <v>930</v>
      </c>
      <c r="D21" s="691"/>
      <c r="E21" s="691"/>
      <c r="F21" s="691"/>
      <c r="G21" s="691"/>
      <c r="H21" s="691"/>
      <c r="I21" s="691"/>
      <c r="J21" s="692"/>
      <c r="K21" s="692"/>
      <c r="L21" s="692"/>
      <c r="M21" s="692"/>
      <c r="N21" s="692"/>
      <c r="O21" s="411"/>
      <c r="P21" s="409"/>
    </row>
    <row r="22" spans="1:16" ht="13.5" customHeight="1" x14ac:dyDescent="0.25">
      <c r="A22" s="412"/>
      <c r="B22" s="590"/>
      <c r="C22" s="577"/>
      <c r="D22" s="577"/>
      <c r="E22" s="577"/>
      <c r="F22" s="577"/>
      <c r="G22" s="577"/>
      <c r="H22" s="577"/>
      <c r="I22" s="577"/>
      <c r="J22" s="578"/>
      <c r="K22" s="578"/>
      <c r="L22" s="578"/>
      <c r="M22" s="578"/>
      <c r="N22" s="578"/>
      <c r="O22" s="411"/>
      <c r="P22" s="409"/>
    </row>
    <row r="23" spans="1:16" ht="23.4" x14ac:dyDescent="0.45">
      <c r="A23" s="412"/>
      <c r="B23" s="582"/>
      <c r="C23" s="591" t="s">
        <v>186</v>
      </c>
      <c r="D23" s="516"/>
      <c r="E23" s="517"/>
      <c r="F23" s="517"/>
      <c r="G23" s="517"/>
      <c r="H23" s="517"/>
      <c r="I23" s="517"/>
      <c r="J23" s="514"/>
      <c r="K23" s="514"/>
      <c r="L23" s="514"/>
      <c r="M23" s="514"/>
      <c r="N23" s="514"/>
      <c r="O23" s="515"/>
    </row>
    <row r="24" spans="1:16" x14ac:dyDescent="0.25">
      <c r="A24" s="409"/>
      <c r="B24" s="581"/>
      <c r="C24" s="513" t="s">
        <v>183</v>
      </c>
      <c r="D24" s="513"/>
      <c r="E24" s="513"/>
      <c r="F24" s="513"/>
      <c r="G24" s="513"/>
      <c r="H24" s="513"/>
      <c r="I24" s="513"/>
      <c r="J24" s="428"/>
      <c r="K24" s="428"/>
      <c r="L24" s="428"/>
      <c r="M24" s="428"/>
      <c r="N24" s="428"/>
      <c r="O24" s="411"/>
    </row>
    <row r="25" spans="1:16" x14ac:dyDescent="0.25">
      <c r="A25" s="409"/>
      <c r="B25" s="581"/>
      <c r="C25" s="513"/>
      <c r="D25" s="513"/>
      <c r="E25" s="513"/>
      <c r="F25" s="513"/>
      <c r="G25" s="513"/>
      <c r="H25" s="513"/>
      <c r="I25" s="513"/>
      <c r="J25" s="428"/>
      <c r="K25" s="428"/>
      <c r="L25" s="428"/>
      <c r="M25" s="428"/>
      <c r="N25" s="428"/>
      <c r="O25" s="411"/>
    </row>
    <row r="26" spans="1:16" ht="14.4" x14ac:dyDescent="0.3">
      <c r="A26" s="409"/>
      <c r="B26" s="581"/>
      <c r="C26" s="585" t="s">
        <v>184</v>
      </c>
      <c r="D26" s="518"/>
      <c r="E26" s="518"/>
      <c r="F26" s="518"/>
      <c r="G26" s="518"/>
      <c r="H26" s="518"/>
      <c r="I26" s="428"/>
      <c r="J26" s="661"/>
      <c r="K26" s="427"/>
      <c r="L26" s="519"/>
      <c r="M26" s="428"/>
      <c r="N26" s="428"/>
      <c r="O26" s="411"/>
    </row>
    <row r="27" spans="1:16" ht="14.4" x14ac:dyDescent="0.3">
      <c r="A27" s="409"/>
      <c r="B27" s="581"/>
      <c r="C27" s="585"/>
      <c r="D27" s="518"/>
      <c r="E27" s="518"/>
      <c r="F27" s="518"/>
      <c r="G27" s="518"/>
      <c r="H27" s="518"/>
      <c r="I27" s="428"/>
      <c r="J27" s="427"/>
      <c r="K27" s="427"/>
      <c r="L27" s="428"/>
      <c r="M27" s="428"/>
      <c r="N27" s="428"/>
      <c r="O27" s="411"/>
    </row>
    <row r="28" spans="1:16" ht="14.4" x14ac:dyDescent="0.3">
      <c r="A28" s="409"/>
      <c r="B28" s="581"/>
      <c r="C28" s="585" t="s">
        <v>487</v>
      </c>
      <c r="D28" s="518"/>
      <c r="E28" s="518"/>
      <c r="F28" s="518"/>
      <c r="G28" s="518"/>
      <c r="H28" s="518"/>
      <c r="I28" s="428"/>
      <c r="J28" s="693"/>
      <c r="K28" s="693"/>
      <c r="L28" s="428"/>
      <c r="M28" s="428"/>
      <c r="N28" s="428"/>
      <c r="O28" s="411"/>
    </row>
    <row r="29" spans="1:16" ht="14.4" x14ac:dyDescent="0.3">
      <c r="A29" s="409"/>
      <c r="B29" s="581"/>
      <c r="C29" s="585"/>
      <c r="D29" s="518"/>
      <c r="E29" s="518"/>
      <c r="F29" s="518"/>
      <c r="G29" s="518"/>
      <c r="H29" s="518"/>
      <c r="I29" s="428"/>
      <c r="J29" s="495"/>
      <c r="K29" s="427"/>
      <c r="L29" s="428"/>
      <c r="M29" s="428"/>
      <c r="N29" s="428"/>
      <c r="O29" s="411"/>
    </row>
    <row r="30" spans="1:16" ht="14.4" x14ac:dyDescent="0.3">
      <c r="A30" s="409"/>
      <c r="B30" s="581"/>
      <c r="C30" s="585" t="s">
        <v>484</v>
      </c>
      <c r="D30" s="518"/>
      <c r="E30" s="518"/>
      <c r="F30" s="518"/>
      <c r="G30" s="518"/>
      <c r="H30" s="518"/>
      <c r="I30" s="428"/>
      <c r="J30" s="661"/>
      <c r="K30" s="427"/>
      <c r="L30" s="414" t="s">
        <v>177</v>
      </c>
      <c r="M30" s="428"/>
      <c r="N30" s="428"/>
      <c r="O30" s="411"/>
    </row>
    <row r="31" spans="1:16" ht="14.4" x14ac:dyDescent="0.3">
      <c r="A31" s="409"/>
      <c r="B31" s="581"/>
      <c r="C31" s="585"/>
      <c r="D31" s="518"/>
      <c r="E31" s="518"/>
      <c r="F31" s="518"/>
      <c r="G31" s="518"/>
      <c r="H31" s="518"/>
      <c r="I31" s="428"/>
      <c r="J31" s="427"/>
      <c r="K31" s="427"/>
      <c r="L31" s="428"/>
      <c r="M31" s="428"/>
      <c r="N31" s="428"/>
      <c r="O31" s="411"/>
    </row>
    <row r="32" spans="1:16" ht="14.4" x14ac:dyDescent="0.3">
      <c r="A32" s="409"/>
      <c r="B32" s="581"/>
      <c r="C32" s="585" t="str">
        <f>IF(DJS&gt;=NewSchDate,"4. The scheme you entered upon joining","4. The scheme you were in prior to 1 April 2015 (Choose from the list in the box)")</f>
        <v>4. The scheme you were in prior to 1 April 2015 (Choose from the list in the box)</v>
      </c>
      <c r="D32" s="518"/>
      <c r="E32" s="518"/>
      <c r="F32" s="518"/>
      <c r="G32" s="518"/>
      <c r="H32" s="518"/>
      <c r="I32" s="428"/>
      <c r="J32" s="594"/>
      <c r="K32" s="427"/>
      <c r="L32" s="414" t="s">
        <v>177</v>
      </c>
      <c r="M32" s="428"/>
      <c r="N32" s="428"/>
      <c r="O32" s="411"/>
    </row>
    <row r="33" spans="1:15" ht="14.4" x14ac:dyDescent="0.3">
      <c r="A33" s="409"/>
      <c r="B33" s="581"/>
      <c r="C33" s="585"/>
      <c r="D33" s="518"/>
      <c r="E33" s="518"/>
      <c r="F33" s="518"/>
      <c r="G33" s="518"/>
      <c r="H33" s="518"/>
      <c r="I33" s="428"/>
      <c r="J33" s="427"/>
      <c r="K33" s="427"/>
      <c r="L33" s="428"/>
      <c r="M33" s="428"/>
      <c r="N33" s="428"/>
      <c r="O33" s="411"/>
    </row>
    <row r="34" spans="1:15" ht="14.4" x14ac:dyDescent="0.3">
      <c r="A34" s="409"/>
      <c r="B34" s="581"/>
      <c r="C34" s="585" t="s">
        <v>574</v>
      </c>
      <c r="D34" s="518"/>
      <c r="E34" s="518"/>
      <c r="F34" s="518"/>
      <c r="G34" s="518"/>
      <c r="H34" s="518"/>
      <c r="I34" s="428"/>
      <c r="J34" s="595">
        <v>0</v>
      </c>
      <c r="K34" s="427" t="s">
        <v>66</v>
      </c>
      <c r="L34" s="414" t="s">
        <v>177</v>
      </c>
      <c r="M34" s="428"/>
      <c r="N34" s="511"/>
      <c r="O34" s="411"/>
    </row>
    <row r="35" spans="1:15" ht="14.4" x14ac:dyDescent="0.3">
      <c r="A35" s="409"/>
      <c r="B35" s="581"/>
      <c r="C35" s="585"/>
      <c r="D35" s="518"/>
      <c r="E35" s="518"/>
      <c r="F35" s="518"/>
      <c r="G35" s="518"/>
      <c r="H35" s="518"/>
      <c r="I35" s="428"/>
      <c r="J35" s="595">
        <v>0</v>
      </c>
      <c r="K35" s="427" t="s">
        <v>69</v>
      </c>
      <c r="L35" s="427"/>
      <c r="M35" s="428"/>
      <c r="N35" s="428"/>
      <c r="O35" s="411"/>
    </row>
    <row r="36" spans="1:15" ht="14.4" x14ac:dyDescent="0.3">
      <c r="A36" s="409"/>
      <c r="B36" s="581"/>
      <c r="C36" s="585"/>
      <c r="D36" s="518"/>
      <c r="E36" s="518"/>
      <c r="F36" s="518"/>
      <c r="G36" s="518"/>
      <c r="H36" s="518"/>
      <c r="I36" s="428"/>
      <c r="J36" s="427"/>
      <c r="K36" s="427"/>
      <c r="L36" s="428"/>
      <c r="M36" s="428"/>
      <c r="N36" s="428"/>
      <c r="O36" s="411"/>
    </row>
    <row r="37" spans="1:15" ht="14.4" x14ac:dyDescent="0.3">
      <c r="A37" s="409"/>
      <c r="B37" s="581"/>
      <c r="C37" s="585" t="s">
        <v>575</v>
      </c>
      <c r="D37" s="518"/>
      <c r="E37" s="511"/>
      <c r="F37" s="518"/>
      <c r="G37" s="518"/>
      <c r="H37" s="518"/>
      <c r="I37" s="428"/>
      <c r="J37" s="596"/>
      <c r="K37" s="427"/>
      <c r="L37" s="428"/>
      <c r="M37" s="428"/>
      <c r="N37" s="428"/>
      <c r="O37" s="411"/>
    </row>
    <row r="38" spans="1:15" ht="14.4" x14ac:dyDescent="0.3">
      <c r="A38" s="409"/>
      <c r="B38" s="581"/>
      <c r="C38" s="585"/>
      <c r="D38" s="518"/>
      <c r="E38" s="518"/>
      <c r="F38" s="518"/>
      <c r="G38" s="518"/>
      <c r="H38" s="520"/>
      <c r="I38" s="500"/>
      <c r="J38" s="502"/>
      <c r="K38" s="502"/>
      <c r="L38" s="500"/>
      <c r="M38" s="500"/>
      <c r="N38" s="500"/>
      <c r="O38" s="411"/>
    </row>
    <row r="39" spans="1:15" ht="14.4" x14ac:dyDescent="0.3">
      <c r="A39" s="409"/>
      <c r="B39" s="581"/>
      <c r="C39" s="585" t="str">
        <f>IF(PT_Status="Full-time","9",IF(AND(Scheme_Full="2015 Scheme",PT_Status="Part-time"),"10","13"))&amp;". Retirement date for illustration (dd/mm/yyyy)"</f>
        <v>9. Retirement date for illustration (dd/mm/yyyy)</v>
      </c>
      <c r="D39" s="518"/>
      <c r="E39" s="518"/>
      <c r="F39" s="518"/>
      <c r="G39" s="518"/>
      <c r="H39" s="520"/>
      <c r="I39" s="500"/>
      <c r="J39" s="660"/>
      <c r="K39" s="502"/>
      <c r="L39" s="414" t="s">
        <v>177</v>
      </c>
      <c r="M39" s="428"/>
      <c r="N39" s="428"/>
      <c r="O39" s="411"/>
    </row>
    <row r="40" spans="1:15" ht="14.4" x14ac:dyDescent="0.3">
      <c r="A40" s="409"/>
      <c r="B40" s="581"/>
      <c r="C40" s="585"/>
      <c r="D40" s="518"/>
      <c r="E40" s="518"/>
      <c r="F40" s="518"/>
      <c r="G40" s="518"/>
      <c r="H40" s="520"/>
      <c r="I40" s="500"/>
      <c r="J40" s="502"/>
      <c r="K40" s="502"/>
      <c r="L40" s="500"/>
      <c r="M40" s="500"/>
      <c r="N40" s="500"/>
      <c r="O40" s="411"/>
    </row>
    <row r="41" spans="1:15" ht="14.4" x14ac:dyDescent="0.3">
      <c r="A41" s="409"/>
      <c r="B41" s="581"/>
      <c r="C41" s="585" t="s">
        <v>593</v>
      </c>
      <c r="D41" s="518"/>
      <c r="E41" s="518"/>
      <c r="F41" s="518"/>
      <c r="G41" s="518"/>
      <c r="H41" s="520"/>
      <c r="I41" s="500"/>
      <c r="J41" s="496"/>
      <c r="K41" s="521" t="str">
        <f>IF(Parameters!B126,"Yes - input below","No - it will be approximated in the projection calculations")</f>
        <v>No - it will be approximated in the projection calculations</v>
      </c>
      <c r="L41" s="500"/>
      <c r="M41" s="500"/>
      <c r="N41" s="500"/>
      <c r="O41" s="411"/>
    </row>
    <row r="42" spans="1:15" ht="14.4" x14ac:dyDescent="0.3">
      <c r="A42" s="409"/>
      <c r="B42" s="581"/>
      <c r="C42" s="585"/>
      <c r="D42" s="518"/>
      <c r="E42" s="518"/>
      <c r="F42" s="518"/>
      <c r="G42" s="518"/>
      <c r="H42" s="520"/>
      <c r="I42" s="500"/>
      <c r="J42" s="500"/>
      <c r="K42" s="500"/>
      <c r="L42" s="560"/>
      <c r="M42" s="522"/>
      <c r="N42" s="500"/>
      <c r="O42" s="411"/>
    </row>
    <row r="43" spans="1:15" ht="14.4" x14ac:dyDescent="0.3">
      <c r="A43" s="409"/>
      <c r="B43" s="581"/>
      <c r="C43" s="585"/>
      <c r="D43" s="518"/>
      <c r="E43" s="518"/>
      <c r="F43" s="518"/>
      <c r="G43" s="518"/>
      <c r="H43" s="564" t="s">
        <v>679</v>
      </c>
      <c r="I43" s="565" t="s">
        <v>680</v>
      </c>
      <c r="J43" s="597">
        <v>2020</v>
      </c>
      <c r="K43" s="561"/>
      <c r="L43" s="563" t="s">
        <v>255</v>
      </c>
      <c r="M43" s="598"/>
      <c r="N43" s="562" t="s">
        <v>177</v>
      </c>
      <c r="O43" s="523"/>
    </row>
    <row r="44" spans="1:15" ht="14.4" x14ac:dyDescent="0.3">
      <c r="A44" s="409"/>
      <c r="B44" s="581"/>
      <c r="C44" s="585"/>
      <c r="D44" s="518"/>
      <c r="E44" s="518"/>
      <c r="F44" s="518"/>
      <c r="G44" s="518"/>
      <c r="H44" s="518"/>
      <c r="I44" s="547"/>
      <c r="J44" s="522"/>
      <c r="K44" s="427"/>
      <c r="L44" s="524"/>
      <c r="M44" s="428"/>
      <c r="N44" s="428"/>
      <c r="O44" s="411"/>
    </row>
    <row r="45" spans="1:15" ht="14.4" x14ac:dyDescent="0.3">
      <c r="A45" s="409"/>
      <c r="B45" s="581"/>
      <c r="C45" s="585" t="s">
        <v>594</v>
      </c>
      <c r="D45" s="518"/>
      <c r="E45" s="518"/>
      <c r="F45" s="518"/>
      <c r="G45" s="518"/>
      <c r="H45" s="518"/>
      <c r="I45" s="428"/>
      <c r="J45" s="595" t="s">
        <v>221</v>
      </c>
      <c r="K45" s="427"/>
      <c r="L45" s="414" t="s">
        <v>177</v>
      </c>
      <c r="M45" s="428"/>
      <c r="N45" s="428"/>
      <c r="O45" s="411"/>
    </row>
    <row r="46" spans="1:15" ht="14.4" x14ac:dyDescent="0.3">
      <c r="A46" s="409"/>
      <c r="B46" s="581"/>
      <c r="C46" s="585"/>
      <c r="D46" s="518"/>
      <c r="E46" s="518"/>
      <c r="F46" s="518"/>
      <c r="G46" s="518"/>
      <c r="H46" s="518"/>
      <c r="I46" s="428"/>
      <c r="J46" s="522"/>
      <c r="K46" s="427"/>
      <c r="L46" s="524"/>
      <c r="M46" s="428"/>
      <c r="N46" s="428"/>
      <c r="O46" s="411"/>
    </row>
    <row r="47" spans="1:15" ht="14.4" x14ac:dyDescent="0.3">
      <c r="A47" s="409"/>
      <c r="B47" s="581"/>
      <c r="C47" s="585" t="s">
        <v>595</v>
      </c>
      <c r="D47" s="518"/>
      <c r="E47" s="518"/>
      <c r="F47" s="518"/>
      <c r="G47" s="518"/>
      <c r="H47" s="518"/>
      <c r="I47" s="428"/>
      <c r="J47" s="599">
        <v>1</v>
      </c>
      <c r="K47" s="427"/>
      <c r="L47" s="414" t="s">
        <v>177</v>
      </c>
      <c r="M47" s="428"/>
      <c r="N47" s="428"/>
      <c r="O47" s="411"/>
    </row>
    <row r="48" spans="1:15" ht="14.4" x14ac:dyDescent="0.3">
      <c r="A48" s="409"/>
      <c r="B48" s="581"/>
      <c r="C48" s="585"/>
      <c r="D48" s="518"/>
      <c r="E48" s="518"/>
      <c r="F48" s="518"/>
      <c r="G48" s="518"/>
      <c r="H48" s="518"/>
      <c r="I48" s="428"/>
      <c r="J48" s="525"/>
      <c r="K48" s="427"/>
      <c r="L48" s="526"/>
      <c r="M48" s="428"/>
      <c r="N48" s="428"/>
      <c r="O48" s="411"/>
    </row>
    <row r="49" spans="1:15" ht="14.4" x14ac:dyDescent="0.3">
      <c r="A49" s="409"/>
      <c r="B49" s="581"/>
      <c r="C49" s="585" t="s">
        <v>237</v>
      </c>
      <c r="D49" s="518"/>
      <c r="E49" s="518"/>
      <c r="F49" s="518"/>
      <c r="G49" s="518"/>
      <c r="H49" s="518"/>
      <c r="I49" s="428"/>
      <c r="J49" s="522"/>
      <c r="K49" s="427"/>
      <c r="L49" s="524"/>
      <c r="M49" s="428"/>
      <c r="N49" s="428"/>
      <c r="O49" s="411"/>
    </row>
    <row r="50" spans="1:15" ht="14.4" x14ac:dyDescent="0.3">
      <c r="A50" s="409"/>
      <c r="B50" s="581"/>
      <c r="C50" s="585"/>
      <c r="D50" s="518"/>
      <c r="E50" s="518"/>
      <c r="F50" s="518"/>
      <c r="G50" s="518"/>
      <c r="H50" s="518"/>
      <c r="I50" s="428"/>
      <c r="J50" s="522"/>
      <c r="K50" s="427"/>
      <c r="L50" s="524"/>
      <c r="M50" s="428"/>
      <c r="N50" s="428"/>
      <c r="O50" s="411"/>
    </row>
    <row r="51" spans="1:15" ht="14.4" x14ac:dyDescent="0.3">
      <c r="A51" s="409"/>
      <c r="B51" s="581"/>
      <c r="C51" s="425" t="s">
        <v>596</v>
      </c>
      <c r="D51" s="518"/>
      <c r="E51" s="518"/>
      <c r="F51" s="518"/>
      <c r="G51" s="518"/>
      <c r="H51" s="518"/>
      <c r="I51" s="650">
        <v>43555</v>
      </c>
      <c r="J51" s="601">
        <v>2020</v>
      </c>
      <c r="K51" s="427"/>
      <c r="L51" s="524"/>
      <c r="M51" s="428"/>
      <c r="N51" s="428"/>
      <c r="O51" s="411"/>
    </row>
    <row r="52" spans="1:15" ht="14.4" x14ac:dyDescent="0.3">
      <c r="A52" s="409"/>
      <c r="B52" s="581"/>
      <c r="C52" s="585"/>
      <c r="D52" s="518"/>
      <c r="E52" s="518"/>
      <c r="F52" s="518"/>
      <c r="G52" s="518"/>
      <c r="H52" s="518"/>
      <c r="I52" s="428"/>
      <c r="J52" s="522"/>
      <c r="K52" s="427"/>
      <c r="L52" s="524"/>
      <c r="M52" s="428"/>
      <c r="N52" s="428"/>
      <c r="O52" s="411"/>
    </row>
    <row r="53" spans="1:15" ht="14.4" x14ac:dyDescent="0.3">
      <c r="A53" s="409"/>
      <c r="B53" s="581"/>
      <c r="C53" s="585" t="s">
        <v>597</v>
      </c>
      <c r="D53" s="518"/>
      <c r="E53" s="518"/>
      <c r="F53" s="518"/>
      <c r="G53" s="518"/>
      <c r="H53" s="518"/>
      <c r="I53" s="427"/>
      <c r="J53" s="595">
        <v>0</v>
      </c>
      <c r="K53" s="427" t="s">
        <v>66</v>
      </c>
      <c r="L53" s="414" t="s">
        <v>177</v>
      </c>
      <c r="M53" s="428"/>
      <c r="N53" s="428"/>
      <c r="O53" s="411"/>
    </row>
    <row r="54" spans="1:15" ht="14.4" x14ac:dyDescent="0.3">
      <c r="A54" s="409"/>
      <c r="B54" s="581"/>
      <c r="C54" s="585"/>
      <c r="D54" s="518"/>
      <c r="E54" s="518"/>
      <c r="F54" s="518"/>
      <c r="G54" s="518"/>
      <c r="H54" s="518"/>
      <c r="I54" s="427"/>
      <c r="J54" s="595">
        <v>0</v>
      </c>
      <c r="K54" s="427" t="s">
        <v>69</v>
      </c>
      <c r="L54" s="524"/>
      <c r="M54" s="428"/>
      <c r="N54" s="428"/>
      <c r="O54" s="411"/>
    </row>
    <row r="55" spans="1:15" ht="14.4" x14ac:dyDescent="0.3">
      <c r="A55" s="409"/>
      <c r="B55" s="581"/>
      <c r="C55" s="585"/>
      <c r="D55" s="518"/>
      <c r="E55" s="518"/>
      <c r="F55" s="518"/>
      <c r="G55" s="518"/>
      <c r="H55" s="518"/>
      <c r="I55" s="428"/>
      <c r="J55" s="527"/>
      <c r="K55" s="428"/>
      <c r="L55" s="524"/>
      <c r="M55" s="428"/>
      <c r="N55" s="428"/>
      <c r="O55" s="411"/>
    </row>
    <row r="56" spans="1:15" ht="14.4" x14ac:dyDescent="0.3">
      <c r="A56" s="409"/>
      <c r="B56" s="581"/>
      <c r="C56" s="425" t="str">
        <f>IF(PT_Status="Full-time","",IF(Scheme_Full="2015 Scheme","","12. If you had a career break that ended before 1 April 2015, how long was it?"))</f>
        <v/>
      </c>
      <c r="D56" s="425"/>
      <c r="E56" s="425"/>
      <c r="F56" s="425"/>
      <c r="G56" s="425"/>
      <c r="H56" s="425"/>
      <c r="I56" s="426"/>
      <c r="J56" s="600">
        <v>0</v>
      </c>
      <c r="K56" s="427" t="s">
        <v>66</v>
      </c>
      <c r="L56" s="414" t="s">
        <v>177</v>
      </c>
      <c r="M56" s="428"/>
      <c r="N56" s="428"/>
      <c r="O56" s="411"/>
    </row>
    <row r="57" spans="1:15" ht="13.8" x14ac:dyDescent="0.25">
      <c r="A57" s="409"/>
      <c r="B57" s="581"/>
      <c r="C57" s="425"/>
      <c r="D57" s="425"/>
      <c r="E57" s="425"/>
      <c r="F57" s="425"/>
      <c r="G57" s="425"/>
      <c r="H57" s="425"/>
      <c r="I57" s="426"/>
      <c r="J57" s="600">
        <v>0</v>
      </c>
      <c r="K57" s="427" t="s">
        <v>69</v>
      </c>
      <c r="L57" s="428"/>
      <c r="M57" s="428"/>
      <c r="N57" s="428"/>
      <c r="O57" s="411"/>
    </row>
    <row r="58" spans="1:15" ht="13.8" x14ac:dyDescent="0.25">
      <c r="A58" s="409"/>
      <c r="B58" s="581"/>
      <c r="C58" s="425"/>
      <c r="D58" s="425"/>
      <c r="E58" s="425"/>
      <c r="F58" s="425"/>
      <c r="G58" s="425"/>
      <c r="H58" s="425"/>
      <c r="I58" s="426"/>
      <c r="J58" s="535"/>
      <c r="K58" s="427"/>
      <c r="L58" s="428"/>
      <c r="M58" s="428"/>
      <c r="N58" s="428"/>
      <c r="O58" s="411"/>
    </row>
    <row r="59" spans="1:15" ht="13.8" x14ac:dyDescent="0.25">
      <c r="B59" s="583"/>
      <c r="C59" s="425"/>
      <c r="D59" s="425"/>
      <c r="E59" s="425"/>
      <c r="F59" s="425"/>
      <c r="G59" s="425"/>
      <c r="H59" s="425"/>
      <c r="I59" s="425"/>
      <c r="J59" s="425"/>
      <c r="K59" s="425"/>
      <c r="L59" s="425"/>
      <c r="M59" s="425"/>
      <c r="N59" s="425"/>
      <c r="O59" s="411"/>
    </row>
    <row r="60" spans="1:15" ht="14.4" x14ac:dyDescent="0.3">
      <c r="A60" s="409"/>
      <c r="B60" s="584"/>
      <c r="C60" s="592"/>
      <c r="D60" s="528"/>
      <c r="E60" s="528"/>
      <c r="F60" s="528"/>
      <c r="G60" s="528"/>
      <c r="H60" s="528"/>
      <c r="I60" s="501"/>
      <c r="J60" s="529"/>
      <c r="K60" s="501"/>
      <c r="L60" s="530"/>
      <c r="M60" s="501"/>
      <c r="N60" s="501"/>
      <c r="O60" s="413"/>
    </row>
    <row r="61" spans="1:15" ht="22.8" x14ac:dyDescent="0.4">
      <c r="A61" s="412"/>
      <c r="B61" s="582"/>
      <c r="C61" s="593" t="s">
        <v>179</v>
      </c>
      <c r="D61" s="517"/>
      <c r="E61" s="517"/>
      <c r="F61" s="517"/>
      <c r="G61" s="517"/>
      <c r="H61" s="517"/>
      <c r="I61" s="517"/>
      <c r="J61" s="514"/>
      <c r="K61" s="514"/>
      <c r="L61" s="514"/>
      <c r="M61" s="514"/>
      <c r="N61" s="514"/>
      <c r="O61" s="515"/>
    </row>
    <row r="62" spans="1:15" ht="22.8" x14ac:dyDescent="0.4">
      <c r="A62" s="412"/>
      <c r="B62" s="590"/>
      <c r="C62" s="586"/>
      <c r="D62" s="513"/>
      <c r="E62" s="513"/>
      <c r="F62" s="513"/>
      <c r="G62" s="513"/>
      <c r="H62" s="513"/>
      <c r="I62" s="513"/>
      <c r="J62" s="428"/>
      <c r="K62" s="428"/>
      <c r="L62" s="428"/>
      <c r="M62" s="428"/>
      <c r="N62" s="428"/>
      <c r="O62" s="411"/>
    </row>
    <row r="63" spans="1:15" ht="18.75" customHeight="1" x14ac:dyDescent="0.25">
      <c r="A63" s="412"/>
      <c r="B63" s="590"/>
      <c r="C63" s="659" t="str">
        <f>IF(AND(Form_Check=TRUE, Form_Check2=TRUE, Form_Check3=TRUE),IF('FPS and NFPS calcs'!F24="Tapered","Date of entering the 2015 scheme: ","")&amp;IF('FPS and NFPS calcs'!F24="Tapered",IF(DJS&gt;=NewSchDate,TEXT(DJS,"d mmmm yyyy"),VLOOKUP('FPS and NFPS calcs'!F24,$C$179:$E$181,3,FALSE)),""),"Insufficient data supplied, please fill in rest of form")</f>
        <v>Insufficient data supplied, please fill in rest of form</v>
      </c>
      <c r="D63" s="513"/>
      <c r="E63" s="513"/>
      <c r="F63" s="513"/>
      <c r="G63" s="513"/>
      <c r="H63" s="513"/>
      <c r="I63" s="513"/>
      <c r="J63" s="427"/>
      <c r="K63" s="427"/>
      <c r="L63" s="427"/>
      <c r="M63" s="427"/>
      <c r="N63" s="427"/>
      <c r="O63" s="523"/>
    </row>
    <row r="64" spans="1:15" ht="8.25" customHeight="1" x14ac:dyDescent="0.4">
      <c r="A64" s="412"/>
      <c r="B64" s="590"/>
      <c r="C64" s="586"/>
      <c r="D64" s="513"/>
      <c r="E64" s="513"/>
      <c r="F64" s="513"/>
      <c r="G64" s="513"/>
      <c r="H64" s="513"/>
      <c r="I64" s="513"/>
      <c r="J64" s="427"/>
      <c r="K64" s="427"/>
      <c r="L64" s="427"/>
      <c r="M64" s="427"/>
      <c r="N64" s="427"/>
      <c r="O64" s="531"/>
    </row>
    <row r="65" spans="1:15" ht="17.399999999999999" x14ac:dyDescent="0.3">
      <c r="A65" s="409"/>
      <c r="B65" s="581"/>
      <c r="C65" s="587" t="s">
        <v>157</v>
      </c>
      <c r="D65" s="498"/>
      <c r="E65" s="498"/>
      <c r="F65" s="498"/>
      <c r="G65" s="498"/>
      <c r="H65" s="498"/>
      <c r="I65" s="502"/>
      <c r="J65" s="502"/>
      <c r="K65" s="502"/>
      <c r="L65" s="502"/>
      <c r="M65" s="502"/>
      <c r="N65" s="427"/>
      <c r="O65" s="531"/>
    </row>
    <row r="66" spans="1:15" ht="13.8" x14ac:dyDescent="0.25">
      <c r="A66" s="409"/>
      <c r="B66" s="581"/>
      <c r="C66" s="502"/>
      <c r="D66" s="502"/>
      <c r="E66" s="502"/>
      <c r="F66" s="502"/>
      <c r="G66" s="502"/>
      <c r="H66" s="502"/>
      <c r="I66" s="502"/>
      <c r="J66" s="502"/>
      <c r="K66" s="502"/>
      <c r="L66" s="502"/>
      <c r="M66" s="502"/>
      <c r="N66" s="427"/>
      <c r="O66" s="531"/>
    </row>
    <row r="67" spans="1:15" ht="13.8" x14ac:dyDescent="0.25">
      <c r="A67" s="409"/>
      <c r="B67" s="581"/>
      <c r="C67" s="502" t="s">
        <v>301</v>
      </c>
      <c r="D67" s="502"/>
      <c r="E67" s="502"/>
      <c r="F67" s="502"/>
      <c r="G67" s="502"/>
      <c r="H67" s="502"/>
      <c r="I67" s="503">
        <f>Summary!D37</f>
        <v>0</v>
      </c>
      <c r="J67" s="502"/>
      <c r="K67" s="502"/>
      <c r="L67" s="502"/>
      <c r="M67" s="502"/>
      <c r="N67" s="427"/>
      <c r="O67" s="531"/>
    </row>
    <row r="68" spans="1:15" ht="13.8" x14ac:dyDescent="0.25">
      <c r="A68" s="409"/>
      <c r="B68" s="581"/>
      <c r="C68" s="502" t="s">
        <v>588</v>
      </c>
      <c r="D68" s="502"/>
      <c r="E68" s="502"/>
      <c r="F68" s="502"/>
      <c r="G68" s="502"/>
      <c r="H68" s="502"/>
      <c r="I68" s="544" t="e">
        <f>'FPS and NFPS calcs'!F45</f>
        <v>#N/A</v>
      </c>
      <c r="J68" s="502"/>
      <c r="K68" s="502"/>
      <c r="L68" s="502"/>
      <c r="M68" s="502"/>
      <c r="N68" s="427"/>
      <c r="O68" s="531"/>
    </row>
    <row r="69" spans="1:15" ht="13.8" x14ac:dyDescent="0.25">
      <c r="A69" s="409"/>
      <c r="B69" s="581"/>
      <c r="C69" s="502"/>
      <c r="D69" s="502"/>
      <c r="E69" s="502"/>
      <c r="F69" s="502"/>
      <c r="G69" s="502"/>
      <c r="H69" s="502"/>
      <c r="I69" s="502"/>
      <c r="J69" s="502"/>
      <c r="K69" s="502"/>
      <c r="L69" s="502"/>
      <c r="M69" s="502"/>
      <c r="N69" s="427"/>
      <c r="O69" s="531"/>
    </row>
    <row r="70" spans="1:15" ht="13.8" x14ac:dyDescent="0.25">
      <c r="A70" s="409"/>
      <c r="B70" s="581"/>
      <c r="C70" s="502"/>
      <c r="D70" s="502"/>
      <c r="E70" s="502"/>
      <c r="F70" s="502"/>
      <c r="G70" s="502"/>
      <c r="H70" s="502"/>
      <c r="I70" s="687" t="s">
        <v>394</v>
      </c>
      <c r="J70" s="687"/>
      <c r="K70" s="687"/>
      <c r="L70" s="687"/>
      <c r="M70" s="687"/>
      <c r="N70" s="427"/>
      <c r="O70" s="531"/>
    </row>
    <row r="71" spans="1:15" ht="13.8" x14ac:dyDescent="0.25">
      <c r="A71" s="409"/>
      <c r="B71" s="581"/>
      <c r="C71" s="502"/>
      <c r="D71" s="502"/>
      <c r="E71" s="502"/>
      <c r="F71" s="502"/>
      <c r="G71" s="502"/>
      <c r="H71" s="502"/>
      <c r="I71" s="504" t="s">
        <v>393</v>
      </c>
      <c r="J71" s="505"/>
      <c r="K71" s="504" t="s">
        <v>395</v>
      </c>
      <c r="L71" s="505"/>
      <c r="M71" s="504" t="s">
        <v>396</v>
      </c>
      <c r="N71" s="427"/>
      <c r="O71" s="531"/>
    </row>
    <row r="72" spans="1:15" ht="33" customHeight="1" x14ac:dyDescent="0.25">
      <c r="A72" s="409"/>
      <c r="B72" s="581"/>
      <c r="C72" s="588" t="s">
        <v>417</v>
      </c>
      <c r="D72" s="502"/>
      <c r="E72" s="502"/>
      <c r="F72" s="502"/>
      <c r="G72" s="502"/>
      <c r="H72" s="502"/>
      <c r="I72" s="506"/>
      <c r="J72" s="507"/>
      <c r="K72" s="506"/>
      <c r="L72" s="507"/>
      <c r="M72" s="506"/>
      <c r="N72" s="427"/>
      <c r="O72" s="531"/>
    </row>
    <row r="73" spans="1:15" ht="16.8" x14ac:dyDescent="0.3">
      <c r="A73" s="428"/>
      <c r="B73" s="581"/>
      <c r="C73" s="589" t="s">
        <v>406</v>
      </c>
      <c r="D73" s="502"/>
      <c r="E73" s="502"/>
      <c r="F73" s="502"/>
      <c r="G73" s="502"/>
      <c r="H73" s="502"/>
      <c r="I73" s="502"/>
      <c r="J73" s="502"/>
      <c r="K73" s="502"/>
      <c r="L73" s="502"/>
      <c r="M73" s="502"/>
      <c r="N73" s="427"/>
      <c r="O73" s="531"/>
    </row>
    <row r="74" spans="1:15" ht="13.8" x14ac:dyDescent="0.25">
      <c r="A74" s="428"/>
      <c r="B74" s="581"/>
      <c r="C74" s="502" t="str">
        <f>Scheme_Full&amp;" pension"</f>
        <v xml:space="preserve"> pension</v>
      </c>
      <c r="D74" s="502"/>
      <c r="E74" s="502"/>
      <c r="F74" s="502"/>
      <c r="G74" s="502"/>
      <c r="H74" s="502"/>
      <c r="I74" s="503" t="e">
        <f>IF(Summary!D39="input error",Summary!D39,TEXT(Summary!D39,"£#,##0")&amp;" pa")</f>
        <v>#N/A</v>
      </c>
      <c r="J74" s="502"/>
      <c r="K74" s="503" t="e">
        <f>IF(Summary!E39="input error",Summary!E39,TEXT(Summary!E39,"£#,##0")&amp;" pa")</f>
        <v>#N/A</v>
      </c>
      <c r="L74" s="502"/>
      <c r="M74" s="503" t="e">
        <f>IF(Summary!F39="input error",Summary!F39,TEXT(Summary!F39,"£#,##0")&amp;" pa")</f>
        <v>#N/A</v>
      </c>
      <c r="N74" s="427"/>
      <c r="O74" s="531"/>
    </row>
    <row r="75" spans="1:15" ht="13.8" x14ac:dyDescent="0.25">
      <c r="A75" s="428"/>
      <c r="B75" s="581"/>
      <c r="C75" s="502" t="str">
        <f>Scheme_Full&amp;" lump sum"</f>
        <v xml:space="preserve"> lump sum</v>
      </c>
      <c r="D75" s="502"/>
      <c r="E75" s="502"/>
      <c r="F75" s="502"/>
      <c r="G75" s="502"/>
      <c r="H75" s="502"/>
      <c r="I75" s="503" t="e">
        <f>Summary!D40</f>
        <v>#N/A</v>
      </c>
      <c r="J75" s="502"/>
      <c r="K75" s="503" t="e">
        <f>Summary!E40</f>
        <v>#N/A</v>
      </c>
      <c r="L75" s="502"/>
      <c r="M75" s="503" t="e">
        <f>Summary!F40</f>
        <v>#N/A</v>
      </c>
      <c r="N75" s="427"/>
      <c r="O75" s="531"/>
    </row>
    <row r="76" spans="1:15" ht="13.8" x14ac:dyDescent="0.25">
      <c r="A76" s="428"/>
      <c r="B76" s="581"/>
      <c r="C76" s="502"/>
      <c r="D76" s="502"/>
      <c r="E76" s="502"/>
      <c r="F76" s="502"/>
      <c r="G76" s="502"/>
      <c r="H76" s="502"/>
      <c r="I76" s="503" t="s">
        <v>212</v>
      </c>
      <c r="J76" s="502"/>
      <c r="K76" s="503" t="s">
        <v>212</v>
      </c>
      <c r="L76" s="502"/>
      <c r="M76" s="503" t="s">
        <v>212</v>
      </c>
      <c r="N76" s="427"/>
      <c r="O76" s="531"/>
    </row>
    <row r="77" spans="1:15" ht="13.8" x14ac:dyDescent="0.25">
      <c r="A77" s="428"/>
      <c r="B77" s="581"/>
      <c r="C77" s="502" t="str">
        <f>"2015 Scheme pension" &amp; IF(ChosenRA&gt;=55,""," deferred until SPA")</f>
        <v>2015 Scheme pension deferred until SPA</v>
      </c>
      <c r="D77" s="502"/>
      <c r="E77" s="502"/>
      <c r="F77" s="502"/>
      <c r="G77" s="502"/>
      <c r="H77" s="502"/>
      <c r="I77" s="503" t="e">
        <f ca="1">IF(Summary!D41="Input Error",Summary!D41,TEXT(Summary!D41,"£#,##0")&amp;" pa")</f>
        <v>#N/A</v>
      </c>
      <c r="J77" s="502"/>
      <c r="K77" s="503" t="e">
        <f ca="1">IF(Summary!E41="Input Error",Summary!E41,TEXT(Summary!E41,"£#,##0")&amp;" pa")</f>
        <v>#N/A</v>
      </c>
      <c r="L77" s="502"/>
      <c r="M77" s="503" t="e">
        <f ca="1">IF(Summary!F41="Input Error",Summary!F41,TEXT(Summary!F41,"£#,##0")&amp;" pa")</f>
        <v>#N/A</v>
      </c>
      <c r="N77" s="427"/>
      <c r="O77" s="531"/>
    </row>
    <row r="78" spans="1:15" ht="13.8" x14ac:dyDescent="0.25">
      <c r="A78" s="428"/>
      <c r="B78" s="581"/>
      <c r="C78" s="502" t="str">
        <f>"2015 Scheme lump sum" &amp; IF(ChosenRA&gt;=55,""," deferred until SPA")</f>
        <v>2015 Scheme lump sum deferred until SPA</v>
      </c>
      <c r="D78" s="502"/>
      <c r="E78" s="502"/>
      <c r="F78" s="502"/>
      <c r="G78" s="502"/>
      <c r="H78" s="502"/>
      <c r="I78" s="503" t="e">
        <f ca="1">Summary!D42</f>
        <v>#N/A</v>
      </c>
      <c r="J78" s="502"/>
      <c r="K78" s="503" t="e">
        <f ca="1">Summary!E42</f>
        <v>#N/A</v>
      </c>
      <c r="L78" s="502"/>
      <c r="M78" s="503" t="e">
        <f ca="1">Summary!F42</f>
        <v>#N/A</v>
      </c>
      <c r="N78" s="427"/>
      <c r="O78" s="531"/>
    </row>
    <row r="79" spans="1:15" ht="13.8" x14ac:dyDescent="0.25">
      <c r="A79" s="428"/>
      <c r="B79" s="581"/>
      <c r="C79" s="502"/>
      <c r="D79" s="502"/>
      <c r="E79" s="502"/>
      <c r="F79" s="502"/>
      <c r="G79" s="502"/>
      <c r="H79" s="502"/>
      <c r="I79" s="502"/>
      <c r="J79" s="502"/>
      <c r="K79" s="502"/>
      <c r="L79" s="502"/>
      <c r="M79" s="502"/>
      <c r="N79" s="427"/>
      <c r="O79" s="531"/>
    </row>
    <row r="80" spans="1:15" ht="13.8" x14ac:dyDescent="0.25">
      <c r="A80" s="428"/>
      <c r="B80" s="581"/>
      <c r="C80" s="502" t="str">
        <f>IF(ChosenRA&gt;=55,"Total pension","")</f>
        <v/>
      </c>
      <c r="D80" s="502"/>
      <c r="E80" s="502"/>
      <c r="F80" s="502"/>
      <c r="G80" s="502"/>
      <c r="H80" s="502"/>
      <c r="I80" s="503" t="str">
        <f>IF(ChosenRA&lt;55,"",IF(OR(Summary!D20&lt;0,Summary!D29&lt;0),"input error",TEXT(Summary!D43,"£#,##0")&amp;" pa"))</f>
        <v/>
      </c>
      <c r="J80" s="502"/>
      <c r="K80" s="503" t="str">
        <f>IF(ChosenRA&lt;55,"",IF(OR(Summary!E20&lt;0,Summary!E29&lt;0),"input error",TEXT(Summary!E43,"£#,##0")&amp;" pa"))</f>
        <v/>
      </c>
      <c r="L80" s="502"/>
      <c r="M80" s="503" t="str">
        <f>IF(ChosenRA&lt;55,"",IF(OR(Summary!F20&lt;0,Summary!F29&lt;0),"input error",TEXT(Summary!F43,"£#,##0")&amp;" pa"))</f>
        <v/>
      </c>
      <c r="N80" s="427"/>
      <c r="O80" s="531"/>
    </row>
    <row r="81" spans="1:15" ht="13.8" x14ac:dyDescent="0.25">
      <c r="A81" s="428"/>
      <c r="B81" s="581"/>
      <c r="C81" s="502" t="str">
        <f>IF(ChosenRA&gt;=55,"Total lump sum","")</f>
        <v/>
      </c>
      <c r="D81" s="502"/>
      <c r="E81" s="502"/>
      <c r="F81" s="502"/>
      <c r="G81" s="502"/>
      <c r="H81" s="502"/>
      <c r="I81" s="503" t="str">
        <f>IF(ChosenRA&lt;55,"",Summary!D44)</f>
        <v/>
      </c>
      <c r="J81" s="502"/>
      <c r="K81" s="503" t="str">
        <f>IF(ChosenRA&lt;55,"",Summary!E44)</f>
        <v/>
      </c>
      <c r="L81" s="502"/>
      <c r="M81" s="503" t="str">
        <f>IF(ChosenRA&lt;55,"",Summary!F44)</f>
        <v/>
      </c>
      <c r="N81" s="427"/>
      <c r="O81" s="531"/>
    </row>
    <row r="82" spans="1:15" ht="13.8" x14ac:dyDescent="0.25">
      <c r="A82" s="428"/>
      <c r="B82" s="581"/>
      <c r="C82" s="502"/>
      <c r="D82" s="502"/>
      <c r="E82" s="502"/>
      <c r="F82" s="502"/>
      <c r="G82" s="502"/>
      <c r="H82" s="502"/>
      <c r="I82" s="503"/>
      <c r="J82" s="502"/>
      <c r="K82" s="503"/>
      <c r="L82" s="502"/>
      <c r="M82" s="503"/>
      <c r="N82" s="427"/>
      <c r="O82" s="531"/>
    </row>
    <row r="83" spans="1:15" ht="29.25" customHeight="1" x14ac:dyDescent="0.25">
      <c r="A83" s="409"/>
      <c r="B83" s="581"/>
      <c r="C83" s="588" t="s">
        <v>417</v>
      </c>
      <c r="D83" s="502"/>
      <c r="E83" s="502"/>
      <c r="F83" s="502"/>
      <c r="G83" s="502"/>
      <c r="H83" s="502"/>
      <c r="I83" s="502"/>
      <c r="J83" s="502"/>
      <c r="K83" s="502"/>
      <c r="L83" s="502"/>
      <c r="M83" s="502"/>
      <c r="N83" s="427"/>
      <c r="O83" s="531"/>
    </row>
    <row r="84" spans="1:15" ht="16.8" x14ac:dyDescent="0.3">
      <c r="A84" s="409"/>
      <c r="B84" s="581"/>
      <c r="C84" s="589" t="s">
        <v>407</v>
      </c>
      <c r="D84" s="502"/>
      <c r="E84" s="502"/>
      <c r="F84" s="502"/>
      <c r="G84" s="502"/>
      <c r="H84" s="502"/>
      <c r="I84" s="502"/>
      <c r="J84" s="502"/>
      <c r="K84" s="502"/>
      <c r="L84" s="502"/>
      <c r="M84" s="502"/>
      <c r="N84" s="427"/>
      <c r="O84" s="531"/>
    </row>
    <row r="85" spans="1:15" ht="13.8" x14ac:dyDescent="0.25">
      <c r="A85" s="409"/>
      <c r="B85" s="581"/>
      <c r="C85" s="502" t="str">
        <f>Scheme_Full&amp;" pension"</f>
        <v xml:space="preserve"> pension</v>
      </c>
      <c r="D85" s="502"/>
      <c r="E85" s="502"/>
      <c r="F85" s="502"/>
      <c r="G85" s="502"/>
      <c r="H85" s="502"/>
      <c r="I85" s="503" t="e">
        <f>IF(Summary!D45="input error",Summary!D45,TEXT(Summary!D45,"£#,##0")&amp;" pa")</f>
        <v>#N/A</v>
      </c>
      <c r="J85" s="502"/>
      <c r="K85" s="503" t="e">
        <f>IF(Summary!E45="input error",Summary!E45,TEXT(Summary!E45,"£#,##0")&amp;" pa")</f>
        <v>#N/A</v>
      </c>
      <c r="L85" s="502"/>
      <c r="M85" s="503" t="e">
        <f>IF(Summary!F45="input error",Summary!F45,TEXT(Summary!F45,"£#,##0")&amp;" pa")</f>
        <v>#N/A</v>
      </c>
      <c r="N85" s="427"/>
      <c r="O85" s="531"/>
    </row>
    <row r="86" spans="1:15" ht="13.8" x14ac:dyDescent="0.25">
      <c r="A86" s="409"/>
      <c r="B86" s="581"/>
      <c r="C86" s="502" t="str">
        <f>Scheme_Full&amp;" lump sum"</f>
        <v xml:space="preserve"> lump sum</v>
      </c>
      <c r="D86" s="502"/>
      <c r="E86" s="502"/>
      <c r="F86" s="502"/>
      <c r="G86" s="502"/>
      <c r="H86" s="502"/>
      <c r="I86" s="503" t="e">
        <f>Summary!D46</f>
        <v>#N/A</v>
      </c>
      <c r="J86" s="502"/>
      <c r="K86" s="503" t="e">
        <f>IF(CurrentScheme="NPPS",ROUND(Summary!E18,-2),0)</f>
        <v>#N/A</v>
      </c>
      <c r="L86" s="502"/>
      <c r="M86" s="503" t="e">
        <f>IF(CurrentScheme="NPPS",ROUND(Summary!F18,-2),0)</f>
        <v>#N/A</v>
      </c>
      <c r="N86" s="427"/>
      <c r="O86" s="531"/>
    </row>
    <row r="87" spans="1:15" ht="13.8" x14ac:dyDescent="0.25">
      <c r="A87" s="409"/>
      <c r="B87" s="581"/>
      <c r="C87" s="502"/>
      <c r="D87" s="502"/>
      <c r="E87" s="502"/>
      <c r="F87" s="502"/>
      <c r="G87" s="502"/>
      <c r="H87" s="502"/>
      <c r="I87" s="503" t="s">
        <v>212</v>
      </c>
      <c r="J87" s="502"/>
      <c r="K87" s="503" t="s">
        <v>212</v>
      </c>
      <c r="L87" s="502"/>
      <c r="M87" s="503" t="s">
        <v>212</v>
      </c>
      <c r="N87" s="427"/>
      <c r="O87" s="531"/>
    </row>
    <row r="88" spans="1:15" ht="13.8" x14ac:dyDescent="0.25">
      <c r="A88" s="409"/>
      <c r="B88" s="581"/>
      <c r="C88" s="502" t="str">
        <f>"2015 Scheme pension" &amp; IF(ChosenRA&gt;=55,""," deferred until SPA")</f>
        <v>2015 Scheme pension deferred until SPA</v>
      </c>
      <c r="D88" s="502"/>
      <c r="E88" s="502"/>
      <c r="F88" s="502"/>
      <c r="G88" s="502"/>
      <c r="H88" s="502"/>
      <c r="I88" s="503" t="e">
        <f ca="1">IF(Summary!D47="input error",Summary!D47,TEXT(Summary!D47,"£#,##0")&amp;" pa")</f>
        <v>#N/A</v>
      </c>
      <c r="J88" s="502"/>
      <c r="K88" s="503" t="e">
        <f ca="1">IF(Summary!E47="input error",Summary!E47,TEXT(Summary!E47,"£#,##0")&amp;" pa")</f>
        <v>#N/A</v>
      </c>
      <c r="L88" s="502"/>
      <c r="M88" s="503" t="e">
        <f ca="1">IF(Summary!F47="input error",Summary!F47,TEXT(Summary!F47,"£#,##0")&amp;" pa")</f>
        <v>#N/A</v>
      </c>
      <c r="N88" s="427"/>
      <c r="O88" s="531"/>
    </row>
    <row r="89" spans="1:15" ht="13.8" x14ac:dyDescent="0.25">
      <c r="A89" s="409"/>
      <c r="B89" s="581"/>
      <c r="C89" s="502"/>
      <c r="D89" s="502"/>
      <c r="E89" s="502"/>
      <c r="F89" s="502"/>
      <c r="G89" s="502"/>
      <c r="H89" s="502"/>
      <c r="I89" s="503"/>
      <c r="J89" s="502"/>
      <c r="K89" s="503"/>
      <c r="L89" s="502"/>
      <c r="M89" s="503"/>
      <c r="N89" s="427"/>
      <c r="O89" s="531"/>
    </row>
    <row r="90" spans="1:15" ht="13.8" x14ac:dyDescent="0.25">
      <c r="A90" s="409"/>
      <c r="B90" s="581"/>
      <c r="C90" s="502" t="str">
        <f>IF(ChosenRA&gt;=55,"Total pension","")</f>
        <v/>
      </c>
      <c r="D90" s="502"/>
      <c r="E90" s="502"/>
      <c r="F90" s="502"/>
      <c r="G90" s="502"/>
      <c r="H90" s="502"/>
      <c r="I90" s="503" t="str">
        <f>IF(ChosenRA&lt;55,"",IF(Summary!D48="input error",Summary!D48,TEXT(Summary!D48,"£#,##0")&amp;" pa"))</f>
        <v/>
      </c>
      <c r="J90" s="502"/>
      <c r="K90" s="503" t="str">
        <f>IF(ChosenRA&lt;55,"",IF(Summary!E48="input error",Summary!E48,TEXT(Summary!E48,"£#,##0")&amp;" pa"))</f>
        <v/>
      </c>
      <c r="L90" s="502"/>
      <c r="M90" s="503" t="str">
        <f>IF(ChosenRA&lt;55,"",IF(Summary!F48="input error",Summary!F48,TEXT(Summary!F48,"£#,##0")&amp;" pa"))</f>
        <v/>
      </c>
      <c r="N90" s="427"/>
      <c r="O90" s="531"/>
    </row>
    <row r="91" spans="1:15" ht="13.8" x14ac:dyDescent="0.25">
      <c r="A91" s="409"/>
      <c r="B91" s="581"/>
      <c r="C91" s="502" t="str">
        <f>IF(ChosenRA&gt;=55,"Total lump sum","")</f>
        <v/>
      </c>
      <c r="D91" s="502"/>
      <c r="E91" s="502"/>
      <c r="F91" s="502"/>
      <c r="G91" s="502"/>
      <c r="H91" s="502"/>
      <c r="I91" s="503" t="str">
        <f>IF(ChosenRA&gt;=55,I86,"")</f>
        <v/>
      </c>
      <c r="J91" s="502"/>
      <c r="K91" s="503" t="str">
        <f>IF(ChosenRA&gt;=55,K86,"")</f>
        <v/>
      </c>
      <c r="L91" s="502"/>
      <c r="M91" s="503" t="str">
        <f>IF(ChosenRA&gt;=55,M86,"")</f>
        <v/>
      </c>
      <c r="N91" s="427"/>
      <c r="O91" s="531"/>
    </row>
    <row r="92" spans="1:15" ht="13.8" x14ac:dyDescent="0.25">
      <c r="A92" s="409"/>
      <c r="B92" s="584"/>
      <c r="C92" s="509"/>
      <c r="D92" s="508"/>
      <c r="E92" s="508"/>
      <c r="F92" s="508"/>
      <c r="G92" s="508"/>
      <c r="H92" s="508"/>
      <c r="I92" s="509"/>
      <c r="J92" s="509"/>
      <c r="K92" s="509"/>
      <c r="L92" s="509"/>
      <c r="M92" s="509"/>
      <c r="N92" s="510"/>
      <c r="O92" s="532"/>
    </row>
    <row r="93" spans="1:15" ht="14.4" thickBot="1" x14ac:dyDescent="0.3">
      <c r="A93" s="409"/>
      <c r="B93" s="409"/>
      <c r="C93" s="498"/>
      <c r="D93" s="502"/>
      <c r="E93" s="502"/>
      <c r="F93" s="502"/>
      <c r="G93" s="502"/>
      <c r="H93" s="502"/>
      <c r="I93" s="498"/>
      <c r="J93" s="498"/>
      <c r="K93" s="498"/>
      <c r="L93" s="498"/>
      <c r="M93" s="498"/>
      <c r="N93" s="427"/>
      <c r="O93" s="427"/>
    </row>
    <row r="94" spans="1:15" ht="21.75" customHeight="1" x14ac:dyDescent="0.3">
      <c r="A94" s="409"/>
      <c r="B94" s="409"/>
      <c r="C94" s="694" t="s">
        <v>585</v>
      </c>
      <c r="D94" s="695"/>
      <c r="E94" s="696"/>
      <c r="F94" s="409"/>
      <c r="G94" s="700" t="s">
        <v>586</v>
      </c>
      <c r="H94" s="701"/>
      <c r="I94" s="702"/>
      <c r="J94" s="409"/>
      <c r="K94" s="700" t="s">
        <v>587</v>
      </c>
      <c r="L94" s="701"/>
      <c r="M94" s="702"/>
      <c r="N94" s="512"/>
      <c r="O94" s="427"/>
    </row>
    <row r="95" spans="1:15" ht="21.75" customHeight="1" thickBot="1" x14ac:dyDescent="0.35">
      <c r="A95" s="409"/>
      <c r="B95" s="409"/>
      <c r="C95" s="697"/>
      <c r="D95" s="698"/>
      <c r="E95" s="699"/>
      <c r="F95" s="409"/>
      <c r="G95" s="703"/>
      <c r="H95" s="704"/>
      <c r="I95" s="705"/>
      <c r="J95" s="409"/>
      <c r="K95" s="703"/>
      <c r="L95" s="704"/>
      <c r="M95" s="705"/>
      <c r="N95" s="512"/>
      <c r="O95" s="427"/>
    </row>
    <row r="96" spans="1:15" ht="13.5" customHeight="1" x14ac:dyDescent="0.3">
      <c r="A96" s="409"/>
      <c r="B96" s="409"/>
      <c r="C96" s="498"/>
      <c r="D96" s="497"/>
      <c r="E96" s="497"/>
      <c r="F96" s="497"/>
      <c r="G96" s="497"/>
      <c r="H96" s="497"/>
      <c r="I96" s="499"/>
      <c r="J96" s="499"/>
      <c r="K96" s="499"/>
      <c r="L96" s="499"/>
      <c r="M96" s="499"/>
      <c r="N96" s="409"/>
      <c r="O96" s="409"/>
    </row>
    <row r="97" spans="1:14" ht="15.6" x14ac:dyDescent="0.3">
      <c r="A97" s="409"/>
      <c r="B97" s="409"/>
      <c r="C97" s="429"/>
      <c r="D97" s="232"/>
      <c r="E97" s="232"/>
      <c r="F97" s="232"/>
      <c r="G97" s="232"/>
      <c r="H97" s="232"/>
      <c r="I97" s="232"/>
      <c r="J97" s="232"/>
      <c r="K97" s="232"/>
      <c r="L97" s="232"/>
      <c r="M97" s="232"/>
      <c r="N97" s="232"/>
    </row>
    <row r="98" spans="1:14" ht="27" customHeight="1" x14ac:dyDescent="0.25">
      <c r="A98" s="409"/>
      <c r="B98" s="409"/>
      <c r="C98" s="684"/>
      <c r="D98" s="684"/>
      <c r="E98" s="684"/>
      <c r="F98" s="684"/>
      <c r="G98" s="684"/>
      <c r="H98" s="684"/>
      <c r="I98" s="684"/>
      <c r="J98" s="684"/>
      <c r="K98" s="684"/>
      <c r="L98" s="684"/>
      <c r="M98" s="684"/>
      <c r="N98" s="684"/>
    </row>
    <row r="99" spans="1:14" ht="13.8" x14ac:dyDescent="0.25">
      <c r="A99" s="409"/>
      <c r="B99" s="409"/>
      <c r="C99" s="684"/>
      <c r="D99" s="684"/>
      <c r="E99" s="684"/>
      <c r="F99" s="684"/>
      <c r="G99" s="684"/>
      <c r="H99" s="684"/>
      <c r="I99" s="684"/>
      <c r="J99" s="684"/>
      <c r="K99" s="684"/>
      <c r="L99" s="684"/>
      <c r="M99" s="684"/>
      <c r="N99" s="684"/>
    </row>
    <row r="100" spans="1:14" ht="30.75" customHeight="1" x14ac:dyDescent="0.25">
      <c r="A100" s="409"/>
      <c r="B100" s="409"/>
      <c r="C100" s="684"/>
      <c r="D100" s="683"/>
      <c r="E100" s="683"/>
      <c r="F100" s="683"/>
      <c r="G100" s="683"/>
      <c r="H100" s="683"/>
      <c r="I100" s="683"/>
      <c r="J100" s="683"/>
      <c r="K100" s="683"/>
      <c r="L100" s="683"/>
      <c r="M100" s="683"/>
      <c r="N100" s="683"/>
    </row>
    <row r="101" spans="1:14" ht="13.8" x14ac:dyDescent="0.25">
      <c r="A101" s="409"/>
      <c r="B101" s="409"/>
      <c r="C101" s="688"/>
      <c r="D101" s="688"/>
      <c r="E101" s="688"/>
      <c r="F101" s="688"/>
      <c r="G101" s="688"/>
      <c r="H101" s="688"/>
      <c r="I101" s="688"/>
      <c r="J101" s="688"/>
      <c r="K101" s="688"/>
      <c r="L101" s="688"/>
      <c r="M101" s="688"/>
      <c r="N101" s="688"/>
    </row>
    <row r="102" spans="1:14" ht="13.8" x14ac:dyDescent="0.25">
      <c r="A102" s="409"/>
      <c r="B102" s="409"/>
      <c r="C102" s="688"/>
      <c r="D102" s="688"/>
      <c r="E102" s="688"/>
      <c r="F102" s="688"/>
      <c r="G102" s="688"/>
      <c r="H102" s="688"/>
      <c r="I102" s="688"/>
      <c r="J102" s="688"/>
      <c r="K102" s="688"/>
      <c r="L102" s="688"/>
      <c r="M102" s="688"/>
      <c r="N102" s="688"/>
    </row>
    <row r="103" spans="1:14" ht="43.5" customHeight="1" x14ac:dyDescent="0.25">
      <c r="A103" s="409"/>
      <c r="B103" s="409"/>
      <c r="C103" s="684"/>
      <c r="D103" s="683"/>
      <c r="E103" s="683"/>
      <c r="F103" s="683"/>
      <c r="G103" s="683"/>
      <c r="H103" s="683"/>
      <c r="I103" s="683"/>
      <c r="J103" s="683"/>
      <c r="K103" s="683"/>
      <c r="L103" s="683"/>
      <c r="M103" s="683"/>
      <c r="N103" s="683"/>
    </row>
    <row r="104" spans="1:14" ht="42.75" customHeight="1" x14ac:dyDescent="0.25">
      <c r="A104" s="409"/>
      <c r="B104" s="409"/>
      <c r="C104" s="684"/>
      <c r="D104" s="683"/>
      <c r="E104" s="683"/>
      <c r="F104" s="683"/>
      <c r="G104" s="683"/>
      <c r="H104" s="683"/>
      <c r="I104" s="683"/>
      <c r="J104" s="683"/>
      <c r="K104" s="683"/>
      <c r="L104" s="683"/>
      <c r="M104" s="683"/>
      <c r="N104" s="683"/>
    </row>
    <row r="105" spans="1:14" ht="13.8" x14ac:dyDescent="0.25">
      <c r="A105" s="409"/>
      <c r="B105" s="409"/>
      <c r="C105" s="690"/>
      <c r="D105" s="690"/>
      <c r="E105" s="690"/>
      <c r="F105" s="690"/>
      <c r="G105" s="690"/>
      <c r="H105" s="690"/>
      <c r="I105" s="690"/>
      <c r="J105" s="690"/>
      <c r="K105" s="690"/>
      <c r="L105" s="690"/>
      <c r="M105" s="690"/>
      <c r="N105" s="690"/>
    </row>
    <row r="106" spans="1:14" ht="54" customHeight="1" x14ac:dyDescent="0.25">
      <c r="A106" s="533"/>
      <c r="B106" s="533"/>
      <c r="C106" s="684"/>
      <c r="D106" s="683"/>
      <c r="E106" s="683"/>
      <c r="F106" s="683"/>
      <c r="G106" s="683"/>
      <c r="H106" s="683"/>
      <c r="I106" s="683"/>
      <c r="J106" s="683"/>
      <c r="K106" s="683"/>
      <c r="L106" s="683"/>
      <c r="M106" s="683"/>
      <c r="N106" s="683"/>
    </row>
    <row r="107" spans="1:14" ht="36" customHeight="1" x14ac:dyDescent="0.25">
      <c r="A107" s="533"/>
      <c r="B107" s="533"/>
      <c r="C107" s="684"/>
      <c r="D107" s="684"/>
      <c r="E107" s="684"/>
      <c r="F107" s="684"/>
      <c r="G107" s="684"/>
      <c r="H107" s="684"/>
      <c r="I107" s="684"/>
      <c r="J107" s="684"/>
      <c r="K107" s="684"/>
      <c r="L107" s="684"/>
      <c r="M107" s="684"/>
      <c r="N107" s="684"/>
    </row>
    <row r="108" spans="1:14" ht="42.75" customHeight="1" x14ac:dyDescent="0.25">
      <c r="A108" s="533"/>
      <c r="B108" s="533"/>
      <c r="C108" s="684"/>
      <c r="D108" s="683"/>
      <c r="E108" s="683"/>
      <c r="F108" s="683"/>
      <c r="G108" s="683"/>
      <c r="H108" s="683"/>
      <c r="I108" s="683"/>
      <c r="J108" s="683"/>
      <c r="K108" s="683"/>
      <c r="L108" s="683"/>
      <c r="M108" s="683"/>
      <c r="N108" s="683"/>
    </row>
    <row r="109" spans="1:14" ht="15.75" customHeight="1" x14ac:dyDescent="0.25">
      <c r="A109" s="533"/>
      <c r="B109" s="533"/>
      <c r="C109" s="684"/>
      <c r="D109" s="683"/>
      <c r="E109" s="683"/>
      <c r="F109" s="683"/>
      <c r="G109" s="683"/>
      <c r="H109" s="683"/>
      <c r="I109" s="683"/>
      <c r="J109" s="683"/>
      <c r="K109" s="683"/>
      <c r="L109" s="683"/>
      <c r="M109" s="683"/>
      <c r="N109" s="683"/>
    </row>
    <row r="110" spans="1:14" ht="42" customHeight="1" x14ac:dyDescent="0.25">
      <c r="A110" s="533"/>
      <c r="B110" s="533"/>
      <c r="C110" s="684"/>
      <c r="D110" s="683"/>
      <c r="E110" s="683"/>
      <c r="F110" s="683"/>
      <c r="G110" s="683"/>
      <c r="H110" s="683"/>
      <c r="I110" s="683"/>
      <c r="J110" s="683"/>
      <c r="K110" s="683"/>
      <c r="L110" s="683"/>
      <c r="M110" s="683"/>
      <c r="N110" s="683"/>
    </row>
    <row r="111" spans="1:14" ht="18.75" customHeight="1" x14ac:dyDescent="0.25">
      <c r="A111" s="409"/>
      <c r="B111" s="409"/>
      <c r="C111" s="678"/>
      <c r="D111" s="678"/>
      <c r="E111" s="678"/>
      <c r="F111" s="678"/>
      <c r="G111" s="678"/>
      <c r="H111" s="678"/>
      <c r="I111" s="678"/>
      <c r="J111" s="678"/>
      <c r="K111" s="678"/>
      <c r="L111" s="678"/>
      <c r="M111" s="678"/>
      <c r="N111" s="678"/>
    </row>
    <row r="112" spans="1:14" ht="30.75" customHeight="1" x14ac:dyDescent="0.25">
      <c r="A112" s="409"/>
      <c r="B112" s="409"/>
      <c r="C112" s="683"/>
      <c r="D112" s="683"/>
      <c r="E112" s="683"/>
      <c r="F112" s="683"/>
      <c r="G112" s="683"/>
      <c r="H112" s="683"/>
      <c r="I112" s="683"/>
      <c r="J112" s="683"/>
      <c r="K112" s="683"/>
      <c r="L112" s="683"/>
      <c r="M112" s="683"/>
      <c r="N112" s="683"/>
    </row>
    <row r="113" spans="1:15" ht="28.5" customHeight="1" x14ac:dyDescent="0.25">
      <c r="A113" s="533"/>
      <c r="B113" s="533"/>
      <c r="C113" s="689"/>
      <c r="D113" s="689"/>
      <c r="E113" s="689"/>
      <c r="F113" s="689"/>
      <c r="G113" s="689"/>
      <c r="H113" s="689"/>
      <c r="I113" s="689"/>
      <c r="J113" s="689"/>
      <c r="K113" s="689"/>
      <c r="L113" s="689"/>
      <c r="M113" s="689"/>
      <c r="N113" s="689"/>
      <c r="O113" s="226"/>
    </row>
    <row r="114" spans="1:15" ht="21" customHeight="1" x14ac:dyDescent="0.25">
      <c r="A114" s="533"/>
      <c r="B114" s="533"/>
      <c r="C114" s="685"/>
      <c r="D114" s="686"/>
      <c r="E114" s="686"/>
      <c r="F114" s="686"/>
      <c r="G114" s="686"/>
      <c r="H114" s="686"/>
      <c r="I114" s="686"/>
      <c r="J114" s="686"/>
      <c r="K114" s="686"/>
      <c r="L114" s="686"/>
      <c r="M114" s="686"/>
      <c r="N114" s="686"/>
    </row>
    <row r="115" spans="1:15" ht="18.75" customHeight="1" x14ac:dyDescent="0.3">
      <c r="A115" s="533"/>
      <c r="B115" s="533"/>
      <c r="C115" s="429"/>
      <c r="D115" s="233"/>
      <c r="E115" s="233"/>
      <c r="F115" s="233"/>
      <c r="G115" s="233"/>
      <c r="H115" s="233"/>
      <c r="I115" s="233"/>
      <c r="J115" s="233"/>
      <c r="K115" s="233"/>
      <c r="L115" s="233"/>
      <c r="M115" s="233"/>
      <c r="N115" s="233"/>
    </row>
    <row r="116" spans="1:15" ht="18.75" customHeight="1" x14ac:dyDescent="0.25">
      <c r="A116" s="533"/>
      <c r="B116" s="533"/>
      <c r="C116" s="679"/>
      <c r="D116" s="679"/>
      <c r="E116" s="679"/>
      <c r="F116" s="679"/>
      <c r="G116" s="679"/>
      <c r="H116" s="679"/>
      <c r="I116" s="679"/>
      <c r="J116" s="679"/>
      <c r="K116" s="679"/>
      <c r="L116" s="679"/>
      <c r="M116" s="679"/>
      <c r="N116" s="679"/>
    </row>
    <row r="117" spans="1:15" ht="14.25" customHeight="1" x14ac:dyDescent="0.25">
      <c r="A117" s="533"/>
      <c r="B117" s="533"/>
      <c r="C117" s="676"/>
      <c r="D117" s="676"/>
      <c r="E117" s="676"/>
      <c r="F117" s="676"/>
      <c r="G117" s="676"/>
      <c r="H117" s="676"/>
      <c r="I117" s="676"/>
      <c r="J117" s="676"/>
      <c r="K117" s="676"/>
      <c r="L117" s="676"/>
      <c r="M117" s="676"/>
      <c r="N117" s="676"/>
    </row>
    <row r="118" spans="1:15" ht="28.5" customHeight="1" x14ac:dyDescent="0.25">
      <c r="A118" s="533"/>
      <c r="B118" s="533"/>
      <c r="C118" s="681"/>
      <c r="D118" s="680"/>
      <c r="E118" s="680"/>
      <c r="F118" s="680"/>
      <c r="G118" s="680"/>
      <c r="H118" s="680"/>
      <c r="I118" s="680"/>
      <c r="J118" s="680"/>
      <c r="K118" s="680"/>
      <c r="L118" s="680"/>
      <c r="M118" s="680"/>
      <c r="N118" s="680"/>
    </row>
    <row r="119" spans="1:15" ht="3.75" customHeight="1" x14ac:dyDescent="0.25">
      <c r="A119" s="533"/>
      <c r="B119" s="533"/>
      <c r="C119" s="682"/>
      <c r="D119" s="682"/>
      <c r="E119" s="682"/>
      <c r="F119" s="682"/>
      <c r="G119" s="682"/>
      <c r="H119" s="682"/>
      <c r="I119" s="682"/>
      <c r="J119" s="682"/>
      <c r="K119" s="682"/>
      <c r="L119" s="682"/>
      <c r="M119" s="682"/>
      <c r="N119" s="682"/>
    </row>
    <row r="120" spans="1:15" ht="12.75" customHeight="1" x14ac:dyDescent="0.25">
      <c r="A120" s="533"/>
      <c r="B120" s="533"/>
      <c r="C120" s="430"/>
      <c r="D120" s="234"/>
      <c r="E120" s="234"/>
      <c r="F120" s="234"/>
      <c r="G120" s="234"/>
      <c r="H120" s="234"/>
      <c r="I120" s="234"/>
      <c r="J120" s="234"/>
      <c r="K120" s="234"/>
      <c r="L120" s="234"/>
      <c r="M120" s="234"/>
      <c r="N120" s="234"/>
    </row>
    <row r="121" spans="1:15" ht="13.5" customHeight="1" x14ac:dyDescent="0.25">
      <c r="A121" s="533"/>
      <c r="B121" s="533"/>
      <c r="C121" s="680"/>
      <c r="D121" s="680"/>
      <c r="E121" s="680"/>
      <c r="F121" s="680"/>
      <c r="G121" s="680"/>
      <c r="H121" s="680"/>
      <c r="I121" s="680"/>
      <c r="J121" s="680"/>
      <c r="K121" s="680"/>
      <c r="L121" s="680"/>
      <c r="M121" s="680"/>
      <c r="N121" s="680"/>
    </row>
    <row r="122" spans="1:15" ht="24.75" customHeight="1" x14ac:dyDescent="0.25">
      <c r="A122" s="533"/>
      <c r="B122" s="533"/>
      <c r="C122" s="680"/>
      <c r="D122" s="680"/>
      <c r="E122" s="680"/>
      <c r="F122" s="680"/>
      <c r="G122" s="680"/>
      <c r="H122" s="680"/>
      <c r="I122" s="680"/>
      <c r="J122" s="680"/>
      <c r="K122" s="680"/>
      <c r="L122" s="680"/>
      <c r="M122" s="680"/>
      <c r="N122" s="680"/>
    </row>
    <row r="123" spans="1:15" ht="9" customHeight="1" x14ac:dyDescent="0.25">
      <c r="A123" s="533"/>
      <c r="B123" s="533"/>
      <c r="C123" s="431"/>
      <c r="D123" s="235"/>
      <c r="E123" s="235"/>
      <c r="F123" s="235"/>
      <c r="G123" s="235"/>
      <c r="H123" s="235"/>
      <c r="I123" s="235"/>
      <c r="J123" s="235"/>
      <c r="K123" s="235"/>
      <c r="L123" s="235"/>
      <c r="M123" s="235"/>
      <c r="N123" s="235"/>
    </row>
    <row r="124" spans="1:15" ht="12.75" customHeight="1" x14ac:dyDescent="0.3">
      <c r="A124" s="533"/>
      <c r="B124" s="533"/>
      <c r="C124" s="429"/>
      <c r="D124" s="236"/>
      <c r="E124" s="236"/>
      <c r="F124" s="236"/>
      <c r="G124" s="236"/>
      <c r="H124" s="236"/>
      <c r="I124" s="236"/>
      <c r="J124" s="236"/>
      <c r="K124" s="237"/>
      <c r="L124" s="237"/>
      <c r="M124" s="237"/>
      <c r="N124" s="237"/>
    </row>
    <row r="125" spans="1:15" ht="26.25" customHeight="1" x14ac:dyDescent="0.25">
      <c r="A125" s="533"/>
      <c r="B125" s="533"/>
      <c r="C125" s="681"/>
      <c r="D125" s="681"/>
      <c r="E125" s="681"/>
      <c r="F125" s="681"/>
      <c r="G125" s="681"/>
      <c r="H125" s="681"/>
      <c r="I125" s="681"/>
      <c r="J125" s="681"/>
      <c r="K125" s="681"/>
      <c r="L125" s="681"/>
      <c r="M125" s="681"/>
      <c r="N125" s="681"/>
    </row>
    <row r="126" spans="1:15" ht="12.75" customHeight="1" x14ac:dyDescent="0.25">
      <c r="A126" s="533"/>
      <c r="B126" s="533"/>
      <c r="C126" s="677"/>
      <c r="D126" s="677"/>
      <c r="E126" s="677"/>
      <c r="F126" s="677"/>
      <c r="G126" s="677"/>
      <c r="H126" s="677"/>
      <c r="I126" s="677"/>
      <c r="J126" s="677"/>
      <c r="K126" s="677"/>
      <c r="L126" s="677"/>
      <c r="M126" s="677"/>
      <c r="N126" s="677"/>
    </row>
    <row r="127" spans="1:15" ht="12.75" customHeight="1" x14ac:dyDescent="0.25">
      <c r="A127" s="533"/>
      <c r="B127" s="533"/>
      <c r="C127" s="677"/>
      <c r="D127" s="677"/>
      <c r="E127" s="677"/>
      <c r="F127" s="677"/>
      <c r="G127" s="677"/>
      <c r="H127" s="677"/>
      <c r="I127" s="677"/>
      <c r="J127" s="677"/>
      <c r="K127" s="677"/>
      <c r="L127" s="677"/>
      <c r="M127" s="677"/>
      <c r="N127" s="677"/>
    </row>
    <row r="128" spans="1:15" ht="12.75" customHeight="1" x14ac:dyDescent="0.25">
      <c r="A128" s="533"/>
      <c r="B128" s="533"/>
      <c r="C128" s="676"/>
      <c r="D128" s="677"/>
      <c r="E128" s="677"/>
      <c r="F128" s="677"/>
      <c r="G128" s="677"/>
      <c r="H128" s="677"/>
      <c r="I128" s="677"/>
      <c r="J128" s="677"/>
      <c r="K128" s="677"/>
      <c r="L128" s="677"/>
      <c r="M128" s="677"/>
      <c r="N128" s="677"/>
    </row>
    <row r="134" spans="1:15" x14ac:dyDescent="0.25">
      <c r="G134" s="49"/>
    </row>
    <row r="135" spans="1:15" x14ac:dyDescent="0.25">
      <c r="L135" s="50"/>
      <c r="O135" s="52"/>
    </row>
    <row r="136" spans="1:15" x14ac:dyDescent="0.25">
      <c r="A136" s="53" t="s">
        <v>134</v>
      </c>
      <c r="B136" s="53"/>
      <c r="C136" s="53"/>
      <c r="D136" s="54"/>
      <c r="L136" s="50"/>
      <c r="O136" s="52"/>
    </row>
    <row r="138" spans="1:15" x14ac:dyDescent="0.25">
      <c r="A138" s="93" t="s">
        <v>117</v>
      </c>
      <c r="B138" s="93"/>
      <c r="C138" s="548">
        <f ca="1">DATE(YEAR(Date_curr)-18,MONTH(Date_curr),DAY(Date_curr))</f>
        <v>37675</v>
      </c>
      <c r="D138" s="55"/>
      <c r="E138" s="49" t="s">
        <v>188</v>
      </c>
      <c r="F138" s="49"/>
      <c r="G138" s="49"/>
      <c r="H138" s="49"/>
      <c r="I138" s="49"/>
      <c r="K138" s="49"/>
      <c r="L138" s="49"/>
      <c r="M138" s="49"/>
      <c r="N138" s="49"/>
    </row>
    <row r="139" spans="1:15" x14ac:dyDescent="0.25">
      <c r="A139" s="55"/>
      <c r="B139" s="55"/>
      <c r="C139" s="548">
        <f>DATE(YEAR(DJS)-18,MONTH(DJS),DAY(DJS))</f>
        <v>687388</v>
      </c>
      <c r="D139" s="49"/>
      <c r="E139" s="49" t="s">
        <v>187</v>
      </c>
      <c r="F139" s="49"/>
      <c r="G139" s="49"/>
      <c r="H139" s="49"/>
      <c r="K139" s="49"/>
      <c r="L139" s="49"/>
      <c r="M139" s="49"/>
      <c r="N139" s="49"/>
    </row>
    <row r="140" spans="1:15" x14ac:dyDescent="0.25">
      <c r="A140" s="55"/>
      <c r="B140" s="55"/>
      <c r="C140" s="548">
        <f ca="1">MIN(C138:C139)</f>
        <v>37675</v>
      </c>
      <c r="D140" s="49"/>
      <c r="E140" s="49" t="s">
        <v>189</v>
      </c>
      <c r="F140" s="49"/>
      <c r="G140" s="49"/>
      <c r="H140" s="49"/>
      <c r="I140" s="49"/>
      <c r="J140" s="549"/>
      <c r="K140" s="49"/>
      <c r="L140" s="49"/>
      <c r="M140" s="49"/>
      <c r="N140" s="49"/>
    </row>
    <row r="141" spans="1:15" x14ac:dyDescent="0.25">
      <c r="A141" s="55"/>
      <c r="B141" s="55"/>
      <c r="C141" s="548">
        <f ca="1">DATE(YEAR(Parameters!D98)-65,MONTH(Parameters!D98),DAY(Parameters!D98))</f>
        <v>20180</v>
      </c>
      <c r="D141" s="49"/>
      <c r="E141" s="49" t="s">
        <v>190</v>
      </c>
      <c r="F141" s="49"/>
      <c r="G141" s="49"/>
      <c r="H141" s="49"/>
      <c r="I141" s="49"/>
      <c r="J141" s="49"/>
      <c r="K141" s="49"/>
      <c r="L141" s="49"/>
      <c r="M141" s="49"/>
      <c r="N141" s="49"/>
    </row>
    <row r="142" spans="1:15" x14ac:dyDescent="0.25">
      <c r="A142" s="93" t="s">
        <v>59</v>
      </c>
      <c r="B142" s="93"/>
      <c r="C142" s="94"/>
      <c r="D142" s="49"/>
      <c r="E142" s="49"/>
      <c r="F142" s="49"/>
      <c r="G142" s="49"/>
      <c r="H142" s="49"/>
      <c r="I142" s="49"/>
      <c r="J142" s="49"/>
      <c r="K142" s="49"/>
      <c r="L142" s="49"/>
      <c r="M142" s="49"/>
      <c r="N142" s="49"/>
    </row>
    <row r="143" spans="1:15" x14ac:dyDescent="0.25">
      <c r="A143" s="56"/>
      <c r="B143" s="56"/>
      <c r="C143" s="49" t="str">
        <f>+IF(DJS&gt;=NewSchDate,"2015 Scheme",IF(E143&gt;=18,IF(DJS&gt;G143,"2006 Scheme","1992 Scheme"),"2006 Scheme"))</f>
        <v>1992 Scheme</v>
      </c>
      <c r="D143" s="49"/>
      <c r="E143" s="57">
        <f>+(G143-DoB)/365.25</f>
        <v>106.26420260095824</v>
      </c>
      <c r="F143" s="58" t="s">
        <v>135</v>
      </c>
      <c r="G143" s="548">
        <v>38813</v>
      </c>
      <c r="H143" s="49"/>
      <c r="I143" s="49"/>
      <c r="J143" s="49"/>
      <c r="K143" s="49"/>
      <c r="L143" s="49"/>
      <c r="M143" s="49"/>
      <c r="N143" s="49"/>
    </row>
    <row r="144" spans="1:15" x14ac:dyDescent="0.25">
      <c r="A144" s="56"/>
      <c r="B144" s="56"/>
      <c r="C144" s="49" t="str">
        <f>IF(DJS&gt;=NewSchDate,"",IF(C143="2006 Scheme","","2006 Scheme"))</f>
        <v>2006 Scheme</v>
      </c>
      <c r="D144" s="49" t="str">
        <f>""</f>
        <v/>
      </c>
      <c r="E144" s="49" t="s">
        <v>509</v>
      </c>
      <c r="F144" s="49"/>
      <c r="G144" s="49"/>
      <c r="H144" s="49"/>
      <c r="I144" s="49"/>
      <c r="J144" s="49"/>
      <c r="K144" s="49"/>
      <c r="L144" s="49"/>
      <c r="M144" s="49"/>
      <c r="N144" s="49"/>
    </row>
    <row r="145" spans="1:17" x14ac:dyDescent="0.25">
      <c r="A145" s="56"/>
      <c r="B145" s="56"/>
      <c r="D145" s="49"/>
      <c r="E145" s="49"/>
      <c r="F145" s="49"/>
      <c r="G145" s="49"/>
      <c r="H145" s="49"/>
      <c r="I145" s="49"/>
      <c r="J145" s="49"/>
      <c r="K145" s="49"/>
      <c r="L145" s="49"/>
      <c r="M145" s="49"/>
      <c r="N145" s="49"/>
    </row>
    <row r="146" spans="1:17" x14ac:dyDescent="0.25">
      <c r="A146" s="93" t="s">
        <v>119</v>
      </c>
      <c r="B146" s="93"/>
      <c r="C146" s="49" t="s">
        <v>129</v>
      </c>
      <c r="D146" s="548">
        <f ca="1">Date_curr</f>
        <v>44250</v>
      </c>
      <c r="E146" s="55"/>
      <c r="F146" s="49"/>
      <c r="G146" s="49"/>
      <c r="H146" s="49"/>
      <c r="I146" s="49"/>
      <c r="J146" s="49"/>
      <c r="K146" s="49"/>
      <c r="L146" s="49"/>
      <c r="M146" s="49"/>
      <c r="N146" s="49"/>
    </row>
    <row r="147" spans="1:17" x14ac:dyDescent="0.25">
      <c r="A147" s="49"/>
      <c r="B147" s="49"/>
      <c r="C147" s="49" t="s">
        <v>128</v>
      </c>
      <c r="D147" s="548">
        <f>+DATE(YEAR(DoB)+18,MONTH(DoB),DAY(DoB))</f>
        <v>6575</v>
      </c>
      <c r="E147" s="55"/>
      <c r="F147" s="49" t="s">
        <v>120</v>
      </c>
      <c r="G147" s="49"/>
      <c r="H147" s="49"/>
      <c r="I147" s="49"/>
      <c r="J147" s="49"/>
      <c r="K147" s="49"/>
      <c r="L147" s="49"/>
      <c r="M147" s="49"/>
      <c r="N147" s="49"/>
    </row>
    <row r="148" spans="1:17" x14ac:dyDescent="0.25">
      <c r="A148" s="49"/>
      <c r="B148" s="49"/>
      <c r="D148" s="55"/>
      <c r="E148" s="548">
        <v>38813</v>
      </c>
      <c r="F148" s="49" t="s">
        <v>509</v>
      </c>
      <c r="G148" s="49"/>
      <c r="H148" s="49"/>
      <c r="I148" s="49"/>
      <c r="J148" s="49"/>
      <c r="K148" s="49"/>
      <c r="L148" s="49"/>
      <c r="M148" s="49"/>
      <c r="N148" s="49"/>
    </row>
    <row r="149" spans="1:17" x14ac:dyDescent="0.25">
      <c r="A149" s="93" t="s">
        <v>122</v>
      </c>
      <c r="B149" s="93"/>
      <c r="C149" s="94"/>
      <c r="D149" s="55"/>
      <c r="F149" s="49"/>
      <c r="G149" s="49"/>
      <c r="H149" s="49"/>
      <c r="I149" s="49"/>
      <c r="J149" s="49"/>
      <c r="K149" s="49"/>
      <c r="L149" s="49"/>
      <c r="M149" s="49"/>
      <c r="N149" s="49"/>
    </row>
    <row r="150" spans="1:17" x14ac:dyDescent="0.25">
      <c r="A150" s="49" t="s">
        <v>128</v>
      </c>
      <c r="B150" s="49"/>
      <c r="C150" s="49">
        <v>21000</v>
      </c>
      <c r="E150" s="49"/>
      <c r="F150" s="49"/>
      <c r="G150" s="49"/>
      <c r="H150" s="49"/>
      <c r="I150" s="49"/>
      <c r="J150" s="49"/>
      <c r="K150" s="49"/>
      <c r="L150" s="49"/>
      <c r="M150" s="49"/>
      <c r="N150" s="49"/>
    </row>
    <row r="151" spans="1:17" x14ac:dyDescent="0.25">
      <c r="A151" s="49" t="s">
        <v>129</v>
      </c>
      <c r="B151" s="49"/>
      <c r="C151" s="49">
        <v>140000</v>
      </c>
      <c r="E151" s="49"/>
      <c r="F151" s="49"/>
      <c r="G151" s="49"/>
      <c r="H151" s="49"/>
      <c r="I151" s="49"/>
      <c r="J151" s="49"/>
      <c r="K151" s="49"/>
      <c r="L151" s="49"/>
      <c r="M151" s="49"/>
      <c r="N151" s="49"/>
    </row>
    <row r="152" spans="1:17" x14ac:dyDescent="0.25">
      <c r="A152" s="93" t="s">
        <v>126</v>
      </c>
      <c r="B152" s="93"/>
      <c r="C152" s="93"/>
      <c r="D152" s="93"/>
      <c r="E152" s="49"/>
      <c r="F152" s="49"/>
      <c r="G152" s="49"/>
      <c r="H152" s="49"/>
      <c r="I152" s="49"/>
      <c r="J152" s="49"/>
      <c r="K152" s="49"/>
      <c r="L152" s="49"/>
      <c r="M152" s="49"/>
      <c r="N152" s="49"/>
    </row>
    <row r="153" spans="1:17" x14ac:dyDescent="0.25">
      <c r="A153" s="49" t="s">
        <v>129</v>
      </c>
      <c r="B153" s="49"/>
      <c r="C153" s="59">
        <f>INT((DJS-DATE(YEAR(DoB)+16,MONTH(DoB),DAY(DoB)))/365.25)</f>
        <v>-16</v>
      </c>
      <c r="D153" s="57">
        <f>+IF(TVinYears&gt;=C153,E153,E154)</f>
        <v>0</v>
      </c>
      <c r="E153" s="49">
        <f>+INT(((DJS-DATE(YEAR(DoB)+16,MONTH(DoB),DAY(DoB)))/365.25-INT((DJS-DATE(YEAR(DoB)+16,MONTH(DoB),DAY(DoB)))/365.25))*365.25)</f>
        <v>0</v>
      </c>
      <c r="F153" s="49" t="s">
        <v>127</v>
      </c>
      <c r="G153" s="49"/>
      <c r="H153" s="49"/>
      <c r="I153" s="49"/>
      <c r="J153" s="49"/>
      <c r="K153" s="49"/>
      <c r="L153" s="49"/>
      <c r="M153" s="49"/>
      <c r="N153" s="49"/>
    </row>
    <row r="154" spans="1:17" x14ac:dyDescent="0.25">
      <c r="A154" s="49"/>
      <c r="B154" s="49"/>
      <c r="D154" s="49"/>
      <c r="E154" s="49">
        <v>365</v>
      </c>
      <c r="F154" s="49"/>
      <c r="G154" s="49"/>
      <c r="H154" s="49"/>
      <c r="I154" s="49"/>
      <c r="J154" s="49"/>
      <c r="K154" s="49"/>
      <c r="L154" s="49"/>
      <c r="M154" s="49"/>
      <c r="N154" s="49"/>
    </row>
    <row r="155" spans="1:17" x14ac:dyDescent="0.25">
      <c r="A155" s="93" t="s">
        <v>130</v>
      </c>
      <c r="B155" s="93"/>
      <c r="C155" s="93"/>
      <c r="E155" s="49"/>
      <c r="F155" s="49"/>
      <c r="J155" s="49"/>
      <c r="K155" s="49"/>
      <c r="L155" s="49"/>
      <c r="M155" s="49"/>
      <c r="N155" s="49"/>
    </row>
    <row r="156" spans="1:17" x14ac:dyDescent="0.25">
      <c r="A156" s="56"/>
      <c r="B156" s="56"/>
      <c r="C156" s="56"/>
      <c r="E156" s="49"/>
      <c r="F156" s="49"/>
      <c r="J156" s="49"/>
      <c r="K156" s="49"/>
      <c r="L156" s="49"/>
      <c r="M156" s="49"/>
      <c r="Q156" s="49"/>
    </row>
    <row r="157" spans="1:17" x14ac:dyDescent="0.25">
      <c r="A157" s="56"/>
      <c r="B157" s="56"/>
      <c r="C157" s="56" t="s">
        <v>511</v>
      </c>
      <c r="D157" s="48" t="s">
        <v>654</v>
      </c>
      <c r="E157" s="49" t="s">
        <v>655</v>
      </c>
      <c r="F157" s="49" t="s">
        <v>653</v>
      </c>
      <c r="G157" s="49" t="s">
        <v>649</v>
      </c>
      <c r="H157" s="49" t="s">
        <v>658</v>
      </c>
      <c r="J157" s="49"/>
      <c r="K157" s="49"/>
      <c r="L157" s="49"/>
      <c r="M157" s="49"/>
    </row>
    <row r="158" spans="1:17" ht="12.75" customHeight="1" x14ac:dyDescent="0.25">
      <c r="A158" s="49" t="s">
        <v>128</v>
      </c>
      <c r="B158" s="49"/>
      <c r="C158" s="554">
        <f>D172</f>
        <v>18263</v>
      </c>
      <c r="D158" s="51">
        <f>D169</f>
        <v>20089</v>
      </c>
      <c r="E158" s="548" t="e">
        <f>IF(CurrentScheme=Sch_FPS,C158,D158)</f>
        <v>#N/A</v>
      </c>
      <c r="F158" s="555" t="s">
        <v>647</v>
      </c>
      <c r="G158" s="48">
        <f ca="1">age_exact</f>
        <v>120.25188227241615</v>
      </c>
      <c r="H158" s="48">
        <f ca="1">G158</f>
        <v>120.25188227241615</v>
      </c>
      <c r="K158" s="93" t="s">
        <v>591</v>
      </c>
      <c r="L158" s="49"/>
      <c r="M158" s="49"/>
    </row>
    <row r="159" spans="1:17" ht="39.6" x14ac:dyDescent="0.25">
      <c r="A159" s="49" t="s">
        <v>129</v>
      </c>
      <c r="B159" s="49"/>
      <c r="C159" s="552">
        <v>68</v>
      </c>
      <c r="E159" s="548">
        <f>DATE(YEAR(DoB)+C159,MONTH(DoB),DAY(DoB))</f>
        <v>24837</v>
      </c>
      <c r="F159" s="556" t="s">
        <v>648</v>
      </c>
      <c r="G159" s="558" t="e">
        <f ca="1">IF(PT_Status="Part-Time",Reck_Years+Reck_Days/DoY,age_exact-'FPS and NFPS calcs'!D9+'FPS and NFPS calcs'!$D$18)</f>
        <v>#N/A</v>
      </c>
      <c r="H159" s="558" t="e">
        <f ca="1">IF(PT_Status="Part-Time",Reck_Years+Reck_Days/DoY,'FPS and NFPS calcs'!D18+(MIN(DoStartSchYear,'FPS and NFPS calcs'!D25)-ProtectDate)/DoY)</f>
        <v>#N/A</v>
      </c>
      <c r="I159" s="557" t="s">
        <v>664</v>
      </c>
      <c r="J159" s="48" t="s">
        <v>598</v>
      </c>
      <c r="K159" s="548">
        <f>DATE(YEAR(DoB)+55,MONTH(DoB),DAY(DoB))</f>
        <v>20089</v>
      </c>
      <c r="M159" s="49"/>
    </row>
    <row r="160" spans="1:17" ht="26.4" x14ac:dyDescent="0.25">
      <c r="A160" s="49" t="s">
        <v>510</v>
      </c>
      <c r="B160" s="49"/>
      <c r="D160" s="49" t="s">
        <v>511</v>
      </c>
      <c r="E160" s="49"/>
      <c r="F160" s="555" t="s">
        <v>650</v>
      </c>
      <c r="G160" s="558" t="e">
        <f ca="1">(25-G159)/IF(PT_Status="Part-Time",future_PTP,1)</f>
        <v>#N/A</v>
      </c>
      <c r="H160" s="558" t="e">
        <f ca="1">(25-H159)/IF(PT_Status="Part-Time",future_PTP,1)</f>
        <v>#N/A</v>
      </c>
      <c r="I160" s="557" t="s">
        <v>664</v>
      </c>
      <c r="K160" s="48">
        <f ca="1">IF(PT_Status="Part-time",Reck_Years+Reck_Days/DoY+(MAX(date55,Date_curr)-Date_curr)/DoY*future_PTP,(MAX(date55,Date_curr)-DJS)/DoY)+TVinYears+TVinDays/DoY</f>
        <v>121.14989733059548</v>
      </c>
      <c r="M160" s="49"/>
      <c r="Q160" s="553"/>
    </row>
    <row r="161" spans="1:17" ht="26.4" x14ac:dyDescent="0.25">
      <c r="A161" s="49" t="s">
        <v>128</v>
      </c>
      <c r="B161" s="49"/>
      <c r="C161" s="59">
        <f ca="1">+MAX(55,D167)</f>
        <v>121</v>
      </c>
      <c r="D161" s="49" t="s">
        <v>128</v>
      </c>
      <c r="E161" s="59">
        <f ca="1">MAX(ROUND((D172-DoB)/365.25,2),D167)</f>
        <v>121</v>
      </c>
      <c r="F161" s="555" t="s">
        <v>652</v>
      </c>
      <c r="G161" s="559" t="e">
        <f ca="1">G158+G160</f>
        <v>#N/A</v>
      </c>
      <c r="H161" s="559" t="e">
        <f ca="1">IF(H160&gt;('FPS and NFPS calcs'!D25-Date_curr)/DoY,55,H158+H160)</f>
        <v>#N/A</v>
      </c>
      <c r="I161" s="557" t="s">
        <v>664</v>
      </c>
      <c r="J161" s="48" t="s">
        <v>592</v>
      </c>
      <c r="K161" s="49" t="b">
        <f ca="1">AND(K160&lt;25,age_lbd&lt;55)</f>
        <v>0</v>
      </c>
      <c r="M161" s="49" t="s">
        <v>676</v>
      </c>
      <c r="Q161" s="51"/>
    </row>
    <row r="162" spans="1:17" ht="26.4" x14ac:dyDescent="0.25">
      <c r="A162" s="49" t="s">
        <v>129</v>
      </c>
      <c r="B162" s="49"/>
      <c r="C162" s="59">
        <v>65</v>
      </c>
      <c r="D162" s="49" t="s">
        <v>129</v>
      </c>
      <c r="E162" s="59">
        <v>65</v>
      </c>
      <c r="F162" s="555" t="s">
        <v>651</v>
      </c>
      <c r="G162" s="51" t="e">
        <f ca="1">EDATE(DoB,G161*12)</f>
        <v>#N/A</v>
      </c>
      <c r="H162" s="51" t="e">
        <f ca="1">EDATE(DoB,H161*12)</f>
        <v>#N/A</v>
      </c>
      <c r="I162" s="557" t="s">
        <v>664</v>
      </c>
      <c r="J162" s="49"/>
      <c r="K162" s="49"/>
      <c r="L162" s="49"/>
      <c r="M162" s="49"/>
      <c r="N162" s="49"/>
      <c r="O162" s="49"/>
    </row>
    <row r="163" spans="1:17" ht="26.4" x14ac:dyDescent="0.25">
      <c r="A163" s="49"/>
      <c r="B163" s="49"/>
      <c r="C163" s="59"/>
      <c r="D163" s="49"/>
      <c r="E163" s="59"/>
      <c r="F163" s="555" t="s">
        <v>675</v>
      </c>
      <c r="G163" s="559" t="e">
        <f ca="1">(30-G159)/IF(PT_Status="Part-Time",future_PTP,1)</f>
        <v>#N/A</v>
      </c>
      <c r="H163" s="559" t="e">
        <f ca="1">(30-H159)/IF(PT_Status="Part-Time",future_PTP,1)</f>
        <v>#N/A</v>
      </c>
      <c r="I163" s="557"/>
      <c r="J163" s="49"/>
      <c r="K163" s="49"/>
      <c r="L163" s="49"/>
      <c r="M163" s="49"/>
      <c r="N163" s="49"/>
      <c r="O163" s="49"/>
    </row>
    <row r="164" spans="1:17" ht="26.4" x14ac:dyDescent="0.25">
      <c r="A164" s="49"/>
      <c r="B164" s="49"/>
      <c r="C164" s="59"/>
      <c r="D164" s="49"/>
      <c r="E164" s="59"/>
      <c r="F164" s="555" t="s">
        <v>673</v>
      </c>
      <c r="G164" s="559" t="e">
        <f ca="1">G158+G163</f>
        <v>#N/A</v>
      </c>
      <c r="H164" s="51" t="e">
        <f ca="1">IF(H160&gt;('FPS and NFPS calcs'!D25-Date_curr)/DoY,55,H158+H163)</f>
        <v>#N/A</v>
      </c>
      <c r="I164" s="557"/>
      <c r="J164" s="49"/>
      <c r="K164" s="49"/>
      <c r="L164" s="49"/>
      <c r="M164" s="49"/>
      <c r="N164" s="49"/>
      <c r="O164" s="49"/>
    </row>
    <row r="165" spans="1:17" ht="26.4" x14ac:dyDescent="0.25">
      <c r="A165" s="49"/>
      <c r="B165" s="49"/>
      <c r="C165" s="59"/>
      <c r="D165" s="49"/>
      <c r="E165" s="59"/>
      <c r="F165" s="555" t="s">
        <v>674</v>
      </c>
      <c r="G165" s="51" t="e">
        <f ca="1">EDATE(DoB,12*G164)</f>
        <v>#N/A</v>
      </c>
      <c r="H165" s="51" t="e">
        <f ca="1">EDATE(DoB,H164*12)</f>
        <v>#N/A</v>
      </c>
      <c r="I165" s="557"/>
      <c r="J165" s="49"/>
      <c r="K165" s="49"/>
      <c r="L165" s="49"/>
      <c r="M165" s="49"/>
      <c r="N165" s="49"/>
      <c r="O165" s="49"/>
    </row>
    <row r="166" spans="1:17" x14ac:dyDescent="0.25">
      <c r="A166" s="56" t="s">
        <v>141</v>
      </c>
      <c r="B166" s="56"/>
      <c r="C166" s="59"/>
      <c r="D166" s="49"/>
      <c r="E166" s="55">
        <f>+DATE(YEAR(DJS)-TVinYears,MONTH(DJS),DAY(DJS))-TVinDays</f>
        <v>0</v>
      </c>
      <c r="F166" s="557" t="s">
        <v>665</v>
      </c>
      <c r="G166" s="215" t="e">
        <f ca="1">DoB+G161*365.25</f>
        <v>#N/A</v>
      </c>
      <c r="H166" s="215" t="e">
        <f ca="1">DoB+H161*365.25</f>
        <v>#N/A</v>
      </c>
      <c r="J166" s="49"/>
      <c r="K166" s="49"/>
      <c r="L166" s="49"/>
      <c r="M166" s="49"/>
      <c r="N166" s="49"/>
      <c r="O166" s="49"/>
    </row>
    <row r="167" spans="1:17" x14ac:dyDescent="0.25">
      <c r="A167" s="56"/>
      <c r="B167" s="56"/>
      <c r="C167" s="59"/>
      <c r="D167" s="57">
        <f ca="1">+ROUNDUP((DoStartSchYear-DoB)/365.25,0)</f>
        <v>121</v>
      </c>
      <c r="E167" s="55" t="s">
        <v>168</v>
      </c>
      <c r="F167" s="49"/>
      <c r="G167" s="55"/>
      <c r="H167" s="49"/>
      <c r="J167" s="49"/>
      <c r="K167" s="49"/>
      <c r="L167" s="49"/>
      <c r="M167" s="49"/>
      <c r="N167" s="49"/>
      <c r="O167" s="49"/>
    </row>
    <row r="168" spans="1:17" x14ac:dyDescent="0.25">
      <c r="A168" s="49"/>
      <c r="B168" s="49"/>
      <c r="C168" s="55"/>
      <c r="D168" s="548">
        <f>+DATE(YEAR(E166)+30,MONTH(E166),DAY(E166))</f>
        <v>10958</v>
      </c>
      <c r="E168" s="49" t="s">
        <v>512</v>
      </c>
      <c r="F168" s="49"/>
      <c r="G168" s="49"/>
      <c r="H168" s="49"/>
      <c r="J168" s="49"/>
      <c r="K168" s="49"/>
      <c r="L168" s="49"/>
      <c r="M168" s="49"/>
      <c r="N168" s="49"/>
    </row>
    <row r="169" spans="1:17" x14ac:dyDescent="0.25">
      <c r="A169" s="49"/>
      <c r="B169" s="49"/>
      <c r="D169" s="548">
        <f>+DATE(YEAR(DoB)+55,MONTH(DoB),DAY(DoB))</f>
        <v>20089</v>
      </c>
      <c r="E169" s="49" t="s">
        <v>131</v>
      </c>
      <c r="F169" s="49"/>
      <c r="G169" s="49"/>
      <c r="H169" s="49"/>
      <c r="J169" s="49"/>
      <c r="K169" s="49"/>
      <c r="L169" s="49"/>
      <c r="M169" s="49"/>
      <c r="N169" s="49"/>
    </row>
    <row r="170" spans="1:17" x14ac:dyDescent="0.25">
      <c r="A170" s="49"/>
      <c r="B170" s="49"/>
      <c r="D170" s="548">
        <f>+DATE(YEAR(E166)+25,MONTH(E166),DAY(E166))</f>
        <v>9132</v>
      </c>
      <c r="E170" s="49" t="s">
        <v>513</v>
      </c>
      <c r="F170" s="49"/>
      <c r="G170" s="49"/>
      <c r="H170" s="49"/>
      <c r="J170" s="49"/>
      <c r="K170" s="49"/>
      <c r="L170" s="49"/>
      <c r="M170" s="49"/>
      <c r="N170" s="49"/>
    </row>
    <row r="171" spans="1:17" x14ac:dyDescent="0.25">
      <c r="A171" s="49"/>
      <c r="B171" s="49"/>
      <c r="C171" s="55"/>
      <c r="D171" s="548">
        <f>+DATE(YEAR(DoB)+50,MONTH(DoB),DAY(DoB))</f>
        <v>18263</v>
      </c>
      <c r="E171" s="49" t="s">
        <v>132</v>
      </c>
      <c r="F171" s="49"/>
      <c r="G171" s="49"/>
      <c r="H171" s="49"/>
      <c r="J171" s="49"/>
      <c r="K171" s="49"/>
      <c r="L171" s="49"/>
      <c r="M171" s="49"/>
      <c r="N171" s="49"/>
    </row>
    <row r="172" spans="1:17" x14ac:dyDescent="0.25">
      <c r="A172" s="50" t="s">
        <v>133</v>
      </c>
      <c r="B172" s="50"/>
      <c r="D172" s="548">
        <f>+MAX(D171,MIN(D168,D169,MAX(D170,D171)))</f>
        <v>18263</v>
      </c>
      <c r="E172" s="49" t="s">
        <v>514</v>
      </c>
      <c r="G172" s="49"/>
      <c r="H172" s="49"/>
      <c r="I172" s="49"/>
      <c r="J172" s="49"/>
      <c r="K172" s="49"/>
      <c r="L172" s="49"/>
      <c r="M172" s="49"/>
      <c r="N172" s="49"/>
    </row>
    <row r="173" spans="1:17" x14ac:dyDescent="0.25">
      <c r="L173" s="49"/>
      <c r="M173" s="49"/>
      <c r="N173" s="49"/>
    </row>
    <row r="174" spans="1:17" x14ac:dyDescent="0.25">
      <c r="C174" s="50" t="s">
        <v>72</v>
      </c>
      <c r="E174" s="48" t="e">
        <f>'FPS and NFPS calcs'!F24</f>
        <v>#N/A</v>
      </c>
      <c r="L174" s="49"/>
      <c r="M174" s="49"/>
      <c r="N174" s="49"/>
    </row>
    <row r="175" spans="1:17" x14ac:dyDescent="0.25">
      <c r="C175" s="50" t="s">
        <v>80</v>
      </c>
      <c r="E175" s="549" t="e">
        <f>'FPS and NFPS calcs'!F25</f>
        <v>#N/A</v>
      </c>
      <c r="F175" s="48" t="e">
        <f>TEXT(E175,"d mmmm yyyy")</f>
        <v>#N/A</v>
      </c>
      <c r="L175" s="49"/>
      <c r="M175" s="49"/>
      <c r="N175" s="49"/>
    </row>
    <row r="176" spans="1:17" x14ac:dyDescent="0.25">
      <c r="C176" s="50" t="s">
        <v>70</v>
      </c>
      <c r="E176" s="549" t="str">
        <f>IFERROR(E175+1,"N/A")</f>
        <v>N/A</v>
      </c>
      <c r="F176" s="48" t="str">
        <f>TEXT(E176,"d mmmm yyyy")</f>
        <v>N/A</v>
      </c>
      <c r="L176" s="49"/>
      <c r="M176" s="49"/>
      <c r="N176" s="49"/>
    </row>
    <row r="177" spans="1:14" x14ac:dyDescent="0.25">
      <c r="C177" s="50"/>
      <c r="L177" s="49"/>
      <c r="M177" s="49"/>
      <c r="N177" s="49"/>
    </row>
    <row r="178" spans="1:14" ht="12.75" customHeight="1" x14ac:dyDescent="0.25">
      <c r="A178" s="50"/>
      <c r="B178" s="50"/>
      <c r="C178" s="63" t="s">
        <v>203</v>
      </c>
      <c r="D178" s="62"/>
      <c r="E178" s="63" t="s">
        <v>204</v>
      </c>
      <c r="J178" s="49"/>
      <c r="K178" s="49"/>
      <c r="L178" s="49"/>
    </row>
    <row r="179" spans="1:14" x14ac:dyDescent="0.25">
      <c r="C179" s="49" t="s">
        <v>200</v>
      </c>
      <c r="D179" s="49"/>
      <c r="E179" s="49" t="s">
        <v>216</v>
      </c>
      <c r="J179" s="49"/>
      <c r="K179" s="49"/>
      <c r="L179" s="49"/>
    </row>
    <row r="180" spans="1:14" x14ac:dyDescent="0.25">
      <c r="A180" s="49"/>
      <c r="B180" s="49"/>
      <c r="C180" s="49" t="s">
        <v>201</v>
      </c>
      <c r="D180" s="49"/>
      <c r="E180" s="49" t="str">
        <f>F176</f>
        <v>N/A</v>
      </c>
      <c r="F180" s="49"/>
      <c r="G180" s="49"/>
      <c r="H180" s="49"/>
      <c r="I180" s="49"/>
      <c r="J180" s="49"/>
      <c r="K180" s="49"/>
      <c r="L180" s="49"/>
    </row>
    <row r="181" spans="1:14" x14ac:dyDescent="0.25">
      <c r="C181" s="49" t="s">
        <v>202</v>
      </c>
      <c r="D181" s="49"/>
      <c r="E181" s="188" t="s">
        <v>317</v>
      </c>
    </row>
    <row r="182" spans="1:14" x14ac:dyDescent="0.25">
      <c r="D182" s="49"/>
      <c r="E182" s="49"/>
    </row>
    <row r="183" spans="1:14" x14ac:dyDescent="0.25">
      <c r="C183" s="49" t="s">
        <v>230</v>
      </c>
      <c r="D183" s="49"/>
      <c r="E183" s="49">
        <f ca="1">YEARFRAC(DJS,DoStartSchYear)</f>
        <v>120.25277777777778</v>
      </c>
    </row>
    <row r="184" spans="1:14" x14ac:dyDescent="0.25">
      <c r="C184" s="49" t="s">
        <v>233</v>
      </c>
      <c r="D184" s="49"/>
      <c r="E184" s="55">
        <f ca="1">DoStartSchYear</f>
        <v>43922</v>
      </c>
    </row>
    <row r="185" spans="1:14" x14ac:dyDescent="0.25">
      <c r="D185" s="49"/>
      <c r="E185" s="55" t="str">
        <f>basis1</f>
        <v>CPI + 0%</v>
      </c>
      <c r="F185" s="48" t="str">
        <f>basis2</f>
        <v>CPI + 1%</v>
      </c>
      <c r="G185" s="48" t="str">
        <f>basis3</f>
        <v>CPI + 2%</v>
      </c>
    </row>
    <row r="186" spans="1:14" x14ac:dyDescent="0.25">
      <c r="C186" s="49" t="s">
        <v>240</v>
      </c>
      <c r="D186" s="49"/>
      <c r="E186" s="66" t="e">
        <f>ROUND(IF(CurrentScheme="NPPS",0.5*CurrentSal,2/3*CurrentSal),-2)</f>
        <v>#N/A</v>
      </c>
    </row>
    <row r="187" spans="1:14" x14ac:dyDescent="0.25">
      <c r="C187" s="49" t="s">
        <v>241</v>
      </c>
      <c r="D187" s="49"/>
      <c r="E187" s="66">
        <f>ROUND(4*0.5*CurrentSal,-2)</f>
        <v>0</v>
      </c>
    </row>
    <row r="188" spans="1:14" x14ac:dyDescent="0.25">
      <c r="C188" s="49" t="s">
        <v>242</v>
      </c>
      <c r="D188" s="49"/>
      <c r="E188" s="66"/>
      <c r="I188" s="55"/>
    </row>
    <row r="189" spans="1:14" x14ac:dyDescent="0.25">
      <c r="D189" s="49"/>
      <c r="E189" s="66"/>
    </row>
    <row r="191" spans="1:14" x14ac:dyDescent="0.25">
      <c r="A191" s="60" t="s">
        <v>116</v>
      </c>
      <c r="B191" s="60"/>
      <c r="C191" s="65"/>
      <c r="D191" s="61"/>
      <c r="E191" s="61"/>
      <c r="F191" s="61"/>
      <c r="G191" s="61"/>
      <c r="H191" s="61"/>
      <c r="I191" s="61"/>
      <c r="J191" s="61"/>
      <c r="K191" s="61"/>
    </row>
    <row r="192" spans="1:14" x14ac:dyDescent="0.25">
      <c r="A192" s="61"/>
      <c r="B192" s="61"/>
      <c r="C192" s="65"/>
      <c r="D192" s="61"/>
      <c r="E192" s="61"/>
      <c r="F192" s="61"/>
      <c r="G192" s="61"/>
      <c r="H192" s="61"/>
      <c r="I192" s="61"/>
      <c r="J192" s="61"/>
      <c r="K192" s="61"/>
    </row>
    <row r="193" spans="1:11" x14ac:dyDescent="0.25">
      <c r="A193" s="61" t="s">
        <v>117</v>
      </c>
      <c r="B193" s="61"/>
      <c r="C193" s="65" t="s">
        <v>118</v>
      </c>
      <c r="D193" s="61"/>
      <c r="E193" s="61"/>
      <c r="F193" s="61"/>
      <c r="G193" s="61"/>
      <c r="H193" s="61"/>
      <c r="I193" s="61"/>
      <c r="J193" s="61"/>
      <c r="K193" s="61"/>
    </row>
    <row r="194" spans="1:11" x14ac:dyDescent="0.25">
      <c r="A194" s="61" t="s">
        <v>119</v>
      </c>
      <c r="B194" s="61"/>
      <c r="C194" s="65" t="s">
        <v>120</v>
      </c>
      <c r="D194" s="61"/>
      <c r="E194" s="61"/>
      <c r="F194" s="61"/>
      <c r="G194" s="61"/>
      <c r="H194" s="61"/>
      <c r="I194" s="61"/>
      <c r="J194" s="61"/>
      <c r="K194" s="61"/>
    </row>
    <row r="195" spans="1:11" x14ac:dyDescent="0.25">
      <c r="A195" s="61"/>
      <c r="B195" s="61"/>
      <c r="C195" s="65" t="s">
        <v>121</v>
      </c>
      <c r="D195" s="61"/>
      <c r="E195" s="61"/>
      <c r="F195" s="61"/>
      <c r="G195" s="61"/>
      <c r="H195" s="61"/>
      <c r="I195" s="61"/>
      <c r="J195" s="61"/>
      <c r="K195" s="61"/>
    </row>
    <row r="196" spans="1:11" x14ac:dyDescent="0.25">
      <c r="A196" s="61" t="s">
        <v>122</v>
      </c>
      <c r="B196" s="61"/>
      <c r="C196" s="65" t="s">
        <v>123</v>
      </c>
      <c r="D196" s="61"/>
      <c r="E196" s="61"/>
      <c r="F196" s="61"/>
      <c r="G196" s="61"/>
      <c r="H196" s="61"/>
      <c r="I196" s="61"/>
      <c r="J196" s="61"/>
      <c r="K196" s="61"/>
    </row>
    <row r="197" spans="1:11" x14ac:dyDescent="0.25">
      <c r="A197" s="61" t="s">
        <v>124</v>
      </c>
      <c r="B197" s="61"/>
      <c r="C197" s="65" t="s">
        <v>515</v>
      </c>
      <c r="D197" s="61"/>
      <c r="E197" s="61"/>
      <c r="F197" s="61"/>
      <c r="G197" s="61"/>
      <c r="H197" s="61"/>
      <c r="I197" s="61"/>
      <c r="J197" s="61"/>
      <c r="K197" s="61"/>
    </row>
    <row r="198" spans="1:11" x14ac:dyDescent="0.25">
      <c r="A198" s="61"/>
      <c r="B198" s="61"/>
      <c r="C198" s="65" t="s">
        <v>516</v>
      </c>
      <c r="D198" s="61"/>
      <c r="E198" s="61"/>
      <c r="F198" s="61"/>
      <c r="G198" s="61"/>
      <c r="H198" s="61"/>
      <c r="I198" s="61"/>
      <c r="J198" s="61"/>
      <c r="K198" s="61"/>
    </row>
    <row r="199" spans="1:11" x14ac:dyDescent="0.25">
      <c r="A199" s="61" t="s">
        <v>81</v>
      </c>
      <c r="B199" s="61"/>
      <c r="C199" s="65" t="s">
        <v>125</v>
      </c>
      <c r="D199" s="61"/>
      <c r="E199" s="61"/>
      <c r="F199" s="61"/>
      <c r="G199" s="61"/>
      <c r="H199" s="61"/>
      <c r="I199" s="61"/>
      <c r="J199" s="61"/>
      <c r="K199" s="61"/>
    </row>
    <row r="200" spans="1:11" x14ac:dyDescent="0.25">
      <c r="A200" s="61" t="s">
        <v>126</v>
      </c>
      <c r="B200" s="61"/>
      <c r="C200" s="65" t="s">
        <v>127</v>
      </c>
      <c r="D200" s="61"/>
      <c r="E200" s="61"/>
      <c r="F200" s="61"/>
      <c r="G200" s="61"/>
      <c r="H200" s="61"/>
      <c r="I200" s="61"/>
      <c r="J200" s="61"/>
      <c r="K200" s="61"/>
    </row>
    <row r="201" spans="1:11" x14ac:dyDescent="0.25">
      <c r="A201" s="65" t="s">
        <v>231</v>
      </c>
      <c r="B201" s="65"/>
      <c r="C201" s="65"/>
      <c r="D201" s="61"/>
      <c r="E201" s="61"/>
      <c r="F201" s="61"/>
      <c r="G201" s="61"/>
      <c r="H201" s="61"/>
      <c r="I201" s="61"/>
      <c r="J201" s="61"/>
      <c r="K201" s="61"/>
    </row>
    <row r="202" spans="1:11" x14ac:dyDescent="0.25">
      <c r="A202" s="65" t="s">
        <v>232</v>
      </c>
      <c r="B202" s="65"/>
      <c r="C202" s="65"/>
      <c r="D202" s="61"/>
      <c r="E202" s="61"/>
      <c r="F202" s="61"/>
      <c r="G202" s="61"/>
      <c r="H202" s="61"/>
      <c r="I202" s="61"/>
      <c r="J202" s="61"/>
      <c r="K202" s="61"/>
    </row>
    <row r="204" spans="1:11" x14ac:dyDescent="0.25">
      <c r="A204" s="49" t="s">
        <v>221</v>
      </c>
      <c r="B204" s="49"/>
    </row>
    <row r="205" spans="1:11" x14ac:dyDescent="0.25">
      <c r="A205" s="49" t="s">
        <v>222</v>
      </c>
      <c r="B205" s="49"/>
    </row>
    <row r="206" spans="1:11" x14ac:dyDescent="0.25">
      <c r="E206" s="51"/>
      <c r="G206" s="51"/>
    </row>
  </sheetData>
  <sheetProtection algorithmName="SHA-512" hashValue="3oRteeUnaVfK0kyQpoiXqLkWmeRE+aoQW+6S5vlsbMhlbLQGujn3QxpF07nTkM9dvaz60Pk4+eXoMH2MtR7gsw==" saltValue="VDoXz09QraILYLW48h1ZkQ==" spinCount="100000" sheet="1" objects="1" scenarios="1"/>
  <dataConsolidate/>
  <mergeCells count="40">
    <mergeCell ref="C18:N18"/>
    <mergeCell ref="C99:N99"/>
    <mergeCell ref="C19:N19"/>
    <mergeCell ref="C21:N21"/>
    <mergeCell ref="J28:K28"/>
    <mergeCell ref="C94:E95"/>
    <mergeCell ref="G94:I95"/>
    <mergeCell ref="K94:M95"/>
    <mergeCell ref="C20:N20"/>
    <mergeCell ref="C126:N126"/>
    <mergeCell ref="C121:N121"/>
    <mergeCell ref="C125:N125"/>
    <mergeCell ref="C114:N114"/>
    <mergeCell ref="I70:M70"/>
    <mergeCell ref="C98:N98"/>
    <mergeCell ref="C101:N101"/>
    <mergeCell ref="C113:N113"/>
    <mergeCell ref="C108:N108"/>
    <mergeCell ref="C105:N105"/>
    <mergeCell ref="C100:N100"/>
    <mergeCell ref="C103:N103"/>
    <mergeCell ref="C104:N104"/>
    <mergeCell ref="C106:N106"/>
    <mergeCell ref="C102:N102"/>
    <mergeCell ref="C13:N13"/>
    <mergeCell ref="C15:N15"/>
    <mergeCell ref="C16:N16"/>
    <mergeCell ref="C17:N17"/>
    <mergeCell ref="C128:N128"/>
    <mergeCell ref="C111:N111"/>
    <mergeCell ref="C116:N116"/>
    <mergeCell ref="C117:N117"/>
    <mergeCell ref="C122:N122"/>
    <mergeCell ref="C118:N118"/>
    <mergeCell ref="C127:N127"/>
    <mergeCell ref="C119:N119"/>
    <mergeCell ref="C112:N112"/>
    <mergeCell ref="C109:N109"/>
    <mergeCell ref="C110:N110"/>
    <mergeCell ref="C107:N107"/>
  </mergeCells>
  <phoneticPr fontId="2" type="noConversion"/>
  <conditionalFormatting sqref="D74:N76">
    <cfRule type="expression" dxfId="22" priority="44">
      <formula>DJS&gt;=NewSchDate</formula>
    </cfRule>
  </conditionalFormatting>
  <conditionalFormatting sqref="D85:N87">
    <cfRule type="expression" dxfId="21" priority="54" stopIfTrue="1">
      <formula>DJS&gt;=NewSchDate</formula>
    </cfRule>
  </conditionalFormatting>
  <conditionalFormatting sqref="D80:N81">
    <cfRule type="expression" dxfId="20" priority="53">
      <formula>ChosenRA&lt;55</formula>
    </cfRule>
  </conditionalFormatting>
  <conditionalFormatting sqref="C85:C86">
    <cfRule type="expression" dxfId="19" priority="47" stopIfTrue="1">
      <formula>DJS&gt;=NewSchDate</formula>
    </cfRule>
  </conditionalFormatting>
  <conditionalFormatting sqref="D90:N91">
    <cfRule type="expression" dxfId="18" priority="45">
      <formula>ChosenRA&lt;55</formula>
    </cfRule>
  </conditionalFormatting>
  <conditionalFormatting sqref="C63">
    <cfRule type="expression" dxfId="17" priority="38">
      <formula>Form_Check=FALSE</formula>
    </cfRule>
  </conditionalFormatting>
  <conditionalFormatting sqref="D47:L57">
    <cfRule type="expression" dxfId="16" priority="26">
      <formula>$J$45="Full-time"</formula>
    </cfRule>
  </conditionalFormatting>
  <conditionalFormatting sqref="C47:C56">
    <cfRule type="expression" dxfId="15" priority="24">
      <formula>$J$45="Full-time"</formula>
    </cfRule>
  </conditionalFormatting>
  <conditionalFormatting sqref="C49:C54">
    <cfRule type="expression" dxfId="14" priority="23">
      <formula>$J$32="2015 Scheme"</formula>
    </cfRule>
  </conditionalFormatting>
  <conditionalFormatting sqref="D49:M57">
    <cfRule type="expression" dxfId="13" priority="22">
      <formula>$J$32="2015 Scheme"</formula>
    </cfRule>
  </conditionalFormatting>
  <conditionalFormatting sqref="C74:C75">
    <cfRule type="expression" dxfId="12" priority="21">
      <formula>DJS&gt;=NewSchDate</formula>
    </cfRule>
  </conditionalFormatting>
  <conditionalFormatting sqref="C80:C81">
    <cfRule type="expression" dxfId="11" priority="19">
      <formula>ChosenRA&lt;55</formula>
    </cfRule>
  </conditionalFormatting>
  <conditionalFormatting sqref="C90:C91">
    <cfRule type="expression" dxfId="10" priority="18">
      <formula>ChosenRA&lt;55</formula>
    </cfRule>
  </conditionalFormatting>
  <conditionalFormatting sqref="H43">
    <cfRule type="expression" dxfId="9" priority="8">
      <formula>$J$32="2015 Scheme"</formula>
    </cfRule>
  </conditionalFormatting>
  <conditionalFormatting sqref="I43">
    <cfRule type="expression" dxfId="8" priority="6">
      <formula>$J$32="2015 Scheme"</formula>
    </cfRule>
  </conditionalFormatting>
  <conditionalFormatting sqref="J43">
    <cfRule type="expression" dxfId="7" priority="4">
      <formula>$J$32="2015 Scheme"</formula>
    </cfRule>
  </conditionalFormatting>
  <conditionalFormatting sqref="J43">
    <cfRule type="expression" dxfId="6" priority="3">
      <formula>$J$32="2015 Scheme"</formula>
    </cfRule>
  </conditionalFormatting>
  <conditionalFormatting sqref="I67:I68 I74:M81 I85:M91">
    <cfRule type="expression" dxfId="5" priority="1">
      <formula>$C$63&lt;&gt;""</formula>
    </cfRule>
  </conditionalFormatting>
  <dataValidations count="19">
    <dataValidation type="decimal" showInputMessage="1" showErrorMessage="1" error="Please enter a value between 0% and 100%." sqref="J47:J48" xr:uid="{00000000-0002-0000-0300-000000000000}">
      <formula1>0</formula1>
      <formula2>1</formula2>
    </dataValidation>
    <dataValidation type="decimal" allowBlank="1" showInputMessage="1" showErrorMessage="1" errorTitle="Invalid Earnings" error="You can only enter and amount between £23,000 and £140,000 into the calculator." sqref="J37" xr:uid="{00000000-0002-0000-0300-000002000000}">
      <formula1>C150</formula1>
      <formula2>C151</formula2>
    </dataValidation>
    <dataValidation type="decimal" allowBlank="1" showInputMessage="1" showErrorMessage="1" errorTitle="Invalid Transfer In Service" error="You cannot enter an amount greater than the period between your sixteenth birthday and your date joined scheme as entered above." sqref="J35" xr:uid="{00000000-0002-0000-0300-000004000000}">
      <formula1>0</formula1>
      <formula2>D153</formula2>
    </dataValidation>
    <dataValidation type="whole" allowBlank="1" showInputMessage="1" showErrorMessage="1" sqref="J46" xr:uid="{00000000-0002-0000-0300-000005000000}">
      <formula1>C166</formula1>
      <formula2>C167</formula2>
    </dataValidation>
    <dataValidation type="whole" allowBlank="1" showInputMessage="1" showErrorMessage="1" sqref="J52" xr:uid="{00000000-0002-0000-0300-000006000000}">
      <formula1>C162</formula1>
      <formula2>C166</formula2>
    </dataValidation>
    <dataValidation type="decimal" allowBlank="1" showInputMessage="1" showErrorMessage="1" errorTitle="Invalid Transfer In Service" error="You cannot enter an amount greater than the period between your sixteenth birthday and your date joined scheme as entered above." sqref="J34" xr:uid="{00000000-0002-0000-0300-000007000000}">
      <formula1>0</formula1>
      <formula2>C153</formula2>
    </dataValidation>
    <dataValidation type="decimal" allowBlank="1" showInputMessage="1" showErrorMessage="1" errorTitle="Invalid reckonable service" error="You cannot enter an amount greater than the period between your date of joining and your benefit statement date" sqref="J53" xr:uid="{00000000-0002-0000-0300-000008000000}">
      <formula1>0</formula1>
      <formula2>E183</formula2>
    </dataValidation>
    <dataValidation type="list" allowBlank="1" showInputMessage="1" showErrorMessage="1" errorTitle="Invalid Scheme" error="Please select an option from the drop down list" sqref="J32" xr:uid="{00000000-0002-0000-0300-000009000000}">
      <formula1>IF(sch_2="",sch_1,sch)</formula1>
    </dataValidation>
    <dataValidation type="list" allowBlank="1" showInputMessage="1" showErrorMessage="1" sqref="J45" xr:uid="{00000000-0002-0000-0300-00000A000000}">
      <formula1>$A$204:$A$205</formula1>
    </dataValidation>
    <dataValidation type="whole" allowBlank="1" showInputMessage="1" showErrorMessage="1" sqref="J60" xr:uid="{00000000-0002-0000-0300-00000B000000}">
      <formula1>C168</formula1>
      <formula2>C169</formula2>
    </dataValidation>
    <dataValidation allowBlank="1" showInputMessage="1" showErrorMessage="1" errorTitle="Invalid Date Joined Scheme" error="You can only enter a date of joining after your 18th birthday and before the start of the new scheme 1 April 2015. If you are a member of the PPS your date of joining cannot be later than 6 April 2006." sqref="J28" xr:uid="{00000000-0002-0000-0300-00000C000000}"/>
    <dataValidation type="whole" allowBlank="1" showInputMessage="1" showErrorMessage="1" sqref="J44" xr:uid="{00000000-0002-0000-0300-00000D000000}">
      <formula1>C160</formula1>
      <formula2>C161</formula2>
    </dataValidation>
    <dataValidation type="decimal" allowBlank="1" showInputMessage="1" showErrorMessage="1" errorTitle="Invalid Transfer In Service" error="You cannot enter an amount greater than the period between your sixteenth birthday and your date joined scheme as entered above." sqref="J56" xr:uid="{00000000-0002-0000-0300-00000E000000}">
      <formula1>0</formula1>
      <formula2>C153</formula2>
    </dataValidation>
    <dataValidation type="whole" allowBlank="1" showInputMessage="1" showErrorMessage="1" sqref="J55" xr:uid="{00000000-0002-0000-0300-00000F000000}">
      <formula1>C162</formula1>
      <formula2>C166</formula2>
    </dataValidation>
    <dataValidation type="decimal" allowBlank="1" showInputMessage="1" showErrorMessage="1" errorTitle="Invalid Transfer In Service" error="You cannot enter an amount greater than the period between your sixteenth birthday and your date joined scheme as entered above." sqref="J57:J58" xr:uid="{00000000-0002-0000-0300-000010000000}">
      <formula1>0</formula1>
      <formula2>D153</formula2>
    </dataValidation>
    <dataValidation type="whole" allowBlank="1" showInputMessage="1" showErrorMessage="1" sqref="J49:J50" xr:uid="{00000000-0002-0000-0300-000012000000}">
      <formula1>C162</formula1>
      <formula2>C166</formula2>
    </dataValidation>
    <dataValidation type="date" allowBlank="1" showInputMessage="1" showErrorMessage="1" errorTitle="Invalid Date of Birth" error="This calculator only accepts dates of birth earlier than 18 years prior to the current date or 18 years before the date joined scheme. It also only accepts dates of birth within the last 65 years." sqref="J26" xr:uid="{3A788157-B2DF-4B29-AA89-EDBC7F85E661}">
      <formula1>C138</formula1>
      <formula2>C137</formula2>
    </dataValidation>
    <dataValidation type="date" allowBlank="1" showInputMessage="1" showErrorMessage="1" errorTitle="Invalid Date Joined Scheme" error="You can only enter a date of joining after your 18th birthday and before the start of the new scheme 1 April 2015. If you are a member of the PPS your date of joining cannot be later than 6 April 2006." sqref="J30" xr:uid="{ACBA101C-FBE8-4B33-BECA-75A275A601ED}">
      <formula1>D144</formula1>
      <formula2>D143</formula2>
    </dataValidation>
    <dataValidation type="time" allowBlank="1" showInputMessage="1" showErrorMessage="1" sqref="J39" xr:uid="{3C7A4672-D66E-455A-8DF0-1B07D25699A1}">
      <formula1>E155</formula1>
      <formula2>E156</formula2>
    </dataValidation>
  </dataValidations>
  <hyperlinks>
    <hyperlink ref="G94:I95" r:id="rId1" display="2015 Microsite" xr:uid="{00000000-0004-0000-0300-000000000000}"/>
    <hyperlink ref="K94:M95" r:id="rId2" display="Scheme Guides" xr:uid="{00000000-0004-0000-0300-000001000000}"/>
    <hyperlink ref="C94:E95" r:id="rId3" display="link to FAQs" xr:uid="{00000000-0004-0000-0300-000002000000}"/>
  </hyperlinks>
  <pageMargins left="0.74803149606299213" right="0.74803149606299213" top="0.98425196850393704" bottom="0.98425196850393704" header="0.51181102362204722" footer="0.51181102362204722"/>
  <pageSetup paperSize="9" scale="53" fitToHeight="0" orientation="portrait" r:id="rId4"/>
  <headerFooter alignWithMargins="0">
    <oddFooter>&amp;LPage &amp;P of &amp;N&amp;R&amp;T &amp;D</oddFooter>
  </headerFooter>
  <rowBreaks count="1" manualBreakCount="1">
    <brk id="96" max="16383" man="1"/>
  </rowBreaks>
  <drawing r:id="rId5"/>
  <legacyDrawing r:id="rId6"/>
  <mc:AlternateContent xmlns:mc="http://schemas.openxmlformats.org/markup-compatibility/2006">
    <mc:Choice Requires="x14">
      <controls>
        <mc:AlternateContent xmlns:mc="http://schemas.openxmlformats.org/markup-compatibility/2006">
          <mc:Choice Requires="x14">
            <control shapeId="4359" r:id="rId7" name="Check Box 263">
              <controlPr defaultSize="0" autoFill="0" autoLine="0" autoPict="0" altText="">
                <anchor moveWithCells="1">
                  <from>
                    <xdr:col>9</xdr:col>
                    <xdr:colOff>594360</xdr:colOff>
                    <xdr:row>39</xdr:row>
                    <xdr:rowOff>83820</xdr:rowOff>
                  </from>
                  <to>
                    <xdr:col>9</xdr:col>
                    <xdr:colOff>822960</xdr:colOff>
                    <xdr:row>41</xdr:row>
                    <xdr:rowOff>121920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9" stopIfTrue="1" id="{B8ADE307-E7A4-4357-AC02-1F74D37D4BDC}">
            <xm:f>Parameters!$B$126=FALSE</xm:f>
            <x14:dxf>
              <font>
                <color theme="0"/>
              </font>
              <fill>
                <patternFill patternType="solid">
                  <bgColor theme="0"/>
                </patternFill>
              </fill>
              <border>
                <left/>
                <right/>
                <top/>
                <bottom/>
              </border>
            </x14:dxf>
          </x14:cfRule>
          <xm:sqref>H43:N43</xm:sqref>
        </x14:conditionalFormatting>
        <x14:conditionalFormatting xmlns:xm="http://schemas.microsoft.com/office/excel/2006/main">
          <x14:cfRule type="expression" priority="2" id="{7D5AAA5F-F945-4ABC-92AE-0EF56A0D6C65}">
            <xm:f>Parameters!$B$126=TRUE</xm:f>
            <x14:dxf>
              <font>
                <color theme="0"/>
              </font>
              <fill>
                <patternFill>
                  <bgColor theme="0"/>
                </patternFill>
              </fill>
              <border>
                <left/>
                <right/>
                <top/>
                <bottom/>
                <vertical/>
                <horizontal/>
              </border>
            </x14:dxf>
          </x14:cfRule>
          <xm:sqref>C51:J51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13000000}">
          <x14:formula1>
            <xm:f>Parameters!$B$133:$B$142</xm:f>
          </x14:formula1>
          <xm:sqref>J51 J43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pageSetUpPr fitToPage="1"/>
  </sheetPr>
  <dimension ref="B1:L53"/>
  <sheetViews>
    <sheetView workbookViewId="0"/>
  </sheetViews>
  <sheetFormatPr defaultColWidth="9.109375" defaultRowHeight="13.2" x14ac:dyDescent="0.25"/>
  <cols>
    <col min="1" max="2" width="2.6640625" style="263" customWidth="1"/>
    <col min="3" max="3" width="29.88671875" style="263" customWidth="1"/>
    <col min="4" max="4" width="18.109375" style="263" customWidth="1"/>
    <col min="5" max="5" width="12.6640625" style="263" bestFit="1" customWidth="1"/>
    <col min="6" max="6" width="10.33203125" style="263" customWidth="1"/>
    <col min="7" max="7" width="9.109375" style="263"/>
    <col min="8" max="8" width="3.33203125" style="263" customWidth="1"/>
    <col min="9" max="9" width="9.109375" style="263" hidden="1" customWidth="1"/>
    <col min="10" max="10" width="0.109375" style="263" hidden="1" customWidth="1"/>
    <col min="11" max="12" width="9.109375" style="263" hidden="1" customWidth="1"/>
    <col min="13" max="13" width="2.33203125" style="263" customWidth="1"/>
    <col min="14" max="14" width="1.44140625" style="263" customWidth="1"/>
    <col min="15" max="16384" width="9.109375" style="263"/>
  </cols>
  <sheetData>
    <row r="1" spans="2:7" ht="11.25" customHeight="1" x14ac:dyDescent="0.25"/>
    <row r="2" spans="2:7" ht="36" customHeight="1" x14ac:dyDescent="0.25"/>
    <row r="3" spans="2:7" ht="24" customHeight="1" x14ac:dyDescent="0.25"/>
    <row r="4" spans="2:7" ht="37.5" customHeight="1" x14ac:dyDescent="0.4">
      <c r="B4" s="550" t="s">
        <v>657</v>
      </c>
      <c r="C4" s="551"/>
      <c r="D4" s="551"/>
      <c r="E4" s="264"/>
      <c r="F4" s="264"/>
      <c r="G4" s="264"/>
    </row>
    <row r="5" spans="2:7" x14ac:dyDescent="0.25">
      <c r="B5" s="264"/>
      <c r="C5" s="264"/>
      <c r="D5" s="264"/>
      <c r="E5" s="264"/>
      <c r="F5" s="264"/>
      <c r="G5" s="264"/>
    </row>
    <row r="6" spans="2:7" ht="12.75" customHeight="1" x14ac:dyDescent="0.25">
      <c r="B6" s="706" t="s">
        <v>499</v>
      </c>
      <c r="C6" s="706"/>
      <c r="D6" s="706"/>
      <c r="E6" s="706"/>
      <c r="F6" s="706"/>
      <c r="G6" s="706"/>
    </row>
    <row r="7" spans="2:7" x14ac:dyDescent="0.25">
      <c r="B7" s="706"/>
      <c r="C7" s="706"/>
      <c r="D7" s="706"/>
      <c r="E7" s="706"/>
      <c r="F7" s="706"/>
      <c r="G7" s="706"/>
    </row>
    <row r="8" spans="2:7" x14ac:dyDescent="0.25">
      <c r="B8" s="706"/>
      <c r="C8" s="706"/>
      <c r="D8" s="706"/>
      <c r="E8" s="706"/>
      <c r="F8" s="706"/>
      <c r="G8" s="706"/>
    </row>
    <row r="9" spans="2:7" x14ac:dyDescent="0.25">
      <c r="B9" s="286"/>
      <c r="C9" s="286"/>
      <c r="D9" s="286"/>
      <c r="E9" s="286"/>
      <c r="F9" s="286"/>
      <c r="G9" s="286"/>
    </row>
    <row r="10" spans="2:7" x14ac:dyDescent="0.25">
      <c r="B10" s="278" t="s">
        <v>500</v>
      </c>
      <c r="C10" s="286"/>
      <c r="D10" s="286"/>
      <c r="E10" s="286"/>
      <c r="F10" s="286"/>
      <c r="G10" s="286"/>
    </row>
    <row r="11" spans="2:7" ht="13.8" thickBot="1" x14ac:dyDescent="0.3">
      <c r="B11" s="264"/>
      <c r="C11" s="264"/>
      <c r="D11" s="264"/>
      <c r="E11" s="264"/>
      <c r="F11" s="264"/>
      <c r="G11" s="264"/>
    </row>
    <row r="12" spans="2:7" x14ac:dyDescent="0.25">
      <c r="B12" s="265"/>
      <c r="C12" s="266"/>
      <c r="D12" s="266"/>
      <c r="E12" s="266"/>
      <c r="F12" s="266"/>
      <c r="G12" s="267"/>
    </row>
    <row r="13" spans="2:7" ht="15" x14ac:dyDescent="0.25">
      <c r="B13" s="602"/>
      <c r="C13" s="603" t="s">
        <v>491</v>
      </c>
      <c r="D13" s="603"/>
      <c r="E13" s="604" t="str">
        <f>IF(DoR="","",DoR)</f>
        <v/>
      </c>
      <c r="F13" s="603"/>
      <c r="G13" s="605"/>
    </row>
    <row r="14" spans="2:7" ht="15" x14ac:dyDescent="0.25">
      <c r="B14" s="602"/>
      <c r="C14" s="603"/>
      <c r="D14" s="603"/>
      <c r="E14" s="606"/>
      <c r="F14" s="603"/>
      <c r="G14" s="605"/>
    </row>
    <row r="15" spans="2:7" ht="15" x14ac:dyDescent="0.25">
      <c r="B15" s="602"/>
      <c r="C15" s="603" t="s">
        <v>492</v>
      </c>
      <c r="D15" s="603"/>
      <c r="E15" s="710" t="str">
        <f>IF(Name_member="","",Name_member)</f>
        <v/>
      </c>
      <c r="F15" s="711"/>
      <c r="G15" s="607"/>
    </row>
    <row r="16" spans="2:7" ht="15" x14ac:dyDescent="0.25">
      <c r="B16" s="602"/>
      <c r="C16" s="603"/>
      <c r="D16" s="603"/>
      <c r="E16" s="608"/>
      <c r="F16" s="608"/>
      <c r="G16" s="605"/>
    </row>
    <row r="17" spans="2:7" ht="15" x14ac:dyDescent="0.25">
      <c r="B17" s="602"/>
      <c r="C17" s="603" t="s">
        <v>62</v>
      </c>
      <c r="D17" s="603"/>
      <c r="E17" s="604" t="str">
        <f>IF(DoB="","",DoB)</f>
        <v/>
      </c>
      <c r="F17" s="603"/>
      <c r="G17" s="605"/>
    </row>
    <row r="18" spans="2:7" ht="15" x14ac:dyDescent="0.25">
      <c r="B18" s="602"/>
      <c r="C18" s="603"/>
      <c r="D18" s="603"/>
      <c r="E18" s="606"/>
      <c r="F18" s="603"/>
      <c r="G18" s="605"/>
    </row>
    <row r="19" spans="2:7" ht="15" x14ac:dyDescent="0.25">
      <c r="B19" s="602"/>
      <c r="C19" s="603" t="s">
        <v>493</v>
      </c>
      <c r="D19" s="603"/>
      <c r="E19" s="604" t="str">
        <f>IF(DJS="","",DJS)</f>
        <v/>
      </c>
      <c r="F19" s="603"/>
      <c r="G19" s="605"/>
    </row>
    <row r="20" spans="2:7" ht="15" x14ac:dyDescent="0.25">
      <c r="B20" s="602"/>
      <c r="C20" s="603"/>
      <c r="D20" s="603"/>
      <c r="E20" s="603"/>
      <c r="F20" s="603"/>
      <c r="G20" s="605"/>
    </row>
    <row r="21" spans="2:7" ht="15" x14ac:dyDescent="0.25">
      <c r="B21" s="602"/>
      <c r="C21" s="603" t="s">
        <v>494</v>
      </c>
      <c r="D21" s="603"/>
      <c r="E21" s="609" t="str">
        <f>IF(CurrentSal="","",CurrentSal)</f>
        <v/>
      </c>
      <c r="F21" s="603"/>
      <c r="G21" s="605"/>
    </row>
    <row r="22" spans="2:7" ht="15.6" thickBot="1" x14ac:dyDescent="0.3">
      <c r="B22" s="610"/>
      <c r="C22" s="611"/>
      <c r="D22" s="611"/>
      <c r="E22" s="612"/>
      <c r="F22" s="611"/>
      <c r="G22" s="613"/>
    </row>
    <row r="23" spans="2:7" ht="13.5" customHeight="1" x14ac:dyDescent="0.25">
      <c r="B23" s="614"/>
      <c r="C23" s="603"/>
      <c r="D23" s="603"/>
      <c r="E23" s="615"/>
      <c r="F23" s="603"/>
      <c r="G23" s="616"/>
    </row>
    <row r="24" spans="2:7" ht="31.5" customHeight="1" x14ac:dyDescent="0.25">
      <c r="B24" s="713" t="s">
        <v>495</v>
      </c>
      <c r="C24" s="713"/>
      <c r="D24" s="713"/>
      <c r="E24" s="713"/>
      <c r="F24" s="617"/>
      <c r="G24" s="614"/>
    </row>
    <row r="25" spans="2:7" ht="14.25" customHeight="1" x14ac:dyDescent="0.25">
      <c r="B25" s="614" t="s">
        <v>498</v>
      </c>
      <c r="C25" s="285"/>
      <c r="D25" s="618"/>
      <c r="E25" s="619"/>
      <c r="F25" s="617"/>
      <c r="G25" s="614"/>
    </row>
    <row r="26" spans="2:7" ht="14.25" customHeight="1" thickBot="1" x14ac:dyDescent="0.35">
      <c r="B26" s="620" t="str">
        <f>IF(AND(Form_Check=TRUE, Form_Check2=TRUE, Form_Check3=TRUE),"","Insufficient data supplied, please fill in rest of form")</f>
        <v>Insufficient data supplied, please fill in rest of form</v>
      </c>
      <c r="C26" s="280"/>
      <c r="D26" s="618"/>
      <c r="E26" s="617"/>
      <c r="F26" s="617"/>
      <c r="G26" s="614"/>
    </row>
    <row r="27" spans="2:7" ht="15" x14ac:dyDescent="0.25">
      <c r="B27" s="621"/>
      <c r="C27" s="274"/>
      <c r="D27" s="622"/>
      <c r="E27" s="622"/>
      <c r="F27" s="622"/>
      <c r="G27" s="623"/>
    </row>
    <row r="28" spans="2:7" ht="15.6" x14ac:dyDescent="0.3">
      <c r="B28" s="602"/>
      <c r="C28" s="624" t="str">
        <f>"Projected pension at "&amp;IF(DoR="","",TEXT(DoR,"d mmmm yyy")) &amp;":"</f>
        <v>Projected pension at :</v>
      </c>
      <c r="D28" s="603"/>
      <c r="E28" s="625" t="str">
        <f>IF(AND(Form_Check=TRUE, Form_Check2=TRUE, Form_Check3=TRUE),IF(ChosenRA&gt;=55,Calculator!I90,Calculator!I85),"")</f>
        <v/>
      </c>
      <c r="F28" s="603"/>
      <c r="G28" s="605"/>
    </row>
    <row r="29" spans="2:7" ht="15" x14ac:dyDescent="0.25">
      <c r="B29" s="602"/>
      <c r="C29" s="603"/>
      <c r="D29" s="603"/>
      <c r="E29" s="603"/>
      <c r="F29" s="603"/>
      <c r="G29" s="605"/>
    </row>
    <row r="30" spans="2:7" ht="15" x14ac:dyDescent="0.25">
      <c r="B30" s="602"/>
      <c r="C30" s="603"/>
      <c r="D30" s="603"/>
      <c r="E30" s="603"/>
      <c r="F30" s="603"/>
      <c r="G30" s="605"/>
    </row>
    <row r="31" spans="2:7" ht="45.75" customHeight="1" x14ac:dyDescent="0.25">
      <c r="B31" s="602"/>
      <c r="C31" s="707" t="s">
        <v>656</v>
      </c>
      <c r="D31" s="708"/>
      <c r="E31" s="709"/>
      <c r="F31" s="603"/>
      <c r="G31" s="605"/>
    </row>
    <row r="32" spans="2:7" ht="15" x14ac:dyDescent="0.25">
      <c r="B32" s="602"/>
      <c r="C32" s="603"/>
      <c r="D32" s="603"/>
      <c r="E32" s="603"/>
      <c r="F32" s="603"/>
      <c r="G32" s="605"/>
    </row>
    <row r="33" spans="2:7" ht="15" x14ac:dyDescent="0.25">
      <c r="B33" s="602"/>
      <c r="C33" s="603" t="s">
        <v>496</v>
      </c>
      <c r="D33" s="603"/>
      <c r="E33" s="603"/>
      <c r="F33" s="603"/>
      <c r="G33" s="605"/>
    </row>
    <row r="34" spans="2:7" ht="15" x14ac:dyDescent="0.25">
      <c r="B34" s="602"/>
      <c r="C34" s="603"/>
      <c r="D34" s="603"/>
      <c r="E34" s="603"/>
      <c r="F34" s="603"/>
      <c r="G34" s="605"/>
    </row>
    <row r="35" spans="2:7" ht="15.6" x14ac:dyDescent="0.3">
      <c r="B35" s="602"/>
      <c r="C35" s="624" t="s">
        <v>501</v>
      </c>
      <c r="D35" s="603"/>
      <c r="E35" s="625" t="str">
        <f>IF(AND(Form_Check=TRUE, Form_Check2=TRUE, Form_Check3=TRUE),IF(ChosenRA&gt;=55,Calculator!I80,Calculator!I74),"")</f>
        <v/>
      </c>
      <c r="F35" s="603"/>
      <c r="G35" s="605"/>
    </row>
    <row r="36" spans="2:7" ht="15" x14ac:dyDescent="0.25">
      <c r="B36" s="602"/>
      <c r="C36" s="603"/>
      <c r="D36" s="603"/>
      <c r="E36" s="626"/>
      <c r="F36" s="603"/>
      <c r="G36" s="605"/>
    </row>
    <row r="37" spans="2:7" ht="15.6" x14ac:dyDescent="0.3">
      <c r="B37" s="602"/>
      <c r="C37" s="624" t="s">
        <v>497</v>
      </c>
      <c r="D37" s="603"/>
      <c r="E37" s="609" t="str">
        <f>IF(AND(Form_Check=TRUE, Form_Check2=TRUE, Form_Check3=TRUE),IF(ChosenRA&gt;=55,Calculator!I81,Calculator!I75),"")</f>
        <v/>
      </c>
      <c r="F37" s="603"/>
      <c r="G37" s="605"/>
    </row>
    <row r="38" spans="2:7" ht="16.2" thickBot="1" x14ac:dyDescent="0.35">
      <c r="B38" s="610"/>
      <c r="C38" s="627"/>
      <c r="D38" s="611"/>
      <c r="E38" s="628"/>
      <c r="F38" s="611"/>
      <c r="G38" s="613"/>
    </row>
    <row r="39" spans="2:7" ht="15.75" customHeight="1" x14ac:dyDescent="0.25">
      <c r="B39" s="268"/>
      <c r="C39" s="712" t="str">
        <f>IF(ChosenRA&gt;=55,"","Please note, as you have selected a retirement data that is before Normal Pension Age in the 2015 Scheme, entitlement is deferred until you reach your state pension age. **")</f>
        <v>Please note, as you have selected a retirement data that is before Normal Pension Age in the 2015 Scheme, entitlement is deferred until you reach your state pension age. **</v>
      </c>
      <c r="D39" s="712"/>
      <c r="E39" s="712"/>
      <c r="F39" s="712"/>
      <c r="G39" s="270"/>
    </row>
    <row r="40" spans="2:7" ht="15.75" customHeight="1" x14ac:dyDescent="0.25">
      <c r="B40" s="268"/>
      <c r="C40" s="712"/>
      <c r="D40" s="712"/>
      <c r="E40" s="712"/>
      <c r="F40" s="712"/>
      <c r="G40" s="270"/>
    </row>
    <row r="41" spans="2:7" ht="15.75" customHeight="1" x14ac:dyDescent="0.25">
      <c r="B41" s="268"/>
      <c r="C41" s="712"/>
      <c r="D41" s="712"/>
      <c r="E41" s="712"/>
      <c r="F41" s="712"/>
      <c r="G41" s="270"/>
    </row>
    <row r="42" spans="2:7" ht="15.75" customHeight="1" x14ac:dyDescent="0.3">
      <c r="B42" s="268"/>
      <c r="C42" s="284"/>
      <c r="D42" s="284"/>
      <c r="E42" s="284"/>
      <c r="F42" s="284"/>
      <c r="G42" s="270"/>
    </row>
    <row r="43" spans="2:7" ht="15.6" x14ac:dyDescent="0.3">
      <c r="B43" s="268"/>
      <c r="C43" s="275" t="str">
        <f>IF(ChosenRA&gt;=55,"","Deferred 2015 pension payable at SPA")</f>
        <v>Deferred 2015 pension payable at SPA</v>
      </c>
      <c r="D43" s="269"/>
      <c r="E43" s="281" t="str">
        <f>IF(AND(Form_Check=TRUE, Form_Check2=TRUE, Form_Check3=TRUE),IF(ChosenRA&gt;=55,"",Calculator!I88),"")</f>
        <v/>
      </c>
      <c r="F43" s="269"/>
      <c r="G43" s="270"/>
    </row>
    <row r="44" spans="2:7" ht="15.6" x14ac:dyDescent="0.3">
      <c r="B44" s="268"/>
      <c r="C44" s="275"/>
      <c r="D44" s="269"/>
      <c r="E44" s="283"/>
      <c r="F44" s="269"/>
      <c r="G44" s="270"/>
    </row>
    <row r="45" spans="2:7" ht="15.6" x14ac:dyDescent="0.3">
      <c r="B45" s="268"/>
      <c r="C45" s="275" t="str">
        <f>IF(ChosenRA&gt;=55,"","After maximum commutation:")</f>
        <v>After maximum commutation:</v>
      </c>
      <c r="D45" s="269"/>
      <c r="E45" s="283"/>
      <c r="F45" s="269"/>
      <c r="G45" s="270"/>
    </row>
    <row r="46" spans="2:7" ht="15.6" x14ac:dyDescent="0.3">
      <c r="B46" s="268"/>
      <c r="C46" s="275" t="str">
        <f>IF(ChosenRA&gt;=55,"","Pension")</f>
        <v>Pension</v>
      </c>
      <c r="D46" s="269"/>
      <c r="E46" s="281" t="str">
        <f>IF(AND(Form_Check=TRUE, Form_Check2=TRUE, Form_Check3=TRUE),IF(ChosenRA&gt;=55,"",Calculator!I77),"")</f>
        <v/>
      </c>
      <c r="F46" s="269"/>
      <c r="G46" s="270"/>
    </row>
    <row r="47" spans="2:7" ht="15.6" x14ac:dyDescent="0.3">
      <c r="B47" s="268"/>
      <c r="C47" s="275"/>
      <c r="D47" s="269"/>
      <c r="E47" s="282"/>
      <c r="F47" s="269"/>
      <c r="G47" s="270"/>
    </row>
    <row r="48" spans="2:7" ht="15.6" x14ac:dyDescent="0.3">
      <c r="B48" s="268"/>
      <c r="C48" s="275" t="str">
        <f>IF(ChosenRA&gt;=55,"","Lump sum")</f>
        <v>Lump sum</v>
      </c>
      <c r="D48" s="269"/>
      <c r="E48" s="279" t="str">
        <f>IF(AND(Form_Check=TRUE, Form_Check2=TRUE, Form_Check3=TRUE),IF(ChosenRA&gt;=55,"",Calculator!I78),"")</f>
        <v/>
      </c>
      <c r="F48" s="269"/>
      <c r="G48" s="270"/>
    </row>
    <row r="49" spans="2:7" ht="13.8" thickBot="1" x14ac:dyDescent="0.3">
      <c r="B49" s="271"/>
      <c r="C49" s="276"/>
      <c r="D49" s="276"/>
      <c r="E49" s="276"/>
      <c r="F49" s="276"/>
      <c r="G49" s="272"/>
    </row>
    <row r="50" spans="2:7" x14ac:dyDescent="0.25">
      <c r="B50" s="264"/>
      <c r="C50" s="273"/>
      <c r="D50" s="273"/>
      <c r="E50" s="273"/>
      <c r="F50" s="273"/>
      <c r="G50" s="273"/>
    </row>
    <row r="51" spans="2:7" x14ac:dyDescent="0.25">
      <c r="B51" s="264" t="str">
        <f>IF(ChosenRA&gt;=55,"","** The deferred pension is payable at a reduced rate from age 55")</f>
        <v>** The deferred pension is payable at a reduced rate from age 55</v>
      </c>
      <c r="D51" s="264"/>
      <c r="E51" s="264"/>
      <c r="F51" s="264"/>
      <c r="G51" s="264"/>
    </row>
    <row r="52" spans="2:7" x14ac:dyDescent="0.25">
      <c r="B52" s="264"/>
      <c r="D52" s="264"/>
      <c r="E52" s="264"/>
      <c r="F52" s="264"/>
      <c r="G52" s="264"/>
    </row>
    <row r="53" spans="2:7" x14ac:dyDescent="0.25">
      <c r="C53" s="264" t="s">
        <v>503</v>
      </c>
      <c r="D53" s="277">
        <f ca="1">Date_curr</f>
        <v>44250</v>
      </c>
    </row>
  </sheetData>
  <sheetProtection algorithmName="SHA-512" hashValue="6vs2epz3jm2tHJKS6MAZXH4Xxxp5OHDV2E4HG5ApQkciljxZCYlwhyaU/5MGG4bFU9YUqT61C9FLsNpzBDQ0GQ==" saltValue="0I7thf9NowcD9ZByyPaJsg==" spinCount="100000" sheet="1" objects="1" scenarios="1"/>
  <mergeCells count="5">
    <mergeCell ref="B6:G8"/>
    <mergeCell ref="C31:E31"/>
    <mergeCell ref="E15:F15"/>
    <mergeCell ref="C39:F41"/>
    <mergeCell ref="B24:E24"/>
  </mergeCells>
  <conditionalFormatting sqref="B38:G38">
    <cfRule type="expression" dxfId="2" priority="2">
      <formula>ChosenRA&lt;55</formula>
    </cfRule>
  </conditionalFormatting>
  <conditionalFormatting sqref="C43:F48">
    <cfRule type="expression" dxfId="1" priority="3">
      <formula>ChosenRA&gt;=55</formula>
    </cfRule>
  </conditionalFormatting>
  <conditionalFormatting sqref="B39:G49">
    <cfRule type="expression" dxfId="0" priority="1">
      <formula>ChosenRA&gt;=55</formula>
    </cfRule>
  </conditionalFormatting>
  <pageMargins left="0.7" right="0.7" top="0.75" bottom="0.75" header="0.3" footer="0.3"/>
  <pageSetup paperSize="9" scale="8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92D050"/>
  </sheetPr>
  <dimension ref="A1:L142"/>
  <sheetViews>
    <sheetView topLeftCell="A103" workbookViewId="0">
      <selection activeCell="B130" sqref="B130"/>
    </sheetView>
  </sheetViews>
  <sheetFormatPr defaultRowHeight="13.2" x14ac:dyDescent="0.25"/>
  <cols>
    <col min="2" max="2" width="9.88671875" style="1" customWidth="1"/>
    <col min="3" max="3" width="10.109375" bestFit="1" customWidth="1"/>
    <col min="4" max="5" width="10.33203125" bestFit="1" customWidth="1"/>
    <col min="6" max="6" width="9" customWidth="1"/>
    <col min="7" max="8" width="27.44140625" customWidth="1"/>
    <col min="11" max="11" width="11.5546875" bestFit="1" customWidth="1"/>
    <col min="12" max="12" width="10.5546875" bestFit="1" customWidth="1"/>
  </cols>
  <sheetData>
    <row r="1" spans="1:9" ht="21" x14ac:dyDescent="0.4">
      <c r="A1" s="13" t="s">
        <v>19</v>
      </c>
      <c r="B1" s="31"/>
      <c r="C1" s="12"/>
      <c r="D1" s="12"/>
      <c r="E1" s="12"/>
      <c r="F1" s="12"/>
      <c r="G1" s="12"/>
      <c r="H1" s="12"/>
      <c r="I1" s="12"/>
    </row>
    <row r="2" spans="1:9" ht="15.6" x14ac:dyDescent="0.3">
      <c r="A2" s="27" t="str">
        <f>IF(title="&gt; Enter workbook title here","Enter workbook title in Cover sheet",title)</f>
        <v>Scottish Fire pension  projection calculator</v>
      </c>
      <c r="B2" s="32"/>
      <c r="C2" s="11"/>
      <c r="D2" s="11"/>
      <c r="E2" s="11"/>
      <c r="F2" s="11"/>
      <c r="G2" s="11"/>
      <c r="H2" s="11"/>
      <c r="I2" s="11"/>
    </row>
    <row r="3" spans="1:9" ht="15.6" x14ac:dyDescent="0.3">
      <c r="A3" s="76" t="s">
        <v>77</v>
      </c>
      <c r="B3" s="32"/>
      <c r="C3" s="11"/>
      <c r="D3" s="11"/>
      <c r="E3" s="11"/>
      <c r="F3" s="11"/>
      <c r="G3" s="11"/>
      <c r="H3" s="11"/>
      <c r="I3" s="11"/>
    </row>
    <row r="4" spans="1:9" x14ac:dyDescent="0.25">
      <c r="A4" s="7" t="str">
        <f ca="1">CELL("filename",A1)</f>
        <v>\\Gad-ast\ast\Development_Tools\Benefit projection calculators\File sent to client team Feb 2021\[Fire Scotland - Benefit Calculator - 23Feb2021.xlsx]Parameters</v>
      </c>
    </row>
    <row r="6" spans="1:9" x14ac:dyDescent="0.25">
      <c r="E6" s="29"/>
    </row>
    <row r="7" spans="1:9" x14ac:dyDescent="0.25">
      <c r="B7" s="1" t="s">
        <v>59</v>
      </c>
      <c r="E7" s="33" t="s">
        <v>511</v>
      </c>
    </row>
    <row r="8" spans="1:9" x14ac:dyDescent="0.25">
      <c r="E8" s="33" t="s">
        <v>510</v>
      </c>
    </row>
    <row r="9" spans="1:9" x14ac:dyDescent="0.25">
      <c r="E9" s="33"/>
    </row>
    <row r="10" spans="1:9" x14ac:dyDescent="0.25">
      <c r="B10" s="1" t="s">
        <v>76</v>
      </c>
      <c r="E10" s="34">
        <v>41000</v>
      </c>
    </row>
    <row r="11" spans="1:9" x14ac:dyDescent="0.25">
      <c r="E11" s="33"/>
    </row>
    <row r="12" spans="1:9" x14ac:dyDescent="0.25">
      <c r="B12" s="1" t="s">
        <v>70</v>
      </c>
      <c r="D12" s="29"/>
      <c r="E12" s="34">
        <v>42095</v>
      </c>
    </row>
    <row r="13" spans="1:9" x14ac:dyDescent="0.25">
      <c r="D13" s="29"/>
      <c r="E13" s="34"/>
    </row>
    <row r="14" spans="1:9" x14ac:dyDescent="0.25">
      <c r="B14" s="1" t="s">
        <v>68</v>
      </c>
      <c r="D14" s="29"/>
      <c r="E14" s="36">
        <v>365.25</v>
      </c>
    </row>
    <row r="15" spans="1:9" x14ac:dyDescent="0.25">
      <c r="D15" s="29"/>
    </row>
    <row r="16" spans="1:9" x14ac:dyDescent="0.25">
      <c r="B16" s="1" t="s">
        <v>146</v>
      </c>
      <c r="D16" s="29"/>
      <c r="E16" s="29" t="s">
        <v>511</v>
      </c>
      <c r="F16" s="33">
        <v>30</v>
      </c>
    </row>
    <row r="17" spans="2:7" x14ac:dyDescent="0.25">
      <c r="D17" s="29"/>
      <c r="E17" s="29" t="s">
        <v>510</v>
      </c>
      <c r="F17" s="33">
        <v>45</v>
      </c>
    </row>
    <row r="18" spans="2:7" x14ac:dyDescent="0.25">
      <c r="D18" s="29"/>
    </row>
    <row r="19" spans="2:7" x14ac:dyDescent="0.25">
      <c r="B19" s="1" t="s">
        <v>60</v>
      </c>
      <c r="E19" s="29" t="s">
        <v>511</v>
      </c>
      <c r="F19" s="33">
        <f>1/60</f>
        <v>1.6666666666666666E-2</v>
      </c>
      <c r="G19" s="29"/>
    </row>
    <row r="20" spans="2:7" x14ac:dyDescent="0.25">
      <c r="E20" s="29" t="s">
        <v>510</v>
      </c>
      <c r="F20" s="33">
        <f>1/60</f>
        <v>1.6666666666666666E-2</v>
      </c>
    </row>
    <row r="21" spans="2:7" x14ac:dyDescent="0.25">
      <c r="E21" s="29" t="s">
        <v>61</v>
      </c>
      <c r="F21" s="292">
        <f>1/61.6</f>
        <v>1.6233766233766232E-2</v>
      </c>
      <c r="G21" s="86" t="s">
        <v>640</v>
      </c>
    </row>
    <row r="22" spans="2:7" x14ac:dyDescent="0.25">
      <c r="F22" s="33"/>
    </row>
    <row r="24" spans="2:7" x14ac:dyDescent="0.25">
      <c r="B24" s="1" t="s">
        <v>74</v>
      </c>
    </row>
    <row r="25" spans="2:7" x14ac:dyDescent="0.25">
      <c r="D25" s="714" t="s">
        <v>75</v>
      </c>
      <c r="E25" s="714"/>
    </row>
    <row r="26" spans="2:7" x14ac:dyDescent="0.25">
      <c r="D26" s="30" t="s">
        <v>64</v>
      </c>
      <c r="E26" s="30" t="s">
        <v>65</v>
      </c>
    </row>
    <row r="27" spans="2:7" x14ac:dyDescent="0.25">
      <c r="D27" s="42">
        <v>18359</v>
      </c>
      <c r="E27" s="45">
        <v>19788</v>
      </c>
      <c r="F27" s="33">
        <v>65</v>
      </c>
    </row>
    <row r="28" spans="2:7" x14ac:dyDescent="0.25">
      <c r="D28" s="43">
        <v>19789</v>
      </c>
      <c r="E28" s="46">
        <v>22164</v>
      </c>
      <c r="F28" s="33">
        <v>66</v>
      </c>
    </row>
    <row r="29" spans="2:7" x14ac:dyDescent="0.25">
      <c r="D29" s="43">
        <v>22165</v>
      </c>
      <c r="E29" s="46">
        <v>28373</v>
      </c>
      <c r="F29" s="33">
        <v>67</v>
      </c>
    </row>
    <row r="30" spans="2:7" x14ac:dyDescent="0.25">
      <c r="D30" s="44">
        <v>28374</v>
      </c>
      <c r="E30" s="47"/>
      <c r="F30" s="33">
        <v>68</v>
      </c>
    </row>
    <row r="34" spans="2:10" x14ac:dyDescent="0.25">
      <c r="B34" s="1" t="s">
        <v>528</v>
      </c>
      <c r="E34" s="68">
        <v>38813</v>
      </c>
    </row>
    <row r="35" spans="2:10" x14ac:dyDescent="0.25">
      <c r="E35" s="34"/>
    </row>
    <row r="36" spans="2:10" x14ac:dyDescent="0.25">
      <c r="B36" s="1" t="s">
        <v>529</v>
      </c>
      <c r="E36" s="34"/>
      <c r="G36" s="369">
        <f>(ProtectDate-NFPSstart)/DoY</f>
        <v>5.9876796714579053</v>
      </c>
    </row>
    <row r="38" spans="2:10" x14ac:dyDescent="0.25">
      <c r="B38" s="1" t="s">
        <v>530</v>
      </c>
    </row>
    <row r="39" spans="2:10" ht="13.8" thickBot="1" x14ac:dyDescent="0.3">
      <c r="B39" s="1" t="s">
        <v>531</v>
      </c>
    </row>
    <row r="40" spans="2:10" ht="13.8" thickBot="1" x14ac:dyDescent="0.3">
      <c r="B40" s="295"/>
      <c r="C40" s="715" t="s">
        <v>110</v>
      </c>
      <c r="D40" s="716"/>
      <c r="E40" s="716"/>
      <c r="F40" s="716"/>
      <c r="G40" s="716"/>
      <c r="H40" s="717"/>
      <c r="J40" t="s">
        <v>540</v>
      </c>
    </row>
    <row r="41" spans="2:10" ht="13.8" thickBot="1" x14ac:dyDescent="0.3">
      <c r="B41" s="197" t="s">
        <v>519</v>
      </c>
      <c r="C41" s="296" t="s">
        <v>520</v>
      </c>
      <c r="D41" s="297">
        <v>56</v>
      </c>
      <c r="E41" s="297">
        <v>57</v>
      </c>
      <c r="F41" s="297">
        <v>58</v>
      </c>
      <c r="G41" s="297">
        <v>59</v>
      </c>
      <c r="H41" s="298">
        <v>60</v>
      </c>
    </row>
    <row r="42" spans="2:10" x14ac:dyDescent="0.25">
      <c r="B42" s="294">
        <v>17</v>
      </c>
      <c r="C42" s="299">
        <v>1.4</v>
      </c>
      <c r="D42" s="300">
        <v>1.39</v>
      </c>
      <c r="E42" s="300">
        <v>1.38</v>
      </c>
      <c r="F42" s="300">
        <v>1.36</v>
      </c>
      <c r="G42" s="300">
        <v>1.35</v>
      </c>
      <c r="H42" s="301">
        <v>1.33</v>
      </c>
    </row>
    <row r="43" spans="2:10" x14ac:dyDescent="0.25">
      <c r="B43" s="302">
        <v>18</v>
      </c>
      <c r="C43" s="299">
        <v>1.4</v>
      </c>
      <c r="D43" s="300">
        <v>1.39</v>
      </c>
      <c r="E43" s="300">
        <v>1.38</v>
      </c>
      <c r="F43" s="300">
        <v>1.36</v>
      </c>
      <c r="G43" s="300">
        <v>1.35</v>
      </c>
      <c r="H43" s="301">
        <v>1.33</v>
      </c>
    </row>
    <row r="44" spans="2:10" x14ac:dyDescent="0.25">
      <c r="B44" s="294">
        <v>19</v>
      </c>
      <c r="C44" s="299">
        <v>1.4</v>
      </c>
      <c r="D44" s="300">
        <v>1.39</v>
      </c>
      <c r="E44" s="300">
        <v>1.38</v>
      </c>
      <c r="F44" s="300">
        <v>1.36</v>
      </c>
      <c r="G44" s="300">
        <v>1.35</v>
      </c>
      <c r="H44" s="301">
        <v>1.33</v>
      </c>
    </row>
    <row r="45" spans="2:10" x14ac:dyDescent="0.25">
      <c r="B45" s="302">
        <v>20</v>
      </c>
      <c r="C45" s="299">
        <v>1.4</v>
      </c>
      <c r="D45" s="300">
        <v>1.39</v>
      </c>
      <c r="E45" s="300">
        <v>1.38</v>
      </c>
      <c r="F45" s="300">
        <v>1.36</v>
      </c>
      <c r="G45" s="300">
        <v>1.35</v>
      </c>
      <c r="H45" s="301">
        <v>1.33</v>
      </c>
    </row>
    <row r="46" spans="2:10" x14ac:dyDescent="0.25">
      <c r="B46" s="294">
        <v>21</v>
      </c>
      <c r="C46" s="299">
        <v>1.4</v>
      </c>
      <c r="D46" s="300">
        <v>1.39</v>
      </c>
      <c r="E46" s="300">
        <v>1.38</v>
      </c>
      <c r="F46" s="300">
        <v>1.36</v>
      </c>
      <c r="G46" s="300">
        <v>1.35</v>
      </c>
      <c r="H46" s="301">
        <v>1.33</v>
      </c>
    </row>
    <row r="47" spans="2:10" x14ac:dyDescent="0.25">
      <c r="B47" s="302">
        <v>22</v>
      </c>
      <c r="C47" s="299">
        <v>1.4</v>
      </c>
      <c r="D47" s="300">
        <v>1.39</v>
      </c>
      <c r="E47" s="300">
        <v>1.38</v>
      </c>
      <c r="F47" s="300">
        <v>1.36</v>
      </c>
      <c r="G47" s="300">
        <v>1.35</v>
      </c>
      <c r="H47" s="301">
        <v>1.33</v>
      </c>
    </row>
    <row r="48" spans="2:10" x14ac:dyDescent="0.25">
      <c r="B48" s="294">
        <v>23</v>
      </c>
      <c r="C48" s="299">
        <v>1.4</v>
      </c>
      <c r="D48" s="300">
        <v>1.39</v>
      </c>
      <c r="E48" s="300">
        <v>1.38</v>
      </c>
      <c r="F48" s="300">
        <v>1.36</v>
      </c>
      <c r="G48" s="300">
        <v>1.35</v>
      </c>
      <c r="H48" s="301">
        <v>1.33</v>
      </c>
    </row>
    <row r="49" spans="2:8" x14ac:dyDescent="0.25">
      <c r="B49" s="302">
        <v>24</v>
      </c>
      <c r="C49" s="299">
        <v>1.4</v>
      </c>
      <c r="D49" s="300">
        <v>1.39</v>
      </c>
      <c r="E49" s="300">
        <v>1.38</v>
      </c>
      <c r="F49" s="300">
        <v>1.36</v>
      </c>
      <c r="G49" s="300">
        <v>1.35</v>
      </c>
      <c r="H49" s="301">
        <v>1.33</v>
      </c>
    </row>
    <row r="50" spans="2:8" x14ac:dyDescent="0.25">
      <c r="B50" s="294">
        <v>25</v>
      </c>
      <c r="C50" s="299">
        <v>1.4</v>
      </c>
      <c r="D50" s="300">
        <v>1.39</v>
      </c>
      <c r="E50" s="300">
        <v>1.38</v>
      </c>
      <c r="F50" s="300">
        <v>1.36</v>
      </c>
      <c r="G50" s="300">
        <v>1.35</v>
      </c>
      <c r="H50" s="301">
        <v>1.33</v>
      </c>
    </row>
    <row r="51" spans="2:8" x14ac:dyDescent="0.25">
      <c r="B51" s="302">
        <v>26</v>
      </c>
      <c r="C51" s="299">
        <v>1.38</v>
      </c>
      <c r="D51" s="300">
        <v>1.39</v>
      </c>
      <c r="E51" s="300">
        <v>1.38</v>
      </c>
      <c r="F51" s="300">
        <v>1.36</v>
      </c>
      <c r="G51" s="300">
        <v>1.35</v>
      </c>
      <c r="H51" s="301">
        <v>1.33</v>
      </c>
    </row>
    <row r="52" spans="2:8" x14ac:dyDescent="0.25">
      <c r="B52" s="302">
        <v>27</v>
      </c>
      <c r="C52" s="299">
        <v>1.36</v>
      </c>
      <c r="D52" s="300">
        <v>1.37</v>
      </c>
      <c r="E52" s="300">
        <v>1.38</v>
      </c>
      <c r="F52" s="300">
        <v>1.36</v>
      </c>
      <c r="G52" s="300">
        <v>1.35</v>
      </c>
      <c r="H52" s="301">
        <v>1.33</v>
      </c>
    </row>
    <row r="53" spans="2:8" x14ac:dyDescent="0.25">
      <c r="B53" s="302">
        <v>28</v>
      </c>
      <c r="C53" s="299">
        <v>1.33</v>
      </c>
      <c r="D53" s="300">
        <v>1.35</v>
      </c>
      <c r="E53" s="300">
        <v>1.36</v>
      </c>
      <c r="F53" s="300">
        <v>1.36</v>
      </c>
      <c r="G53" s="300">
        <v>1.35</v>
      </c>
      <c r="H53" s="301">
        <v>1.33</v>
      </c>
    </row>
    <row r="54" spans="2:8" x14ac:dyDescent="0.25">
      <c r="B54" s="302">
        <v>29</v>
      </c>
      <c r="C54" s="299">
        <v>1.3</v>
      </c>
      <c r="D54" s="300">
        <v>1.32</v>
      </c>
      <c r="E54" s="300">
        <v>1.33</v>
      </c>
      <c r="F54" s="300">
        <v>1.34</v>
      </c>
      <c r="G54" s="300">
        <v>1.35</v>
      </c>
      <c r="H54" s="301">
        <v>1.33</v>
      </c>
    </row>
    <row r="55" spans="2:8" x14ac:dyDescent="0.25">
      <c r="B55" s="302">
        <v>30</v>
      </c>
      <c r="C55" s="299">
        <v>1.27</v>
      </c>
      <c r="D55" s="300">
        <v>1.29</v>
      </c>
      <c r="E55" s="300">
        <v>1.3</v>
      </c>
      <c r="F55" s="300">
        <v>1.32</v>
      </c>
      <c r="G55" s="300">
        <v>1.33</v>
      </c>
      <c r="H55" s="301">
        <v>1.33</v>
      </c>
    </row>
    <row r="56" spans="2:8" x14ac:dyDescent="0.25">
      <c r="B56" s="302">
        <v>31</v>
      </c>
      <c r="C56" s="299">
        <v>1.24</v>
      </c>
      <c r="D56" s="300">
        <v>1.26</v>
      </c>
      <c r="E56" s="300">
        <v>1.28</v>
      </c>
      <c r="F56" s="300">
        <v>1.29</v>
      </c>
      <c r="G56" s="300">
        <v>1.3</v>
      </c>
      <c r="H56" s="301">
        <v>1.31</v>
      </c>
    </row>
    <row r="57" spans="2:8" x14ac:dyDescent="0.25">
      <c r="B57" s="302">
        <v>32</v>
      </c>
      <c r="C57" s="299">
        <v>1.2</v>
      </c>
      <c r="D57" s="300">
        <v>1.23</v>
      </c>
      <c r="E57" s="300">
        <v>1.25</v>
      </c>
      <c r="F57" s="300">
        <v>1.26</v>
      </c>
      <c r="G57" s="300">
        <v>1.27</v>
      </c>
      <c r="H57" s="301">
        <v>1.29</v>
      </c>
    </row>
    <row r="58" spans="2:8" x14ac:dyDescent="0.25">
      <c r="B58" s="302">
        <v>33</v>
      </c>
      <c r="C58" s="299">
        <v>1.1599999999999999</v>
      </c>
      <c r="D58" s="300">
        <v>1.19</v>
      </c>
      <c r="E58" s="300">
        <v>1.21</v>
      </c>
      <c r="F58" s="300">
        <v>1.23</v>
      </c>
      <c r="G58" s="300">
        <v>1.25</v>
      </c>
      <c r="H58" s="301">
        <v>1.26</v>
      </c>
    </row>
    <row r="59" spans="2:8" x14ac:dyDescent="0.25">
      <c r="B59" s="302">
        <v>34</v>
      </c>
      <c r="C59" s="299">
        <v>1.1200000000000001</v>
      </c>
      <c r="D59" s="300">
        <v>1.1499999999999999</v>
      </c>
      <c r="E59" s="300">
        <v>1.18</v>
      </c>
      <c r="F59" s="300">
        <v>1.2</v>
      </c>
      <c r="G59" s="300">
        <v>1.22</v>
      </c>
      <c r="H59" s="301">
        <v>1.23</v>
      </c>
    </row>
    <row r="60" spans="2:8" x14ac:dyDescent="0.25">
      <c r="B60" s="302">
        <v>35</v>
      </c>
      <c r="C60" s="299">
        <v>1.07</v>
      </c>
      <c r="D60" s="300">
        <v>1.1100000000000001</v>
      </c>
      <c r="E60" s="300">
        <v>1.1399999999999999</v>
      </c>
      <c r="F60" s="300">
        <v>1.1599999999999999</v>
      </c>
      <c r="G60" s="300">
        <v>1.18</v>
      </c>
      <c r="H60" s="301">
        <v>1.2</v>
      </c>
    </row>
    <row r="61" spans="2:8" x14ac:dyDescent="0.25">
      <c r="B61" s="302">
        <v>36</v>
      </c>
      <c r="C61" s="299">
        <v>1.07</v>
      </c>
      <c r="D61" s="300">
        <v>1.06</v>
      </c>
      <c r="E61" s="300">
        <v>1.0900000000000001</v>
      </c>
      <c r="F61" s="300">
        <v>1.1200000000000001</v>
      </c>
      <c r="G61" s="300">
        <v>1.1499999999999999</v>
      </c>
      <c r="H61" s="301">
        <v>1.17</v>
      </c>
    </row>
    <row r="62" spans="2:8" x14ac:dyDescent="0.25">
      <c r="B62" s="302">
        <v>37</v>
      </c>
      <c r="C62" s="299">
        <v>1.07</v>
      </c>
      <c r="D62" s="300">
        <v>1.06</v>
      </c>
      <c r="E62" s="300">
        <v>1.05</v>
      </c>
      <c r="F62" s="300">
        <v>1.08</v>
      </c>
      <c r="G62" s="300">
        <v>1.1100000000000001</v>
      </c>
      <c r="H62" s="301">
        <v>1.1299999999999999</v>
      </c>
    </row>
    <row r="63" spans="2:8" x14ac:dyDescent="0.25">
      <c r="B63" s="302">
        <v>38</v>
      </c>
      <c r="C63" s="299">
        <v>1.07</v>
      </c>
      <c r="D63" s="300">
        <v>1.06</v>
      </c>
      <c r="E63" s="300">
        <v>1.05</v>
      </c>
      <c r="F63" s="300">
        <v>1.03</v>
      </c>
      <c r="G63" s="300">
        <v>1.06</v>
      </c>
      <c r="H63" s="301">
        <v>1.0900000000000001</v>
      </c>
    </row>
    <row r="64" spans="2:8" x14ac:dyDescent="0.25">
      <c r="B64" s="302">
        <v>39</v>
      </c>
      <c r="C64" s="299">
        <v>1.07</v>
      </c>
      <c r="D64" s="300">
        <v>1.06</v>
      </c>
      <c r="E64" s="300">
        <v>1.05</v>
      </c>
      <c r="F64" s="300">
        <v>1.03</v>
      </c>
      <c r="G64" s="300">
        <v>1.02</v>
      </c>
      <c r="H64" s="301">
        <v>1.05</v>
      </c>
    </row>
    <row r="65" spans="2:8" x14ac:dyDescent="0.25">
      <c r="B65" s="302">
        <v>40</v>
      </c>
      <c r="C65" s="299">
        <v>1.07</v>
      </c>
      <c r="D65" s="300">
        <v>1.06</v>
      </c>
      <c r="E65" s="300">
        <v>1.05</v>
      </c>
      <c r="F65" s="300">
        <v>1.03</v>
      </c>
      <c r="G65" s="300">
        <v>1.02</v>
      </c>
      <c r="H65" s="301">
        <v>1</v>
      </c>
    </row>
    <row r="66" spans="2:8" x14ac:dyDescent="0.25">
      <c r="B66" s="302">
        <v>41</v>
      </c>
      <c r="C66" s="299">
        <v>1.07</v>
      </c>
      <c r="D66" s="300">
        <v>1.06</v>
      </c>
      <c r="E66" s="300">
        <v>1.05</v>
      </c>
      <c r="F66" s="300">
        <v>1.03</v>
      </c>
      <c r="G66" s="300">
        <v>1.02</v>
      </c>
      <c r="H66" s="301">
        <v>1</v>
      </c>
    </row>
    <row r="67" spans="2:8" x14ac:dyDescent="0.25">
      <c r="B67" s="302">
        <v>42</v>
      </c>
      <c r="C67" s="299">
        <v>1.07</v>
      </c>
      <c r="D67" s="300">
        <v>1.06</v>
      </c>
      <c r="E67" s="300">
        <v>1.05</v>
      </c>
      <c r="F67" s="300">
        <v>1.03</v>
      </c>
      <c r="G67" s="300">
        <v>1.02</v>
      </c>
      <c r="H67" s="301">
        <v>1</v>
      </c>
    </row>
    <row r="68" spans="2:8" x14ac:dyDescent="0.25">
      <c r="B68" s="302">
        <v>43</v>
      </c>
      <c r="C68" s="299">
        <v>1.07</v>
      </c>
      <c r="D68" s="300">
        <v>1.06</v>
      </c>
      <c r="E68" s="300">
        <v>1.05</v>
      </c>
      <c r="F68" s="300">
        <v>1.03</v>
      </c>
      <c r="G68" s="300">
        <v>1.02</v>
      </c>
      <c r="H68" s="301">
        <v>1</v>
      </c>
    </row>
    <row r="69" spans="2:8" x14ac:dyDescent="0.25">
      <c r="B69" s="302">
        <v>44</v>
      </c>
      <c r="C69" s="299">
        <v>1.07</v>
      </c>
      <c r="D69" s="300">
        <v>1.06</v>
      </c>
      <c r="E69" s="300">
        <v>1.05</v>
      </c>
      <c r="F69" s="300">
        <v>1.03</v>
      </c>
      <c r="G69" s="300">
        <v>1.02</v>
      </c>
      <c r="H69" s="301">
        <v>1</v>
      </c>
    </row>
    <row r="70" spans="2:8" x14ac:dyDescent="0.25">
      <c r="B70" s="302">
        <v>45</v>
      </c>
      <c r="C70" s="299">
        <v>1.07</v>
      </c>
      <c r="D70" s="300">
        <v>1.06</v>
      </c>
      <c r="E70" s="300">
        <v>1.05</v>
      </c>
      <c r="F70" s="300">
        <v>1.03</v>
      </c>
      <c r="G70" s="300">
        <v>1.02</v>
      </c>
      <c r="H70" s="301">
        <v>1</v>
      </c>
    </row>
    <row r="71" spans="2:8" x14ac:dyDescent="0.25">
      <c r="B71" s="302">
        <v>46</v>
      </c>
      <c r="C71" s="299">
        <v>1.07</v>
      </c>
      <c r="D71" s="300">
        <v>1.06</v>
      </c>
      <c r="E71" s="300">
        <v>1.05</v>
      </c>
      <c r="F71" s="300">
        <v>1.03</v>
      </c>
      <c r="G71" s="300">
        <v>1.02</v>
      </c>
      <c r="H71" s="301">
        <v>1</v>
      </c>
    </row>
    <row r="72" spans="2:8" x14ac:dyDescent="0.25">
      <c r="B72" s="302">
        <v>47</v>
      </c>
      <c r="C72" s="299">
        <v>1.07</v>
      </c>
      <c r="D72" s="300">
        <v>1.06</v>
      </c>
      <c r="E72" s="300">
        <v>1.05</v>
      </c>
      <c r="F72" s="300">
        <v>1.03</v>
      </c>
      <c r="G72" s="300">
        <v>1.02</v>
      </c>
      <c r="H72" s="301">
        <v>1</v>
      </c>
    </row>
    <row r="73" spans="2:8" x14ac:dyDescent="0.25">
      <c r="B73" s="302">
        <v>48</v>
      </c>
      <c r="C73" s="299">
        <v>1.07</v>
      </c>
      <c r="D73" s="300">
        <v>1.06</v>
      </c>
      <c r="E73" s="300">
        <v>1.05</v>
      </c>
      <c r="F73" s="300">
        <v>1.03</v>
      </c>
      <c r="G73" s="300">
        <v>1.02</v>
      </c>
      <c r="H73" s="301">
        <v>1</v>
      </c>
    </row>
    <row r="74" spans="2:8" x14ac:dyDescent="0.25">
      <c r="B74" s="302">
        <v>49</v>
      </c>
      <c r="C74" s="299">
        <v>1.07</v>
      </c>
      <c r="D74" s="300">
        <v>1.06</v>
      </c>
      <c r="E74" s="300">
        <v>1.05</v>
      </c>
      <c r="F74" s="300">
        <v>1.03</v>
      </c>
      <c r="G74" s="300">
        <v>1.02</v>
      </c>
      <c r="H74" s="301">
        <v>1</v>
      </c>
    </row>
    <row r="75" spans="2:8" x14ac:dyDescent="0.25">
      <c r="B75" s="302">
        <v>50</v>
      </c>
      <c r="C75" s="299">
        <v>1.07</v>
      </c>
      <c r="D75" s="300">
        <v>1.06</v>
      </c>
      <c r="E75" s="300">
        <v>1.05</v>
      </c>
      <c r="F75" s="300">
        <v>1.03</v>
      </c>
      <c r="G75" s="300">
        <v>1.02</v>
      </c>
      <c r="H75" s="301">
        <v>1</v>
      </c>
    </row>
    <row r="76" spans="2:8" x14ac:dyDescent="0.25">
      <c r="B76" s="302">
        <v>51</v>
      </c>
      <c r="C76" s="299">
        <v>1.07</v>
      </c>
      <c r="D76" s="300">
        <v>1.06</v>
      </c>
      <c r="E76" s="300">
        <v>1.05</v>
      </c>
      <c r="F76" s="300">
        <v>1.03</v>
      </c>
      <c r="G76" s="300">
        <v>1.02</v>
      </c>
      <c r="H76" s="301">
        <v>1</v>
      </c>
    </row>
    <row r="77" spans="2:8" x14ac:dyDescent="0.25">
      <c r="B77" s="302">
        <v>52</v>
      </c>
      <c r="C77" s="299">
        <v>1.07</v>
      </c>
      <c r="D77" s="300">
        <v>1.06</v>
      </c>
      <c r="E77" s="300">
        <v>1.05</v>
      </c>
      <c r="F77" s="300">
        <v>1.03</v>
      </c>
      <c r="G77" s="300">
        <v>1.02</v>
      </c>
      <c r="H77" s="301">
        <v>1</v>
      </c>
    </row>
    <row r="78" spans="2:8" x14ac:dyDescent="0.25">
      <c r="B78" s="302">
        <v>53</v>
      </c>
      <c r="C78" s="299">
        <v>1.07</v>
      </c>
      <c r="D78" s="300">
        <v>1.06</v>
      </c>
      <c r="E78" s="300">
        <v>1.05</v>
      </c>
      <c r="F78" s="300">
        <v>1.03</v>
      </c>
      <c r="G78" s="300">
        <v>1.02</v>
      </c>
      <c r="H78" s="301">
        <v>1</v>
      </c>
    </row>
    <row r="79" spans="2:8" x14ac:dyDescent="0.25">
      <c r="B79" s="302">
        <v>54</v>
      </c>
      <c r="C79" s="299">
        <v>1.07</v>
      </c>
      <c r="D79" s="300">
        <v>1.06</v>
      </c>
      <c r="E79" s="300">
        <v>1.05</v>
      </c>
      <c r="F79" s="300">
        <v>1.03</v>
      </c>
      <c r="G79" s="300">
        <v>1.02</v>
      </c>
      <c r="H79" s="301">
        <v>1</v>
      </c>
    </row>
    <row r="80" spans="2:8" x14ac:dyDescent="0.25">
      <c r="B80" s="302">
        <v>55</v>
      </c>
      <c r="C80" s="299">
        <v>1.07</v>
      </c>
      <c r="D80" s="300">
        <v>1.06</v>
      </c>
      <c r="E80" s="300">
        <v>1.05</v>
      </c>
      <c r="F80" s="300">
        <v>1.03</v>
      </c>
      <c r="G80" s="300">
        <v>1.02</v>
      </c>
      <c r="H80" s="301">
        <v>1</v>
      </c>
    </row>
    <row r="81" spans="1:8" x14ac:dyDescent="0.25">
      <c r="B81" s="302">
        <v>56</v>
      </c>
      <c r="C81" s="299">
        <v>1.07</v>
      </c>
      <c r="D81" s="300">
        <v>1.06</v>
      </c>
      <c r="E81" s="300">
        <v>1.05</v>
      </c>
      <c r="F81" s="300">
        <v>1.03</v>
      </c>
      <c r="G81" s="300">
        <v>1.02</v>
      </c>
      <c r="H81" s="301">
        <v>1</v>
      </c>
    </row>
    <row r="82" spans="1:8" x14ac:dyDescent="0.25">
      <c r="B82" s="302">
        <v>57</v>
      </c>
      <c r="C82" s="299">
        <v>1.07</v>
      </c>
      <c r="D82" s="300">
        <v>1.06</v>
      </c>
      <c r="E82" s="300">
        <v>1.05</v>
      </c>
      <c r="F82" s="300">
        <v>1.03</v>
      </c>
      <c r="G82" s="300">
        <v>1.02</v>
      </c>
      <c r="H82" s="301">
        <v>1</v>
      </c>
    </row>
    <row r="83" spans="1:8" x14ac:dyDescent="0.25">
      <c r="B83" s="302">
        <v>58</v>
      </c>
      <c r="C83" s="299">
        <v>1.07</v>
      </c>
      <c r="D83" s="300">
        <v>1.06</v>
      </c>
      <c r="E83" s="300">
        <v>1.05</v>
      </c>
      <c r="F83" s="300">
        <v>1.03</v>
      </c>
      <c r="G83" s="300">
        <v>1.02</v>
      </c>
      <c r="H83" s="301">
        <v>1</v>
      </c>
    </row>
    <row r="84" spans="1:8" x14ac:dyDescent="0.25">
      <c r="B84" s="302">
        <v>59</v>
      </c>
      <c r="C84" s="299">
        <v>1.07</v>
      </c>
      <c r="D84" s="300">
        <v>1.06</v>
      </c>
      <c r="E84" s="300">
        <v>1.05</v>
      </c>
      <c r="F84" s="300">
        <v>1.03</v>
      </c>
      <c r="G84" s="300">
        <v>1.02</v>
      </c>
      <c r="H84" s="301">
        <v>1</v>
      </c>
    </row>
    <row r="85" spans="1:8" ht="13.8" thickBot="1" x14ac:dyDescent="0.3">
      <c r="B85" s="303">
        <v>60</v>
      </c>
      <c r="C85" s="304">
        <v>1.07</v>
      </c>
      <c r="D85" s="305">
        <v>1.06</v>
      </c>
      <c r="E85" s="305">
        <v>1.05</v>
      </c>
      <c r="F85" s="305">
        <v>1.03</v>
      </c>
      <c r="G85" s="305">
        <v>1.02</v>
      </c>
      <c r="H85" s="306">
        <v>1</v>
      </c>
    </row>
    <row r="87" spans="1:8" x14ac:dyDescent="0.25">
      <c r="C87" s="1" t="s">
        <v>273</v>
      </c>
      <c r="G87" s="130">
        <v>0.02</v>
      </c>
      <c r="H87" t="s">
        <v>659</v>
      </c>
    </row>
    <row r="88" spans="1:8" x14ac:dyDescent="0.25">
      <c r="A88" s="29" t="s">
        <v>319</v>
      </c>
      <c r="B88" s="1" t="s">
        <v>292</v>
      </c>
      <c r="C88" s="1" t="s">
        <v>295</v>
      </c>
      <c r="G88" s="130">
        <f>cpi+H88</f>
        <v>0.01</v>
      </c>
      <c r="H88" s="85">
        <f>IF(DoR&lt;DATE(2020,4,1),-1%,0%)</f>
        <v>-0.01</v>
      </c>
    </row>
    <row r="89" spans="1:8" x14ac:dyDescent="0.25">
      <c r="A89" s="29" t="s">
        <v>319</v>
      </c>
      <c r="B89" s="1" t="s">
        <v>293</v>
      </c>
      <c r="C89" s="1" t="s">
        <v>296</v>
      </c>
      <c r="G89" s="130">
        <f>cpi+1%</f>
        <v>0.03</v>
      </c>
    </row>
    <row r="90" spans="1:8" x14ac:dyDescent="0.25">
      <c r="A90" s="29" t="s">
        <v>319</v>
      </c>
      <c r="B90" s="1" t="s">
        <v>294</v>
      </c>
      <c r="C90" s="1" t="s">
        <v>297</v>
      </c>
      <c r="G90" s="130">
        <f>cpi+2%</f>
        <v>0.04</v>
      </c>
    </row>
    <row r="91" spans="1:8" x14ac:dyDescent="0.25">
      <c r="C91" s="1" t="s">
        <v>660</v>
      </c>
      <c r="G91" s="129">
        <f>G87+1.0000000001%</f>
        <v>3.0000000001000001E-2</v>
      </c>
      <c r="H91" s="86" t="s">
        <v>670</v>
      </c>
    </row>
    <row r="92" spans="1:8" x14ac:dyDescent="0.25">
      <c r="C92" s="1"/>
      <c r="G92" s="129"/>
    </row>
    <row r="93" spans="1:8" x14ac:dyDescent="0.25">
      <c r="C93" s="1" t="s">
        <v>143</v>
      </c>
      <c r="G93" s="38">
        <f>cpi</f>
        <v>0.02</v>
      </c>
      <c r="H93" s="86" t="s">
        <v>275</v>
      </c>
    </row>
    <row r="95" spans="1:8" x14ac:dyDescent="0.25">
      <c r="C95" s="29"/>
      <c r="D95" s="29"/>
      <c r="E95" s="29"/>
    </row>
    <row r="96" spans="1:8" x14ac:dyDescent="0.25">
      <c r="B96" s="29" t="s">
        <v>252</v>
      </c>
      <c r="D96" s="216">
        <f ca="1">TODAY()</f>
        <v>44250</v>
      </c>
      <c r="F96" s="48"/>
      <c r="G96" s="49"/>
    </row>
    <row r="97" spans="2:12" x14ac:dyDescent="0.25">
      <c r="B97" s="64">
        <f ca="1">DATE(YEAR(Date_curr)-1,4,1)</f>
        <v>43922</v>
      </c>
      <c r="C97" s="55">
        <f ca="1">DATE(YEAR(Date_curr),4,1)</f>
        <v>44287</v>
      </c>
      <c r="D97" s="55">
        <f ca="1">DATE(YEAR(Date_curr)+1,4,1)</f>
        <v>44652</v>
      </c>
      <c r="E97" s="55"/>
      <c r="F97" s="49"/>
      <c r="G97" s="59"/>
    </row>
    <row r="98" spans="2:12" x14ac:dyDescent="0.25">
      <c r="B98" s="49" t="s">
        <v>356</v>
      </c>
      <c r="D98" s="216">
        <f ca="1">IF(B126=TRUE,DATE(ABSEndDate1,4,1),IF(PT_Status="Part-time",DATE(ABSEndDate,4,1),IF(AND(Date_curr&lt;C97,Date_curr&gt;=B97),B97,IF(AND(Date_curr&lt;D97,Date_curr&gt;=C97),C97,D97))))</f>
        <v>43922</v>
      </c>
      <c r="E98" s="215"/>
    </row>
    <row r="99" spans="2:12" x14ac:dyDescent="0.25">
      <c r="D99" s="8"/>
    </row>
    <row r="100" spans="2:12" x14ac:dyDescent="0.25">
      <c r="K100" s="8"/>
    </row>
    <row r="101" spans="2:12" x14ac:dyDescent="0.25">
      <c r="B101" s="1" t="s">
        <v>367</v>
      </c>
      <c r="K101" s="8"/>
    </row>
    <row r="102" spans="2:12" x14ac:dyDescent="0.25">
      <c r="B102" s="49" t="s">
        <v>283</v>
      </c>
      <c r="C102" s="49" t="s">
        <v>280</v>
      </c>
      <c r="D102" s="49" t="s">
        <v>281</v>
      </c>
      <c r="E102" s="55" t="s">
        <v>279</v>
      </c>
      <c r="F102" s="49" t="s">
        <v>443</v>
      </c>
      <c r="G102" s="49" t="s">
        <v>282</v>
      </c>
      <c r="H102" s="49"/>
      <c r="I102" s="49"/>
      <c r="J102" s="49"/>
      <c r="K102" s="260"/>
      <c r="L102" s="259"/>
    </row>
    <row r="103" spans="2:12" x14ac:dyDescent="0.25">
      <c r="B103" s="49" t="s">
        <v>284</v>
      </c>
      <c r="C103" s="92">
        <v>55</v>
      </c>
      <c r="D103" s="92">
        <v>55</v>
      </c>
      <c r="E103" s="92">
        <v>55</v>
      </c>
      <c r="F103" s="92">
        <v>55</v>
      </c>
      <c r="G103" s="92">
        <v>55</v>
      </c>
      <c r="H103" s="92"/>
      <c r="I103" s="92"/>
      <c r="J103" s="92"/>
      <c r="K103" s="92"/>
      <c r="L103" s="92"/>
    </row>
    <row r="105" spans="2:12" x14ac:dyDescent="0.25">
      <c r="B105" s="1" t="s">
        <v>401</v>
      </c>
    </row>
    <row r="106" spans="2:12" x14ac:dyDescent="0.25">
      <c r="B106" s="240" t="s">
        <v>508</v>
      </c>
      <c r="C106" s="241" t="s">
        <v>511</v>
      </c>
    </row>
    <row r="107" spans="2:12" x14ac:dyDescent="0.25">
      <c r="B107" s="240" t="s">
        <v>400</v>
      </c>
      <c r="C107" s="241" t="s">
        <v>510</v>
      </c>
    </row>
    <row r="108" spans="2:12" x14ac:dyDescent="0.25">
      <c r="B108" s="240" t="s">
        <v>399</v>
      </c>
      <c r="C108" s="241" t="s">
        <v>61</v>
      </c>
    </row>
    <row r="109" spans="2:12" x14ac:dyDescent="0.25">
      <c r="B109" s="49"/>
    </row>
    <row r="110" spans="2:12" x14ac:dyDescent="0.25">
      <c r="B110" s="1" t="s">
        <v>81</v>
      </c>
    </row>
    <row r="111" spans="2:12" x14ac:dyDescent="0.25">
      <c r="B111" s="49" t="e">
        <f>INDEX(Parameters!$C$106:$C$108,MATCH(Calculator!J32,Parameters!$B$106:$B$108,0),1)</f>
        <v>#N/A</v>
      </c>
    </row>
    <row r="112" spans="2:12" x14ac:dyDescent="0.25">
      <c r="B112" s="49"/>
    </row>
    <row r="113" spans="2:10" x14ac:dyDescent="0.25">
      <c r="B113" s="242" t="s">
        <v>404</v>
      </c>
      <c r="G113" s="229"/>
    </row>
    <row r="114" spans="2:10" x14ac:dyDescent="0.25">
      <c r="B114" s="55">
        <f>DoR</f>
        <v>0</v>
      </c>
      <c r="F114" t="s">
        <v>428</v>
      </c>
    </row>
    <row r="115" spans="2:10" x14ac:dyDescent="0.25">
      <c r="B115" s="55" t="s">
        <v>265</v>
      </c>
      <c r="C115" s="29" t="s">
        <v>421</v>
      </c>
      <c r="D115" s="29" t="s">
        <v>422</v>
      </c>
      <c r="F115" t="s">
        <v>430</v>
      </c>
      <c r="G115" t="s">
        <v>431</v>
      </c>
      <c r="H115" t="s">
        <v>432</v>
      </c>
      <c r="I115" t="s">
        <v>429</v>
      </c>
    </row>
    <row r="116" spans="2:10" x14ac:dyDescent="0.25">
      <c r="B116">
        <f>DATEDIF(DoB,DoR,"y")</f>
        <v>0</v>
      </c>
      <c r="C116" s="649">
        <f>ROUND((DATEDIF(DoB,DoR,"m")/12-B116)*12,0)</f>
        <v>0</v>
      </c>
      <c r="D116" s="229">
        <f>DoR-DATE(YEAR(DoB)+RA_Year,MONTH(DoB),DAY(DoB))</f>
        <v>0</v>
      </c>
      <c r="F116">
        <f>YEARFRAC(DoB,DoR)</f>
        <v>0</v>
      </c>
      <c r="G116">
        <f>INT(F116)</f>
        <v>0</v>
      </c>
      <c r="H116">
        <f>F116-G116</f>
        <v>0</v>
      </c>
      <c r="I116">
        <f>ROUNDUP(H116*12,0)</f>
        <v>0</v>
      </c>
    </row>
    <row r="117" spans="2:10" x14ac:dyDescent="0.25">
      <c r="B117" s="1" t="s">
        <v>405</v>
      </c>
      <c r="G117">
        <f>60-G116-RA_month_roundup/12</f>
        <v>60</v>
      </c>
      <c r="H117">
        <f>INT(G117)</f>
        <v>60</v>
      </c>
      <c r="I117">
        <f>G117*12-12</f>
        <v>708</v>
      </c>
    </row>
    <row r="118" spans="2:10" x14ac:dyDescent="0.25">
      <c r="B118" s="59">
        <f>B116+D116/DoY</f>
        <v>0</v>
      </c>
    </row>
    <row r="119" spans="2:10" x14ac:dyDescent="0.25">
      <c r="B119" s="1" t="s">
        <v>433</v>
      </c>
      <c r="C119" s="29"/>
    </row>
    <row r="120" spans="2:10" x14ac:dyDescent="0.25">
      <c r="B120" s="64">
        <f>DATE(YEAR(DoB)+60,MONTH(DoB),DAY(DoB))</f>
        <v>21915</v>
      </c>
      <c r="E120" s="8"/>
      <c r="F120" s="69"/>
    </row>
    <row r="122" spans="2:10" x14ac:dyDescent="0.25">
      <c r="B122" s="1" t="s">
        <v>463</v>
      </c>
    </row>
    <row r="123" spans="2:10" x14ac:dyDescent="0.25">
      <c r="B123" s="216">
        <v>44651</v>
      </c>
    </row>
    <row r="125" spans="2:10" x14ac:dyDescent="0.25">
      <c r="B125" s="1" t="s">
        <v>480</v>
      </c>
      <c r="E125" s="1" t="s">
        <v>919</v>
      </c>
      <c r="H125" t="s">
        <v>924</v>
      </c>
      <c r="J125" t="s">
        <v>925</v>
      </c>
    </row>
    <row r="126" spans="2:10" x14ac:dyDescent="0.25">
      <c r="B126" s="1" t="b">
        <v>0</v>
      </c>
      <c r="E126" t="b">
        <f>IF(B126, AND(ABSEndDate1&lt;&gt;"", Calculator!M43&lt;&gt;""), TRUE)</f>
        <v>1</v>
      </c>
      <c r="H126" t="b">
        <f>PT_Status="Part-time"</f>
        <v>0</v>
      </c>
      <c r="J126" t="b">
        <f>IF(H126=TRUE,AND(future_PTP&lt;&gt;"", ABSEndDate&lt;&gt;"", Reck_Years&lt;&gt;"", Reck_Days&lt;&gt;"", Calculator!J56&lt;&gt;"", Calculator!J57&lt;&gt;""),TRUE)</f>
        <v>1</v>
      </c>
    </row>
    <row r="129" spans="2:2" x14ac:dyDescent="0.25">
      <c r="B129" s="1" t="s">
        <v>490</v>
      </c>
    </row>
    <row r="130" spans="2:2" x14ac:dyDescent="0.25">
      <c r="B130" s="29" t="b">
        <f>AND(DoB&lt;&gt;"",DJS&lt;&gt;"",Scheme_Full&lt;&gt;"",CurrentSal&lt;&gt;"",DoR&lt;&gt;"")</f>
        <v>0</v>
      </c>
    </row>
    <row r="132" spans="2:2" x14ac:dyDescent="0.25">
      <c r="B132" s="1" t="s">
        <v>544</v>
      </c>
    </row>
    <row r="133" spans="2:2" x14ac:dyDescent="0.25">
      <c r="B133" s="29">
        <v>2016</v>
      </c>
    </row>
    <row r="134" spans="2:2" x14ac:dyDescent="0.25">
      <c r="B134" s="29">
        <v>2017</v>
      </c>
    </row>
    <row r="135" spans="2:2" x14ac:dyDescent="0.25">
      <c r="B135" s="29">
        <v>2018</v>
      </c>
    </row>
    <row r="136" spans="2:2" x14ac:dyDescent="0.25">
      <c r="B136" s="29">
        <v>2019</v>
      </c>
    </row>
    <row r="137" spans="2:2" x14ac:dyDescent="0.25">
      <c r="B137" s="29">
        <v>2020</v>
      </c>
    </row>
    <row r="138" spans="2:2" x14ac:dyDescent="0.25">
      <c r="B138" s="29">
        <v>2021</v>
      </c>
    </row>
    <row r="139" spans="2:2" x14ac:dyDescent="0.25">
      <c r="B139" s="29">
        <v>2022</v>
      </c>
    </row>
    <row r="140" spans="2:2" x14ac:dyDescent="0.25">
      <c r="B140" s="29">
        <v>2023</v>
      </c>
    </row>
    <row r="141" spans="2:2" x14ac:dyDescent="0.25">
      <c r="B141" s="29">
        <v>2024</v>
      </c>
    </row>
    <row r="142" spans="2:2" x14ac:dyDescent="0.25">
      <c r="B142" s="29">
        <v>2025</v>
      </c>
    </row>
  </sheetData>
  <mergeCells count="2">
    <mergeCell ref="D25:E25"/>
    <mergeCell ref="C40:H40"/>
  </mergeCells>
  <phoneticPr fontId="30" type="noConversion"/>
  <pageMargins left="0.7" right="0.7" top="0.75" bottom="0.75" header="0.3" footer="0.3"/>
  <pageSetup paperSize="9" orientation="portrait" r:id="rId1"/>
  <headerFooter>
    <oddHeader>&amp;CPROTECT - SCHEME MANAGEMENT&amp;L_x000D_&amp;Z&amp;F  [&amp;A]</oddHeader>
    <oddFooter>&amp;LPage &amp;P of &amp;N&amp;R&amp;T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rgb="FF92D050"/>
  </sheetPr>
  <dimension ref="A1:V115"/>
  <sheetViews>
    <sheetView workbookViewId="0">
      <selection activeCell="E126" sqref="E126"/>
    </sheetView>
  </sheetViews>
  <sheetFormatPr defaultRowHeight="13.2" x14ac:dyDescent="0.25"/>
  <cols>
    <col min="2" max="3" width="10.109375" bestFit="1" customWidth="1"/>
    <col min="6" max="6" width="9.109375" customWidth="1"/>
    <col min="11" max="11" width="11.109375" customWidth="1"/>
    <col min="13" max="14" width="10.109375" bestFit="1" customWidth="1"/>
    <col min="17" max="17" width="10.109375" bestFit="1" customWidth="1"/>
    <col min="18" max="18" width="10" bestFit="1" customWidth="1"/>
    <col min="20" max="20" width="11.109375" bestFit="1" customWidth="1"/>
    <col min="22" max="22" width="10.109375" customWidth="1"/>
    <col min="23" max="23" width="10.109375" bestFit="1" customWidth="1"/>
    <col min="29" max="29" width="11.109375" bestFit="1" customWidth="1"/>
  </cols>
  <sheetData>
    <row r="1" spans="1:22" ht="21" x14ac:dyDescent="0.4">
      <c r="A1" s="13" t="s">
        <v>19</v>
      </c>
      <c r="B1" s="12"/>
      <c r="C1" s="12"/>
      <c r="D1" s="12"/>
      <c r="E1" s="12"/>
      <c r="F1" s="12"/>
      <c r="G1" s="12"/>
      <c r="H1" s="12"/>
      <c r="I1" s="12"/>
    </row>
    <row r="2" spans="1:22" ht="15.6" x14ac:dyDescent="0.3">
      <c r="A2" s="27" t="str">
        <f>IF(title="&gt; Enter workbook title here","Enter workbook title in Cover sheet",title)</f>
        <v>Scottish Fire pension  projection calculator</v>
      </c>
      <c r="B2" s="11"/>
      <c r="C2" s="11"/>
      <c r="D2" s="11"/>
      <c r="E2" s="11"/>
      <c r="F2" s="11"/>
      <c r="G2" s="11"/>
      <c r="H2" s="11"/>
      <c r="I2" s="11"/>
    </row>
    <row r="3" spans="1:22" ht="15.6" x14ac:dyDescent="0.3">
      <c r="A3" s="76" t="s">
        <v>78</v>
      </c>
      <c r="B3" s="11"/>
      <c r="C3" s="11"/>
      <c r="D3" s="11"/>
      <c r="E3" s="11"/>
      <c r="F3" s="11"/>
      <c r="G3" s="11"/>
      <c r="H3" s="11"/>
      <c r="I3" s="11"/>
    </row>
    <row r="4" spans="1:22" x14ac:dyDescent="0.25">
      <c r="A4" s="7" t="str">
        <f ca="1">CELL("filename",A1)</f>
        <v>\\Gad-ast\ast\Development_Tools\Benefit projection calculators\File sent to client team Feb 2021\[Fire Scotland - Benefit Calculator - 23Feb2021.xlsx]Tapers</v>
      </c>
    </row>
    <row r="6" spans="1:22" x14ac:dyDescent="0.25">
      <c r="B6" s="1" t="s">
        <v>67</v>
      </c>
      <c r="C6" s="35" t="s">
        <v>570</v>
      </c>
      <c r="D6" s="29" t="s">
        <v>641</v>
      </c>
    </row>
    <row r="7" spans="1:22" x14ac:dyDescent="0.25">
      <c r="B7" s="29" t="s">
        <v>511</v>
      </c>
      <c r="C7" s="29"/>
      <c r="F7" s="29" t="s">
        <v>510</v>
      </c>
      <c r="J7" s="29" t="s">
        <v>599</v>
      </c>
      <c r="N7" s="29" t="s">
        <v>601</v>
      </c>
      <c r="R7" s="29" t="s">
        <v>600</v>
      </c>
    </row>
    <row r="8" spans="1:22" x14ac:dyDescent="0.25">
      <c r="B8" s="536" t="s">
        <v>621</v>
      </c>
      <c r="C8" s="541"/>
      <c r="D8" s="439"/>
      <c r="E8" s="439"/>
      <c r="F8" s="536" t="s">
        <v>621</v>
      </c>
      <c r="G8" s="439"/>
      <c r="H8" s="439"/>
      <c r="I8" s="439"/>
      <c r="J8" s="536" t="s">
        <v>640</v>
      </c>
      <c r="K8" s="440"/>
      <c r="L8" s="542"/>
      <c r="M8" s="543"/>
      <c r="N8" s="536" t="s">
        <v>640</v>
      </c>
      <c r="O8" s="441"/>
      <c r="P8" s="441"/>
      <c r="Q8" s="441"/>
      <c r="R8" s="536" t="s">
        <v>640</v>
      </c>
      <c r="S8" s="441"/>
      <c r="T8" s="441"/>
      <c r="U8" s="441"/>
      <c r="V8" s="442"/>
    </row>
    <row r="9" spans="1:22" x14ac:dyDescent="0.25">
      <c r="B9" s="438" t="s">
        <v>545</v>
      </c>
      <c r="F9" s="438" t="s">
        <v>547</v>
      </c>
      <c r="J9" s="438" t="s">
        <v>549</v>
      </c>
      <c r="N9" s="438" t="s">
        <v>551</v>
      </c>
      <c r="R9" s="438" t="s">
        <v>555</v>
      </c>
    </row>
    <row r="10" spans="1:22" ht="13.8" thickBot="1" x14ac:dyDescent="0.3">
      <c r="B10" s="438" t="s">
        <v>546</v>
      </c>
      <c r="F10" s="438" t="s">
        <v>548</v>
      </c>
      <c r="J10" s="438" t="s">
        <v>550</v>
      </c>
      <c r="N10" s="438" t="s">
        <v>552</v>
      </c>
      <c r="R10" s="438" t="s">
        <v>556</v>
      </c>
    </row>
    <row r="11" spans="1:22" ht="53.4" thickBot="1" x14ac:dyDescent="0.3">
      <c r="B11" s="718" t="s">
        <v>62</v>
      </c>
      <c r="C11" s="719"/>
      <c r="D11" s="434" t="s">
        <v>63</v>
      </c>
      <c r="F11" s="718" t="s">
        <v>62</v>
      </c>
      <c r="G11" s="719"/>
      <c r="H11" s="444" t="s">
        <v>63</v>
      </c>
      <c r="J11" s="718" t="s">
        <v>62</v>
      </c>
      <c r="K11" s="719"/>
      <c r="L11" s="434" t="s">
        <v>63</v>
      </c>
      <c r="N11" s="718" t="s">
        <v>553</v>
      </c>
      <c r="O11" s="719"/>
      <c r="P11" s="434" t="s">
        <v>63</v>
      </c>
      <c r="R11" s="718" t="s">
        <v>554</v>
      </c>
      <c r="S11" s="719"/>
      <c r="T11" s="434" t="s">
        <v>63</v>
      </c>
    </row>
    <row r="12" spans="1:22" ht="13.8" thickBot="1" x14ac:dyDescent="0.3">
      <c r="B12" s="435" t="s">
        <v>64</v>
      </c>
      <c r="C12" s="432" t="s">
        <v>65</v>
      </c>
      <c r="D12" s="436"/>
      <c r="F12" s="445" t="s">
        <v>64</v>
      </c>
      <c r="G12" s="443" t="s">
        <v>65</v>
      </c>
      <c r="H12" s="446"/>
      <c r="J12" s="435" t="s">
        <v>64</v>
      </c>
      <c r="K12" s="432" t="s">
        <v>65</v>
      </c>
      <c r="L12" s="436"/>
      <c r="N12" s="435" t="s">
        <v>66</v>
      </c>
      <c r="O12" s="432" t="s">
        <v>71</v>
      </c>
      <c r="P12" s="436"/>
      <c r="R12" s="452" t="s">
        <v>66</v>
      </c>
      <c r="S12" s="451" t="s">
        <v>71</v>
      </c>
      <c r="T12" s="446"/>
    </row>
    <row r="13" spans="1:22" ht="13.8" thickBot="1" x14ac:dyDescent="0.3">
      <c r="B13" s="437">
        <v>24564</v>
      </c>
      <c r="C13" s="433">
        <v>24593</v>
      </c>
      <c r="D13" s="433">
        <v>44651</v>
      </c>
      <c r="F13" s="437">
        <v>22738</v>
      </c>
      <c r="G13" s="433">
        <v>22767</v>
      </c>
      <c r="H13" s="433">
        <v>44651</v>
      </c>
      <c r="J13" s="448">
        <v>26391</v>
      </c>
      <c r="K13" s="447">
        <v>26420</v>
      </c>
      <c r="L13" s="447">
        <v>44651</v>
      </c>
      <c r="N13" s="450">
        <f t="shared" ref="N13:N21" si="0">16+O13/12</f>
        <v>16</v>
      </c>
      <c r="O13" s="449">
        <v>0</v>
      </c>
      <c r="P13" s="447">
        <v>42148</v>
      </c>
      <c r="Q13" s="8"/>
      <c r="R13" s="450">
        <f t="shared" ref="R13:R24" si="1">56+S13/12</f>
        <v>56</v>
      </c>
      <c r="S13" s="449">
        <v>0</v>
      </c>
      <c r="T13" s="447">
        <v>42148</v>
      </c>
    </row>
    <row r="14" spans="1:22" ht="13.8" thickBot="1" x14ac:dyDescent="0.3">
      <c r="B14" s="437">
        <v>24594</v>
      </c>
      <c r="C14" s="433">
        <v>24624</v>
      </c>
      <c r="D14" s="433">
        <v>44598</v>
      </c>
      <c r="F14" s="437">
        <v>22768</v>
      </c>
      <c r="G14" s="433">
        <v>22798</v>
      </c>
      <c r="H14" s="433">
        <v>44598</v>
      </c>
      <c r="J14" s="448">
        <v>26421</v>
      </c>
      <c r="K14" s="447">
        <v>26451</v>
      </c>
      <c r="L14" s="447">
        <v>44598</v>
      </c>
      <c r="N14" s="450">
        <f t="shared" si="0"/>
        <v>16.083333333333332</v>
      </c>
      <c r="O14" s="449">
        <v>1</v>
      </c>
      <c r="P14" s="447">
        <v>42197</v>
      </c>
      <c r="Q14" s="8"/>
      <c r="R14" s="450">
        <f t="shared" si="1"/>
        <v>56.083333333333336</v>
      </c>
      <c r="S14" s="449">
        <v>1</v>
      </c>
      <c r="T14" s="447">
        <v>42197</v>
      </c>
    </row>
    <row r="15" spans="1:22" ht="13.8" thickBot="1" x14ac:dyDescent="0.3">
      <c r="B15" s="437">
        <v>24625</v>
      </c>
      <c r="C15" s="433">
        <v>24654</v>
      </c>
      <c r="D15" s="433">
        <v>44544</v>
      </c>
      <c r="F15" s="437">
        <v>22799</v>
      </c>
      <c r="G15" s="433">
        <v>22828</v>
      </c>
      <c r="H15" s="433">
        <v>44544</v>
      </c>
      <c r="J15" s="448">
        <v>26452</v>
      </c>
      <c r="K15" s="447">
        <v>26481</v>
      </c>
      <c r="L15" s="447">
        <v>44544</v>
      </c>
      <c r="N15" s="450">
        <f t="shared" si="0"/>
        <v>16.166666666666668</v>
      </c>
      <c r="O15" s="449">
        <v>2</v>
      </c>
      <c r="P15" s="447">
        <v>42252</v>
      </c>
      <c r="Q15" s="8"/>
      <c r="R15" s="450">
        <f t="shared" si="1"/>
        <v>56.166666666666664</v>
      </c>
      <c r="S15" s="449">
        <v>2</v>
      </c>
      <c r="T15" s="447">
        <v>42252</v>
      </c>
    </row>
    <row r="16" spans="1:22" ht="13.8" thickBot="1" x14ac:dyDescent="0.3">
      <c r="B16" s="437">
        <v>24655</v>
      </c>
      <c r="C16" s="433">
        <v>24685</v>
      </c>
      <c r="D16" s="433">
        <v>44492</v>
      </c>
      <c r="F16" s="437">
        <v>22829</v>
      </c>
      <c r="G16" s="433">
        <v>22859</v>
      </c>
      <c r="H16" s="433">
        <v>44492</v>
      </c>
      <c r="J16" s="448">
        <v>26482</v>
      </c>
      <c r="K16" s="447">
        <v>26512</v>
      </c>
      <c r="L16" s="447">
        <v>44492</v>
      </c>
      <c r="N16" s="450">
        <f t="shared" si="0"/>
        <v>16.25</v>
      </c>
      <c r="O16" s="449">
        <v>3</v>
      </c>
      <c r="P16" s="447">
        <v>42306</v>
      </c>
      <c r="Q16" s="8"/>
      <c r="R16" s="450">
        <f t="shared" si="1"/>
        <v>56.25</v>
      </c>
      <c r="S16" s="449">
        <v>3</v>
      </c>
      <c r="T16" s="447">
        <v>42306</v>
      </c>
    </row>
    <row r="17" spans="2:20" ht="13.8" thickBot="1" x14ac:dyDescent="0.3">
      <c r="B17" s="437">
        <v>24686</v>
      </c>
      <c r="C17" s="433">
        <v>24716</v>
      </c>
      <c r="D17" s="433">
        <v>44437</v>
      </c>
      <c r="F17" s="437">
        <v>22860</v>
      </c>
      <c r="G17" s="433">
        <v>22890</v>
      </c>
      <c r="H17" s="433">
        <v>44437</v>
      </c>
      <c r="J17" s="448">
        <v>26513</v>
      </c>
      <c r="K17" s="447">
        <v>26543</v>
      </c>
      <c r="L17" s="447">
        <v>44437</v>
      </c>
      <c r="N17" s="450">
        <f t="shared" si="0"/>
        <v>16.333333333333332</v>
      </c>
      <c r="O17" s="449">
        <v>4</v>
      </c>
      <c r="P17" s="447">
        <v>42358</v>
      </c>
      <c r="Q17" s="8"/>
      <c r="R17" s="450">
        <f t="shared" si="1"/>
        <v>56.333333333333336</v>
      </c>
      <c r="S17" s="449">
        <v>4</v>
      </c>
      <c r="T17" s="447">
        <v>42358</v>
      </c>
    </row>
    <row r="18" spans="2:20" ht="13.8" thickBot="1" x14ac:dyDescent="0.3">
      <c r="B18" s="437">
        <v>24717</v>
      </c>
      <c r="C18" s="433">
        <v>24746</v>
      </c>
      <c r="D18" s="433">
        <v>44383</v>
      </c>
      <c r="F18" s="437">
        <v>22891</v>
      </c>
      <c r="G18" s="433">
        <v>22920</v>
      </c>
      <c r="H18" s="433">
        <v>44383</v>
      </c>
      <c r="J18" s="448">
        <v>26544</v>
      </c>
      <c r="K18" s="447">
        <v>26573</v>
      </c>
      <c r="L18" s="447">
        <v>44383</v>
      </c>
      <c r="N18" s="450">
        <f t="shared" si="0"/>
        <v>16.416666666666668</v>
      </c>
      <c r="O18" s="449">
        <v>5</v>
      </c>
      <c r="P18" s="447">
        <v>42413</v>
      </c>
      <c r="Q18" s="8"/>
      <c r="R18" s="450">
        <f t="shared" si="1"/>
        <v>56.416666666666664</v>
      </c>
      <c r="S18" s="449">
        <v>5</v>
      </c>
      <c r="T18" s="447">
        <v>42413</v>
      </c>
    </row>
    <row r="19" spans="2:20" ht="13.8" thickBot="1" x14ac:dyDescent="0.3">
      <c r="B19" s="437">
        <v>24747</v>
      </c>
      <c r="C19" s="433">
        <v>24777</v>
      </c>
      <c r="D19" s="433">
        <v>44331</v>
      </c>
      <c r="F19" s="437">
        <v>22921</v>
      </c>
      <c r="G19" s="433">
        <v>22951</v>
      </c>
      <c r="H19" s="433">
        <v>44331</v>
      </c>
      <c r="J19" s="448">
        <v>26574</v>
      </c>
      <c r="K19" s="447">
        <v>26604</v>
      </c>
      <c r="L19" s="447">
        <v>44331</v>
      </c>
      <c r="N19" s="450">
        <f t="shared" si="0"/>
        <v>16.5</v>
      </c>
      <c r="O19" s="449">
        <v>6</v>
      </c>
      <c r="P19" s="447">
        <v>42465</v>
      </c>
      <c r="Q19" s="8"/>
      <c r="R19" s="450">
        <f t="shared" si="1"/>
        <v>56.5</v>
      </c>
      <c r="S19" s="449">
        <v>6</v>
      </c>
      <c r="T19" s="447">
        <v>42465</v>
      </c>
    </row>
    <row r="20" spans="2:20" ht="13.8" thickBot="1" x14ac:dyDescent="0.3">
      <c r="B20" s="437">
        <v>24778</v>
      </c>
      <c r="C20" s="433">
        <v>24807</v>
      </c>
      <c r="D20" s="433">
        <v>44276</v>
      </c>
      <c r="F20" s="437">
        <v>22952</v>
      </c>
      <c r="G20" s="433">
        <v>22981</v>
      </c>
      <c r="H20" s="433">
        <v>44276</v>
      </c>
      <c r="J20" s="448">
        <v>26605</v>
      </c>
      <c r="K20" s="447">
        <v>26634</v>
      </c>
      <c r="L20" s="447">
        <v>44276</v>
      </c>
      <c r="N20" s="450">
        <f t="shared" si="0"/>
        <v>16.583333333333332</v>
      </c>
      <c r="O20" s="449">
        <v>7</v>
      </c>
      <c r="P20" s="447">
        <v>42519</v>
      </c>
      <c r="Q20" s="8"/>
      <c r="R20" s="450">
        <f t="shared" si="1"/>
        <v>56.583333333333336</v>
      </c>
      <c r="S20" s="449">
        <v>7</v>
      </c>
      <c r="T20" s="447">
        <v>42519</v>
      </c>
    </row>
    <row r="21" spans="2:20" ht="13.8" thickBot="1" x14ac:dyDescent="0.3">
      <c r="B21" s="437">
        <v>24808</v>
      </c>
      <c r="C21" s="433">
        <v>24838</v>
      </c>
      <c r="D21" s="433">
        <v>44224</v>
      </c>
      <c r="F21" s="437">
        <v>22982</v>
      </c>
      <c r="G21" s="433">
        <v>23012</v>
      </c>
      <c r="H21" s="433">
        <v>44224</v>
      </c>
      <c r="J21" s="448">
        <v>26635</v>
      </c>
      <c r="K21" s="447">
        <v>26665</v>
      </c>
      <c r="L21" s="447">
        <v>44224</v>
      </c>
      <c r="N21" s="450">
        <f t="shared" si="0"/>
        <v>16.666666666666668</v>
      </c>
      <c r="O21" s="449">
        <v>8</v>
      </c>
      <c r="P21" s="447">
        <v>42574</v>
      </c>
      <c r="Q21" s="8"/>
      <c r="R21" s="450">
        <f t="shared" si="1"/>
        <v>56.666666666666664</v>
      </c>
      <c r="S21" s="449">
        <v>8</v>
      </c>
      <c r="T21" s="447">
        <v>42574</v>
      </c>
    </row>
    <row r="22" spans="2:20" ht="13.8" thickBot="1" x14ac:dyDescent="0.3">
      <c r="B22" s="437">
        <v>24839</v>
      </c>
      <c r="C22" s="433">
        <v>24869</v>
      </c>
      <c r="D22" s="433">
        <v>44170</v>
      </c>
      <c r="F22" s="437">
        <v>23013</v>
      </c>
      <c r="G22" s="433">
        <v>23043</v>
      </c>
      <c r="H22" s="433">
        <v>44170</v>
      </c>
      <c r="J22" s="448">
        <v>26666</v>
      </c>
      <c r="K22" s="447">
        <v>26696</v>
      </c>
      <c r="L22" s="447">
        <v>44170</v>
      </c>
      <c r="N22" s="450">
        <f t="shared" ref="N22:N24" si="2">16+O22/12</f>
        <v>16.75</v>
      </c>
      <c r="O22" s="449">
        <v>9</v>
      </c>
      <c r="P22" s="447">
        <v>42626</v>
      </c>
      <c r="Q22" s="8"/>
      <c r="R22" s="450">
        <f t="shared" si="1"/>
        <v>56.75</v>
      </c>
      <c r="S22" s="449">
        <v>9</v>
      </c>
      <c r="T22" s="447">
        <v>42626</v>
      </c>
    </row>
    <row r="23" spans="2:20" ht="13.8" thickBot="1" x14ac:dyDescent="0.3">
      <c r="B23" s="437">
        <v>24870</v>
      </c>
      <c r="C23" s="433">
        <v>24898</v>
      </c>
      <c r="D23" s="433">
        <v>44115</v>
      </c>
      <c r="F23" s="437">
        <v>23044</v>
      </c>
      <c r="G23" s="433">
        <v>23071</v>
      </c>
      <c r="H23" s="433">
        <v>44115</v>
      </c>
      <c r="J23" s="448">
        <v>26697</v>
      </c>
      <c r="K23" s="447">
        <v>26724</v>
      </c>
      <c r="L23" s="447">
        <v>44115</v>
      </c>
      <c r="N23" s="450">
        <f t="shared" si="2"/>
        <v>16.833333333333332</v>
      </c>
      <c r="O23" s="449">
        <v>10</v>
      </c>
      <c r="P23" s="447">
        <v>42680</v>
      </c>
      <c r="Q23" s="8"/>
      <c r="R23" s="450">
        <f t="shared" si="1"/>
        <v>56.833333333333336</v>
      </c>
      <c r="S23" s="449">
        <v>10</v>
      </c>
      <c r="T23" s="447">
        <v>42680</v>
      </c>
    </row>
    <row r="24" spans="2:20" ht="13.8" thickBot="1" x14ac:dyDescent="0.3">
      <c r="B24" s="437">
        <v>24899</v>
      </c>
      <c r="C24" s="433">
        <v>24929</v>
      </c>
      <c r="D24" s="433">
        <v>44065</v>
      </c>
      <c r="F24" s="437">
        <v>23072</v>
      </c>
      <c r="G24" s="433">
        <v>23102</v>
      </c>
      <c r="H24" s="433">
        <v>44066</v>
      </c>
      <c r="J24" s="448">
        <v>26725</v>
      </c>
      <c r="K24" s="447">
        <v>26755</v>
      </c>
      <c r="L24" s="447">
        <v>44065</v>
      </c>
      <c r="N24" s="450">
        <f t="shared" si="2"/>
        <v>16.916666666666668</v>
      </c>
      <c r="O24" s="449">
        <v>11</v>
      </c>
      <c r="P24" s="447">
        <v>42733</v>
      </c>
      <c r="Q24" s="8"/>
      <c r="R24" s="450">
        <f t="shared" si="1"/>
        <v>56.916666666666664</v>
      </c>
      <c r="S24" s="449">
        <v>11</v>
      </c>
      <c r="T24" s="447">
        <v>42733</v>
      </c>
    </row>
    <row r="25" spans="2:20" ht="13.8" thickBot="1" x14ac:dyDescent="0.3">
      <c r="B25" s="437">
        <v>24930</v>
      </c>
      <c r="C25" s="433">
        <v>24959</v>
      </c>
      <c r="D25" s="433">
        <v>44010</v>
      </c>
      <c r="F25" s="437">
        <v>23103</v>
      </c>
      <c r="G25" s="433">
        <v>23132</v>
      </c>
      <c r="H25" s="433">
        <v>44012</v>
      </c>
      <c r="J25" s="448">
        <v>26756</v>
      </c>
      <c r="K25" s="447">
        <v>26785</v>
      </c>
      <c r="L25" s="447">
        <v>44010</v>
      </c>
      <c r="N25" s="450">
        <f t="shared" ref="N25:N36" si="3">17+O25/12</f>
        <v>17</v>
      </c>
      <c r="O25" s="449">
        <v>0</v>
      </c>
      <c r="P25" s="447">
        <v>42787</v>
      </c>
      <c r="Q25" s="8"/>
      <c r="R25" s="450">
        <f t="shared" ref="R25:R36" si="4">57+S25/12</f>
        <v>57</v>
      </c>
      <c r="S25" s="449">
        <v>0</v>
      </c>
      <c r="T25" s="447">
        <v>42787</v>
      </c>
    </row>
    <row r="26" spans="2:20" ht="13.8" thickBot="1" x14ac:dyDescent="0.3">
      <c r="B26" s="437">
        <v>24960</v>
      </c>
      <c r="C26" s="433">
        <v>24990</v>
      </c>
      <c r="D26" s="433">
        <v>43958</v>
      </c>
      <c r="F26" s="437">
        <v>23133</v>
      </c>
      <c r="G26" s="433">
        <v>23163</v>
      </c>
      <c r="H26" s="433">
        <v>43960</v>
      </c>
      <c r="J26" s="448">
        <v>26786</v>
      </c>
      <c r="K26" s="447">
        <v>26816</v>
      </c>
      <c r="L26" s="447">
        <v>43958</v>
      </c>
      <c r="N26" s="450">
        <f t="shared" si="3"/>
        <v>17.083333333333332</v>
      </c>
      <c r="O26" s="449">
        <v>1</v>
      </c>
      <c r="P26" s="447">
        <v>42836</v>
      </c>
      <c r="Q26" s="8"/>
      <c r="R26" s="450">
        <f t="shared" si="4"/>
        <v>57.083333333333336</v>
      </c>
      <c r="S26" s="449">
        <v>1</v>
      </c>
      <c r="T26" s="447">
        <v>42836</v>
      </c>
    </row>
    <row r="27" spans="2:20" ht="13.8" thickBot="1" x14ac:dyDescent="0.3">
      <c r="B27" s="437">
        <v>24991</v>
      </c>
      <c r="C27" s="433">
        <v>25020</v>
      </c>
      <c r="D27" s="433">
        <v>43904</v>
      </c>
      <c r="F27" s="437">
        <v>23164</v>
      </c>
      <c r="G27" s="433">
        <v>23193</v>
      </c>
      <c r="H27" s="433">
        <v>43905</v>
      </c>
      <c r="J27" s="448">
        <v>26817</v>
      </c>
      <c r="K27" s="447">
        <v>26846</v>
      </c>
      <c r="L27" s="447">
        <v>43904</v>
      </c>
      <c r="N27" s="450">
        <f t="shared" si="3"/>
        <v>17.166666666666668</v>
      </c>
      <c r="O27" s="449">
        <v>2</v>
      </c>
      <c r="P27" s="447">
        <v>42890</v>
      </c>
      <c r="Q27" s="8"/>
      <c r="R27" s="450">
        <f t="shared" si="4"/>
        <v>57.166666666666664</v>
      </c>
      <c r="S27" s="449">
        <v>2</v>
      </c>
      <c r="T27" s="447">
        <v>42890</v>
      </c>
    </row>
    <row r="28" spans="2:20" ht="13.8" thickBot="1" x14ac:dyDescent="0.3">
      <c r="B28" s="437">
        <v>25021</v>
      </c>
      <c r="C28" s="433">
        <v>25051</v>
      </c>
      <c r="D28" s="433">
        <v>43851</v>
      </c>
      <c r="F28" s="437">
        <v>23194</v>
      </c>
      <c r="G28" s="433">
        <v>23224</v>
      </c>
      <c r="H28" s="433">
        <v>43853</v>
      </c>
      <c r="J28" s="448">
        <v>26847</v>
      </c>
      <c r="K28" s="447">
        <v>26877</v>
      </c>
      <c r="L28" s="447">
        <v>43851</v>
      </c>
      <c r="N28" s="450">
        <f t="shared" si="3"/>
        <v>17.25</v>
      </c>
      <c r="O28" s="449">
        <v>3</v>
      </c>
      <c r="P28" s="447">
        <v>42945</v>
      </c>
      <c r="Q28" s="8"/>
      <c r="R28" s="450">
        <f t="shared" si="4"/>
        <v>57.25</v>
      </c>
      <c r="S28" s="449">
        <v>3</v>
      </c>
      <c r="T28" s="447">
        <v>42945</v>
      </c>
    </row>
    <row r="29" spans="2:20" ht="13.8" thickBot="1" x14ac:dyDescent="0.3">
      <c r="B29" s="437">
        <v>25052</v>
      </c>
      <c r="C29" s="433">
        <v>25082</v>
      </c>
      <c r="D29" s="433">
        <v>43797</v>
      </c>
      <c r="F29" s="437">
        <v>23225</v>
      </c>
      <c r="G29" s="433">
        <v>23255</v>
      </c>
      <c r="H29" s="433">
        <v>43799</v>
      </c>
      <c r="J29" s="448">
        <v>26878</v>
      </c>
      <c r="K29" s="447">
        <v>26908</v>
      </c>
      <c r="L29" s="447">
        <v>43797</v>
      </c>
      <c r="N29" s="450">
        <f t="shared" si="3"/>
        <v>17.333333333333332</v>
      </c>
      <c r="O29" s="449">
        <v>4</v>
      </c>
      <c r="P29" s="447">
        <v>42997</v>
      </c>
      <c r="Q29" s="8"/>
      <c r="R29" s="450">
        <f t="shared" si="4"/>
        <v>57.333333333333336</v>
      </c>
      <c r="S29" s="449">
        <v>4</v>
      </c>
      <c r="T29" s="447">
        <v>42997</v>
      </c>
    </row>
    <row r="30" spans="2:20" ht="13.8" thickBot="1" x14ac:dyDescent="0.3">
      <c r="B30" s="437">
        <v>25083</v>
      </c>
      <c r="C30" s="433">
        <v>25112</v>
      </c>
      <c r="D30" s="433">
        <v>43743</v>
      </c>
      <c r="F30" s="437">
        <v>23256</v>
      </c>
      <c r="G30" s="433">
        <v>23285</v>
      </c>
      <c r="H30" s="433">
        <v>43744</v>
      </c>
      <c r="J30" s="448">
        <v>26909</v>
      </c>
      <c r="K30" s="447">
        <v>26938</v>
      </c>
      <c r="L30" s="447">
        <v>43743</v>
      </c>
      <c r="N30" s="450">
        <f t="shared" si="3"/>
        <v>17.416666666666668</v>
      </c>
      <c r="O30" s="449">
        <v>5</v>
      </c>
      <c r="P30" s="447">
        <v>43051</v>
      </c>
      <c r="Q30" s="8"/>
      <c r="R30" s="450">
        <f t="shared" si="4"/>
        <v>57.416666666666664</v>
      </c>
      <c r="S30" s="449">
        <v>5</v>
      </c>
      <c r="T30" s="447">
        <v>43051</v>
      </c>
    </row>
    <row r="31" spans="2:20" ht="13.8" thickBot="1" x14ac:dyDescent="0.3">
      <c r="B31" s="437">
        <v>25113</v>
      </c>
      <c r="C31" s="433">
        <v>25143</v>
      </c>
      <c r="D31" s="433">
        <v>43690</v>
      </c>
      <c r="F31" s="437">
        <v>23286</v>
      </c>
      <c r="G31" s="433">
        <v>23316</v>
      </c>
      <c r="H31" s="433">
        <v>43692</v>
      </c>
      <c r="J31" s="448">
        <v>26939</v>
      </c>
      <c r="K31" s="447">
        <v>26969</v>
      </c>
      <c r="L31" s="447">
        <v>43690</v>
      </c>
      <c r="N31" s="450">
        <f t="shared" si="3"/>
        <v>17.5</v>
      </c>
      <c r="O31" s="449">
        <v>6</v>
      </c>
      <c r="P31" s="447">
        <v>43104</v>
      </c>
      <c r="Q31" s="8"/>
      <c r="R31" s="450">
        <f t="shared" si="4"/>
        <v>57.5</v>
      </c>
      <c r="S31" s="449">
        <v>6</v>
      </c>
      <c r="T31" s="447">
        <v>43104</v>
      </c>
    </row>
    <row r="32" spans="2:20" ht="13.8" thickBot="1" x14ac:dyDescent="0.3">
      <c r="B32" s="437">
        <v>25144</v>
      </c>
      <c r="C32" s="433">
        <v>25173</v>
      </c>
      <c r="D32" s="433">
        <v>43636</v>
      </c>
      <c r="F32" s="437">
        <v>23317</v>
      </c>
      <c r="G32" s="433">
        <v>23346</v>
      </c>
      <c r="H32" s="433">
        <v>43638</v>
      </c>
      <c r="J32" s="448">
        <v>26970</v>
      </c>
      <c r="K32" s="447">
        <v>26999</v>
      </c>
      <c r="L32" s="447">
        <v>43636</v>
      </c>
      <c r="N32" s="450">
        <f t="shared" si="3"/>
        <v>17.583333333333332</v>
      </c>
      <c r="O32" s="449">
        <v>7</v>
      </c>
      <c r="P32" s="447">
        <v>43158</v>
      </c>
      <c r="Q32" s="8"/>
      <c r="R32" s="450">
        <f t="shared" si="4"/>
        <v>57.583333333333336</v>
      </c>
      <c r="S32" s="449">
        <v>7</v>
      </c>
      <c r="T32" s="447">
        <v>43158</v>
      </c>
    </row>
    <row r="33" spans="2:20" ht="13.8" thickBot="1" x14ac:dyDescent="0.3">
      <c r="B33" s="437">
        <v>25174</v>
      </c>
      <c r="C33" s="433">
        <v>25204</v>
      </c>
      <c r="D33" s="433">
        <v>43583</v>
      </c>
      <c r="F33" s="437">
        <v>23347</v>
      </c>
      <c r="G33" s="433">
        <v>23377</v>
      </c>
      <c r="H33" s="433">
        <v>43585</v>
      </c>
      <c r="J33" s="448">
        <v>27000</v>
      </c>
      <c r="K33" s="447">
        <v>27030</v>
      </c>
      <c r="L33" s="447">
        <v>43583</v>
      </c>
      <c r="N33" s="450">
        <f t="shared" si="3"/>
        <v>17.666666666666668</v>
      </c>
      <c r="O33" s="449">
        <v>8</v>
      </c>
      <c r="P33" s="447">
        <v>43212</v>
      </c>
      <c r="Q33" s="8"/>
      <c r="R33" s="450">
        <f t="shared" si="4"/>
        <v>57.666666666666664</v>
      </c>
      <c r="S33" s="449">
        <v>8</v>
      </c>
      <c r="T33" s="447">
        <v>43212</v>
      </c>
    </row>
    <row r="34" spans="2:20" ht="13.8" thickBot="1" x14ac:dyDescent="0.3">
      <c r="B34" s="437">
        <v>25205</v>
      </c>
      <c r="C34" s="433">
        <v>25235</v>
      </c>
      <c r="D34" s="433">
        <v>43529</v>
      </c>
      <c r="F34" s="437">
        <v>23378</v>
      </c>
      <c r="G34" s="433">
        <v>23408</v>
      </c>
      <c r="H34" s="433">
        <v>43531</v>
      </c>
      <c r="J34" s="448">
        <v>27031</v>
      </c>
      <c r="K34" s="447">
        <v>27061</v>
      </c>
      <c r="L34" s="447">
        <v>43529</v>
      </c>
      <c r="N34" s="450">
        <f t="shared" si="3"/>
        <v>17.75</v>
      </c>
      <c r="O34" s="449">
        <v>9</v>
      </c>
      <c r="P34" s="447">
        <v>43265</v>
      </c>
      <c r="Q34" s="8"/>
      <c r="R34" s="450">
        <f t="shared" si="4"/>
        <v>57.75</v>
      </c>
      <c r="S34" s="449">
        <v>9</v>
      </c>
      <c r="T34" s="447">
        <v>43265</v>
      </c>
    </row>
    <row r="35" spans="2:20" ht="13.8" thickBot="1" x14ac:dyDescent="0.3">
      <c r="B35" s="437">
        <v>25236</v>
      </c>
      <c r="C35" s="433">
        <v>25263</v>
      </c>
      <c r="D35" s="433">
        <v>43475</v>
      </c>
      <c r="F35" s="437">
        <v>23409</v>
      </c>
      <c r="G35" s="433">
        <v>23437</v>
      </c>
      <c r="H35" s="433">
        <v>43477</v>
      </c>
      <c r="J35" s="448">
        <v>27062</v>
      </c>
      <c r="K35" s="447">
        <v>27089</v>
      </c>
      <c r="L35" s="447">
        <v>43475</v>
      </c>
      <c r="N35" s="450">
        <f t="shared" si="3"/>
        <v>17.833333333333332</v>
      </c>
      <c r="O35" s="449">
        <v>10</v>
      </c>
      <c r="P35" s="447">
        <v>43319</v>
      </c>
      <c r="Q35" s="8"/>
      <c r="R35" s="450">
        <f t="shared" si="4"/>
        <v>57.833333333333336</v>
      </c>
      <c r="S35" s="449">
        <v>10</v>
      </c>
      <c r="T35" s="447">
        <v>43319</v>
      </c>
    </row>
    <row r="36" spans="2:20" ht="13.8" thickBot="1" x14ac:dyDescent="0.3">
      <c r="B36" s="437">
        <v>25264</v>
      </c>
      <c r="C36" s="433">
        <v>25294</v>
      </c>
      <c r="D36" s="433">
        <v>43426</v>
      </c>
      <c r="F36" s="437">
        <v>23438</v>
      </c>
      <c r="G36" s="433">
        <v>23468</v>
      </c>
      <c r="H36" s="433">
        <v>43426</v>
      </c>
      <c r="J36" s="448">
        <v>27090</v>
      </c>
      <c r="K36" s="447">
        <v>27120</v>
      </c>
      <c r="L36" s="447">
        <v>43426</v>
      </c>
      <c r="N36" s="450">
        <f t="shared" si="3"/>
        <v>17.916666666666668</v>
      </c>
      <c r="O36" s="449">
        <v>11</v>
      </c>
      <c r="P36" s="447">
        <v>43372</v>
      </c>
      <c r="Q36" s="8"/>
      <c r="R36" s="450">
        <f t="shared" si="4"/>
        <v>57.916666666666664</v>
      </c>
      <c r="S36" s="449">
        <v>11</v>
      </c>
      <c r="T36" s="447">
        <v>43372</v>
      </c>
    </row>
    <row r="37" spans="2:20" ht="13.8" thickBot="1" x14ac:dyDescent="0.3">
      <c r="B37" s="437">
        <v>25295</v>
      </c>
      <c r="C37" s="433">
        <v>25324</v>
      </c>
      <c r="D37" s="433">
        <v>43372</v>
      </c>
      <c r="F37" s="437">
        <v>23469</v>
      </c>
      <c r="G37" s="433">
        <v>23498</v>
      </c>
      <c r="H37" s="433">
        <v>43372</v>
      </c>
      <c r="J37" s="448">
        <v>27121</v>
      </c>
      <c r="K37" s="447">
        <v>27150</v>
      </c>
      <c r="L37" s="447">
        <v>43372</v>
      </c>
      <c r="N37" s="450">
        <f t="shared" ref="N37:N48" si="5">18+O37/12</f>
        <v>18</v>
      </c>
      <c r="O37" s="449">
        <v>0</v>
      </c>
      <c r="P37" s="447">
        <v>43426</v>
      </c>
      <c r="Q37" s="8"/>
      <c r="R37" s="450">
        <f t="shared" ref="R37:R48" si="6">58+S37/12</f>
        <v>58</v>
      </c>
      <c r="S37" s="449">
        <v>0</v>
      </c>
      <c r="T37" s="447">
        <v>43426</v>
      </c>
    </row>
    <row r="38" spans="2:20" ht="13.8" thickBot="1" x14ac:dyDescent="0.3">
      <c r="B38" s="437">
        <v>25325</v>
      </c>
      <c r="C38" s="433">
        <v>25355</v>
      </c>
      <c r="D38" s="433">
        <v>43319</v>
      </c>
      <c r="F38" s="437">
        <v>23499</v>
      </c>
      <c r="G38" s="433">
        <v>23529</v>
      </c>
      <c r="H38" s="433">
        <v>43319</v>
      </c>
      <c r="J38" s="448">
        <v>27151</v>
      </c>
      <c r="K38" s="447">
        <v>27181</v>
      </c>
      <c r="L38" s="447">
        <v>43319</v>
      </c>
      <c r="N38" s="450">
        <f t="shared" si="5"/>
        <v>18.083333333333332</v>
      </c>
      <c r="O38" s="449">
        <v>1</v>
      </c>
      <c r="P38" s="447">
        <v>43475</v>
      </c>
      <c r="Q38" s="8"/>
      <c r="R38" s="450">
        <f t="shared" si="6"/>
        <v>58.083333333333336</v>
      </c>
      <c r="S38" s="449">
        <v>1</v>
      </c>
      <c r="T38" s="447">
        <v>43475</v>
      </c>
    </row>
    <row r="39" spans="2:20" ht="13.8" thickBot="1" x14ac:dyDescent="0.3">
      <c r="B39" s="437">
        <v>25356</v>
      </c>
      <c r="C39" s="433">
        <v>25385</v>
      </c>
      <c r="D39" s="433">
        <v>43265</v>
      </c>
      <c r="F39" s="437">
        <v>23530</v>
      </c>
      <c r="G39" s="433">
        <v>23559</v>
      </c>
      <c r="H39" s="433">
        <v>43265</v>
      </c>
      <c r="J39" s="448">
        <v>27182</v>
      </c>
      <c r="K39" s="447">
        <v>27211</v>
      </c>
      <c r="L39" s="447">
        <v>43265</v>
      </c>
      <c r="N39" s="450">
        <f t="shared" si="5"/>
        <v>18.166666666666668</v>
      </c>
      <c r="O39" s="449">
        <v>2</v>
      </c>
      <c r="P39" s="447">
        <v>43529</v>
      </c>
      <c r="Q39" s="8"/>
      <c r="R39" s="450">
        <f t="shared" si="6"/>
        <v>58.166666666666664</v>
      </c>
      <c r="S39" s="449">
        <v>2</v>
      </c>
      <c r="T39" s="447">
        <v>43529</v>
      </c>
    </row>
    <row r="40" spans="2:20" ht="13.8" thickBot="1" x14ac:dyDescent="0.3">
      <c r="B40" s="437">
        <v>25386</v>
      </c>
      <c r="C40" s="433">
        <v>25416</v>
      </c>
      <c r="D40" s="433">
        <v>43212</v>
      </c>
      <c r="F40" s="437">
        <v>23560</v>
      </c>
      <c r="G40" s="433">
        <v>23590</v>
      </c>
      <c r="H40" s="433">
        <v>43212</v>
      </c>
      <c r="J40" s="448">
        <v>27212</v>
      </c>
      <c r="K40" s="447">
        <v>27242</v>
      </c>
      <c r="L40" s="447">
        <v>43212</v>
      </c>
      <c r="N40" s="450">
        <f t="shared" si="5"/>
        <v>18.25</v>
      </c>
      <c r="O40" s="449">
        <v>3</v>
      </c>
      <c r="P40" s="447">
        <v>43583</v>
      </c>
      <c r="Q40" s="8"/>
      <c r="R40" s="450">
        <f t="shared" si="6"/>
        <v>58.25</v>
      </c>
      <c r="S40" s="449">
        <v>3</v>
      </c>
      <c r="T40" s="447">
        <v>43583</v>
      </c>
    </row>
    <row r="41" spans="2:20" ht="13.8" thickBot="1" x14ac:dyDescent="0.3">
      <c r="B41" s="437">
        <v>25417</v>
      </c>
      <c r="C41" s="433">
        <v>25447</v>
      </c>
      <c r="D41" s="433">
        <v>43158</v>
      </c>
      <c r="F41" s="437">
        <v>23591</v>
      </c>
      <c r="G41" s="433">
        <v>23621</v>
      </c>
      <c r="H41" s="433">
        <v>43158</v>
      </c>
      <c r="J41" s="448">
        <v>27243</v>
      </c>
      <c r="K41" s="447">
        <v>27273</v>
      </c>
      <c r="L41" s="447">
        <v>43158</v>
      </c>
      <c r="N41" s="450">
        <f t="shared" si="5"/>
        <v>18.333333333333332</v>
      </c>
      <c r="O41" s="449">
        <v>4</v>
      </c>
      <c r="P41" s="447">
        <v>43636</v>
      </c>
      <c r="Q41" s="8"/>
      <c r="R41" s="450">
        <f t="shared" si="6"/>
        <v>58.333333333333336</v>
      </c>
      <c r="S41" s="449">
        <v>4</v>
      </c>
      <c r="T41" s="447">
        <v>43636</v>
      </c>
    </row>
    <row r="42" spans="2:20" ht="13.8" thickBot="1" x14ac:dyDescent="0.3">
      <c r="B42" s="437">
        <v>25448</v>
      </c>
      <c r="C42" s="433">
        <v>25477</v>
      </c>
      <c r="D42" s="433">
        <v>43104</v>
      </c>
      <c r="F42" s="437">
        <v>23622</v>
      </c>
      <c r="G42" s="433">
        <v>23651</v>
      </c>
      <c r="H42" s="433">
        <v>43104</v>
      </c>
      <c r="J42" s="448">
        <v>27274</v>
      </c>
      <c r="K42" s="447">
        <v>27303</v>
      </c>
      <c r="L42" s="447">
        <v>43104</v>
      </c>
      <c r="N42" s="450">
        <f t="shared" si="5"/>
        <v>18.416666666666668</v>
      </c>
      <c r="O42" s="449">
        <v>5</v>
      </c>
      <c r="P42" s="447">
        <v>43690</v>
      </c>
      <c r="Q42" s="8"/>
      <c r="R42" s="450">
        <f t="shared" si="6"/>
        <v>58.416666666666664</v>
      </c>
      <c r="S42" s="449">
        <v>5</v>
      </c>
      <c r="T42" s="447">
        <v>43690</v>
      </c>
    </row>
    <row r="43" spans="2:20" ht="13.8" thickBot="1" x14ac:dyDescent="0.3">
      <c r="B43" s="437">
        <v>25478</v>
      </c>
      <c r="C43" s="433">
        <v>25508</v>
      </c>
      <c r="D43" s="433">
        <v>43051</v>
      </c>
      <c r="F43" s="437">
        <v>23652</v>
      </c>
      <c r="G43" s="433">
        <v>23682</v>
      </c>
      <c r="H43" s="433">
        <v>43051</v>
      </c>
      <c r="J43" s="448">
        <v>27304</v>
      </c>
      <c r="K43" s="447">
        <v>27334</v>
      </c>
      <c r="L43" s="447">
        <v>43051</v>
      </c>
      <c r="N43" s="450">
        <f t="shared" si="5"/>
        <v>18.5</v>
      </c>
      <c r="O43" s="449">
        <v>6</v>
      </c>
      <c r="P43" s="447">
        <v>43743</v>
      </c>
      <c r="Q43" s="8"/>
      <c r="R43" s="450">
        <f t="shared" si="6"/>
        <v>58.5</v>
      </c>
      <c r="S43" s="449">
        <v>6</v>
      </c>
      <c r="T43" s="447">
        <v>43743</v>
      </c>
    </row>
    <row r="44" spans="2:20" ht="13.8" thickBot="1" x14ac:dyDescent="0.3">
      <c r="B44" s="437">
        <v>25509</v>
      </c>
      <c r="C44" s="433">
        <v>25538</v>
      </c>
      <c r="D44" s="433">
        <v>42997</v>
      </c>
      <c r="F44" s="437">
        <v>23683</v>
      </c>
      <c r="G44" s="433">
        <v>23712</v>
      </c>
      <c r="H44" s="433">
        <v>42997</v>
      </c>
      <c r="J44" s="448">
        <v>27335</v>
      </c>
      <c r="K44" s="447">
        <v>27364</v>
      </c>
      <c r="L44" s="447">
        <v>42997</v>
      </c>
      <c r="N44" s="450">
        <f t="shared" si="5"/>
        <v>18.583333333333332</v>
      </c>
      <c r="O44" s="449">
        <v>7</v>
      </c>
      <c r="P44" s="447">
        <v>43797</v>
      </c>
      <c r="Q44" s="8"/>
      <c r="R44" s="450">
        <f t="shared" si="6"/>
        <v>58.583333333333336</v>
      </c>
      <c r="S44" s="449">
        <v>7</v>
      </c>
      <c r="T44" s="447">
        <v>43797</v>
      </c>
    </row>
    <row r="45" spans="2:20" ht="13.8" thickBot="1" x14ac:dyDescent="0.3">
      <c r="B45" s="437">
        <v>25539</v>
      </c>
      <c r="C45" s="433">
        <v>25569</v>
      </c>
      <c r="D45" s="433">
        <v>42945</v>
      </c>
      <c r="F45" s="437">
        <v>23713</v>
      </c>
      <c r="G45" s="433">
        <v>23743</v>
      </c>
      <c r="H45" s="433">
        <v>42945</v>
      </c>
      <c r="J45" s="448">
        <v>27365</v>
      </c>
      <c r="K45" s="447">
        <v>27395</v>
      </c>
      <c r="L45" s="447">
        <v>42945</v>
      </c>
      <c r="N45" s="450">
        <f t="shared" si="5"/>
        <v>18.666666666666668</v>
      </c>
      <c r="O45" s="449">
        <v>8</v>
      </c>
      <c r="P45" s="447">
        <v>43851</v>
      </c>
      <c r="Q45" s="8"/>
      <c r="R45" s="450">
        <f t="shared" si="6"/>
        <v>58.666666666666664</v>
      </c>
      <c r="S45" s="449">
        <v>8</v>
      </c>
      <c r="T45" s="447">
        <v>43851</v>
      </c>
    </row>
    <row r="46" spans="2:20" ht="13.8" thickBot="1" x14ac:dyDescent="0.3">
      <c r="B46" s="437">
        <v>25570</v>
      </c>
      <c r="C46" s="433">
        <v>25600</v>
      </c>
      <c r="D46" s="433">
        <v>42890</v>
      </c>
      <c r="F46" s="437">
        <v>23744</v>
      </c>
      <c r="G46" s="433">
        <v>23774</v>
      </c>
      <c r="H46" s="433">
        <v>42890</v>
      </c>
      <c r="J46" s="448">
        <v>27396</v>
      </c>
      <c r="K46" s="447">
        <v>27426</v>
      </c>
      <c r="L46" s="447">
        <v>42890</v>
      </c>
      <c r="N46" s="450">
        <f t="shared" si="5"/>
        <v>18.75</v>
      </c>
      <c r="O46" s="449">
        <v>9</v>
      </c>
      <c r="P46" s="447">
        <v>43904</v>
      </c>
      <c r="Q46" s="8"/>
      <c r="R46" s="450">
        <f t="shared" si="6"/>
        <v>58.75</v>
      </c>
      <c r="S46" s="449">
        <v>9</v>
      </c>
      <c r="T46" s="447">
        <v>43904</v>
      </c>
    </row>
    <row r="47" spans="2:20" ht="13.8" thickBot="1" x14ac:dyDescent="0.3">
      <c r="B47" s="437">
        <v>25601</v>
      </c>
      <c r="C47" s="433">
        <v>25628</v>
      </c>
      <c r="D47" s="433">
        <v>42836</v>
      </c>
      <c r="F47" s="437">
        <v>23775</v>
      </c>
      <c r="G47" s="433">
        <v>23802</v>
      </c>
      <c r="H47" s="433">
        <v>42836</v>
      </c>
      <c r="J47" s="448">
        <v>27427</v>
      </c>
      <c r="K47" s="447">
        <v>27454</v>
      </c>
      <c r="L47" s="447">
        <v>42836</v>
      </c>
      <c r="N47" s="450">
        <f t="shared" si="5"/>
        <v>18.833333333333332</v>
      </c>
      <c r="O47" s="449">
        <v>10</v>
      </c>
      <c r="P47" s="447">
        <v>43958</v>
      </c>
      <c r="Q47" s="8"/>
      <c r="R47" s="450">
        <f t="shared" si="6"/>
        <v>58.833333333333336</v>
      </c>
      <c r="S47" s="449">
        <v>10</v>
      </c>
      <c r="T47" s="447">
        <v>43958</v>
      </c>
    </row>
    <row r="48" spans="2:20" ht="13.8" thickBot="1" x14ac:dyDescent="0.3">
      <c r="B48" s="437">
        <v>25629</v>
      </c>
      <c r="C48" s="433">
        <v>25659</v>
      </c>
      <c r="D48" s="433">
        <v>42787</v>
      </c>
      <c r="F48" s="437">
        <v>23803</v>
      </c>
      <c r="G48" s="433">
        <v>23833</v>
      </c>
      <c r="H48" s="433">
        <v>42787</v>
      </c>
      <c r="J48" s="448">
        <v>27455</v>
      </c>
      <c r="K48" s="447">
        <v>27485</v>
      </c>
      <c r="L48" s="447">
        <v>42787</v>
      </c>
      <c r="N48" s="450">
        <f t="shared" si="5"/>
        <v>18.916666666666668</v>
      </c>
      <c r="O48" s="449">
        <v>11</v>
      </c>
      <c r="P48" s="447">
        <v>44010</v>
      </c>
      <c r="Q48" s="8"/>
      <c r="R48" s="450">
        <f t="shared" si="6"/>
        <v>58.916666666666664</v>
      </c>
      <c r="S48" s="449">
        <v>11</v>
      </c>
      <c r="T48" s="447">
        <v>44010</v>
      </c>
    </row>
    <row r="49" spans="2:20" ht="13.8" thickBot="1" x14ac:dyDescent="0.3">
      <c r="B49" s="437">
        <v>25660</v>
      </c>
      <c r="C49" s="433">
        <v>25689</v>
      </c>
      <c r="D49" s="433">
        <v>42733</v>
      </c>
      <c r="F49" s="437">
        <v>23834</v>
      </c>
      <c r="G49" s="433">
        <v>23863</v>
      </c>
      <c r="H49" s="433">
        <v>42733</v>
      </c>
      <c r="J49" s="448">
        <v>27486</v>
      </c>
      <c r="K49" s="447">
        <v>27515</v>
      </c>
      <c r="L49" s="447">
        <v>42733</v>
      </c>
      <c r="N49" s="450">
        <f t="shared" ref="N49:N60" si="7">19+O49/12</f>
        <v>19</v>
      </c>
      <c r="O49" s="449">
        <v>0</v>
      </c>
      <c r="P49" s="447">
        <v>44065</v>
      </c>
      <c r="Q49" s="8"/>
      <c r="R49" s="450">
        <f t="shared" ref="R49:R60" si="8">59+S49/12</f>
        <v>59</v>
      </c>
      <c r="S49" s="449">
        <v>0</v>
      </c>
      <c r="T49" s="447">
        <v>44065</v>
      </c>
    </row>
    <row r="50" spans="2:20" ht="13.8" thickBot="1" x14ac:dyDescent="0.3">
      <c r="B50" s="437">
        <v>25690</v>
      </c>
      <c r="C50" s="433">
        <v>25720</v>
      </c>
      <c r="D50" s="433">
        <v>42680</v>
      </c>
      <c r="F50" s="437">
        <v>23864</v>
      </c>
      <c r="G50" s="433">
        <v>23894</v>
      </c>
      <c r="H50" s="433">
        <v>42680</v>
      </c>
      <c r="J50" s="448">
        <v>27516</v>
      </c>
      <c r="K50" s="447">
        <v>27546</v>
      </c>
      <c r="L50" s="447">
        <v>42680</v>
      </c>
      <c r="N50" s="450">
        <f t="shared" si="7"/>
        <v>19.083333333333332</v>
      </c>
      <c r="O50" s="449">
        <v>1</v>
      </c>
      <c r="P50" s="447">
        <v>44115</v>
      </c>
      <c r="Q50" s="8"/>
      <c r="R50" s="450">
        <f t="shared" si="8"/>
        <v>59.083333333333336</v>
      </c>
      <c r="S50" s="449">
        <v>1</v>
      </c>
      <c r="T50" s="447">
        <v>44115</v>
      </c>
    </row>
    <row r="51" spans="2:20" ht="13.8" thickBot="1" x14ac:dyDescent="0.3">
      <c r="B51" s="437">
        <v>25721</v>
      </c>
      <c r="C51" s="433">
        <v>25750</v>
      </c>
      <c r="D51" s="433">
        <v>42626</v>
      </c>
      <c r="F51" s="437">
        <v>23895</v>
      </c>
      <c r="G51" s="433">
        <v>23924</v>
      </c>
      <c r="H51" s="433">
        <v>42626</v>
      </c>
      <c r="J51" s="448">
        <v>27547</v>
      </c>
      <c r="K51" s="447">
        <v>27576</v>
      </c>
      <c r="L51" s="447">
        <v>42626</v>
      </c>
      <c r="N51" s="450">
        <f t="shared" si="7"/>
        <v>19.166666666666668</v>
      </c>
      <c r="O51" s="449">
        <v>2</v>
      </c>
      <c r="P51" s="447">
        <v>44170</v>
      </c>
      <c r="Q51" s="8"/>
      <c r="R51" s="450">
        <f t="shared" si="8"/>
        <v>59.166666666666664</v>
      </c>
      <c r="S51" s="449">
        <v>2</v>
      </c>
      <c r="T51" s="447">
        <v>44170</v>
      </c>
    </row>
    <row r="52" spans="2:20" ht="13.8" thickBot="1" x14ac:dyDescent="0.3">
      <c r="B52" s="437">
        <v>25751</v>
      </c>
      <c r="C52" s="433">
        <v>25781</v>
      </c>
      <c r="D52" s="433">
        <v>42574</v>
      </c>
      <c r="F52" s="437">
        <v>23925</v>
      </c>
      <c r="G52" s="433">
        <v>23955</v>
      </c>
      <c r="H52" s="433">
        <v>42574</v>
      </c>
      <c r="J52" s="448">
        <v>27577</v>
      </c>
      <c r="K52" s="447">
        <v>27607</v>
      </c>
      <c r="L52" s="447">
        <v>42574</v>
      </c>
      <c r="N52" s="450">
        <f t="shared" si="7"/>
        <v>19.25</v>
      </c>
      <c r="O52" s="449">
        <v>3</v>
      </c>
      <c r="P52" s="447">
        <v>44224</v>
      </c>
      <c r="Q52" s="8"/>
      <c r="R52" s="450">
        <f t="shared" si="8"/>
        <v>59.25</v>
      </c>
      <c r="S52" s="449">
        <v>3</v>
      </c>
      <c r="T52" s="447">
        <v>44224</v>
      </c>
    </row>
    <row r="53" spans="2:20" ht="13.8" thickBot="1" x14ac:dyDescent="0.3">
      <c r="B53" s="437">
        <v>25782</v>
      </c>
      <c r="C53" s="433">
        <v>25812</v>
      </c>
      <c r="D53" s="433">
        <v>42519</v>
      </c>
      <c r="F53" s="437">
        <v>23956</v>
      </c>
      <c r="G53" s="433">
        <v>23986</v>
      </c>
      <c r="H53" s="433">
        <v>42519</v>
      </c>
      <c r="J53" s="448">
        <v>27608</v>
      </c>
      <c r="K53" s="447">
        <v>27638</v>
      </c>
      <c r="L53" s="447">
        <v>42519</v>
      </c>
      <c r="N53" s="450">
        <f t="shared" si="7"/>
        <v>19.333333333333332</v>
      </c>
      <c r="O53" s="449">
        <v>4</v>
      </c>
      <c r="P53" s="447">
        <v>44276</v>
      </c>
      <c r="Q53" s="8"/>
      <c r="R53" s="450">
        <f t="shared" si="8"/>
        <v>59.333333333333336</v>
      </c>
      <c r="S53" s="449">
        <v>4</v>
      </c>
      <c r="T53" s="447">
        <v>44276</v>
      </c>
    </row>
    <row r="54" spans="2:20" ht="13.8" thickBot="1" x14ac:dyDescent="0.3">
      <c r="B54" s="437">
        <v>25813</v>
      </c>
      <c r="C54" s="433">
        <v>25842</v>
      </c>
      <c r="D54" s="433">
        <v>42465</v>
      </c>
      <c r="F54" s="437">
        <v>23987</v>
      </c>
      <c r="G54" s="433">
        <v>24016</v>
      </c>
      <c r="H54" s="433">
        <v>42465</v>
      </c>
      <c r="J54" s="448">
        <v>27639</v>
      </c>
      <c r="K54" s="447">
        <v>27668</v>
      </c>
      <c r="L54" s="447">
        <v>42465</v>
      </c>
      <c r="N54" s="450">
        <f t="shared" si="7"/>
        <v>19.416666666666668</v>
      </c>
      <c r="O54" s="449">
        <v>5</v>
      </c>
      <c r="P54" s="447">
        <v>44331</v>
      </c>
      <c r="Q54" s="8"/>
      <c r="R54" s="450">
        <f t="shared" si="8"/>
        <v>59.416666666666664</v>
      </c>
      <c r="S54" s="449">
        <v>5</v>
      </c>
      <c r="T54" s="447">
        <v>44331</v>
      </c>
    </row>
    <row r="55" spans="2:20" ht="13.8" thickBot="1" x14ac:dyDescent="0.3">
      <c r="B55" s="437">
        <v>25843</v>
      </c>
      <c r="C55" s="433">
        <v>25873</v>
      </c>
      <c r="D55" s="433">
        <v>42413</v>
      </c>
      <c r="F55" s="437">
        <v>24017</v>
      </c>
      <c r="G55" s="433">
        <v>24047</v>
      </c>
      <c r="H55" s="433">
        <v>42413</v>
      </c>
      <c r="J55" s="448">
        <v>27669</v>
      </c>
      <c r="K55" s="447">
        <v>27699</v>
      </c>
      <c r="L55" s="447">
        <v>42413</v>
      </c>
      <c r="N55" s="450">
        <f t="shared" si="7"/>
        <v>19.5</v>
      </c>
      <c r="O55" s="449">
        <v>6</v>
      </c>
      <c r="P55" s="447">
        <v>44383</v>
      </c>
      <c r="Q55" s="8"/>
      <c r="R55" s="450">
        <f t="shared" si="8"/>
        <v>59.5</v>
      </c>
      <c r="S55" s="449">
        <v>6</v>
      </c>
      <c r="T55" s="447">
        <v>44383</v>
      </c>
    </row>
    <row r="56" spans="2:20" ht="13.8" thickBot="1" x14ac:dyDescent="0.3">
      <c r="B56" s="437">
        <v>25874</v>
      </c>
      <c r="C56" s="433">
        <v>25903</v>
      </c>
      <c r="D56" s="433">
        <v>42358</v>
      </c>
      <c r="F56" s="437">
        <v>24048</v>
      </c>
      <c r="G56" s="433">
        <v>24077</v>
      </c>
      <c r="H56" s="433">
        <v>42358</v>
      </c>
      <c r="J56" s="448">
        <v>27700</v>
      </c>
      <c r="K56" s="447">
        <v>27729</v>
      </c>
      <c r="L56" s="447">
        <v>42358</v>
      </c>
      <c r="N56" s="450">
        <f t="shared" si="7"/>
        <v>19.583333333333332</v>
      </c>
      <c r="O56" s="449">
        <v>7</v>
      </c>
      <c r="P56" s="447">
        <v>44437</v>
      </c>
      <c r="Q56" s="8"/>
      <c r="R56" s="450">
        <f t="shared" si="8"/>
        <v>59.583333333333336</v>
      </c>
      <c r="S56" s="449">
        <v>7</v>
      </c>
      <c r="T56" s="447">
        <v>44437</v>
      </c>
    </row>
    <row r="57" spans="2:20" ht="13.8" thickBot="1" x14ac:dyDescent="0.3">
      <c r="B57" s="437">
        <v>25904</v>
      </c>
      <c r="C57" s="433">
        <v>25934</v>
      </c>
      <c r="D57" s="433">
        <v>42306</v>
      </c>
      <c r="F57" s="437">
        <v>24078</v>
      </c>
      <c r="G57" s="433">
        <v>24108</v>
      </c>
      <c r="H57" s="433">
        <v>42306</v>
      </c>
      <c r="J57" s="448">
        <v>27730</v>
      </c>
      <c r="K57" s="447">
        <v>27760</v>
      </c>
      <c r="L57" s="447">
        <v>42306</v>
      </c>
      <c r="N57" s="450">
        <f t="shared" si="7"/>
        <v>19.666666666666668</v>
      </c>
      <c r="O57" s="449">
        <v>8</v>
      </c>
      <c r="P57" s="447">
        <v>44492</v>
      </c>
      <c r="Q57" s="8"/>
      <c r="R57" s="450">
        <f t="shared" si="8"/>
        <v>59.666666666666664</v>
      </c>
      <c r="S57" s="449">
        <v>8</v>
      </c>
      <c r="T57" s="447">
        <v>44492</v>
      </c>
    </row>
    <row r="58" spans="2:20" ht="13.8" thickBot="1" x14ac:dyDescent="0.3">
      <c r="B58" s="437">
        <v>25935</v>
      </c>
      <c r="C58" s="433">
        <v>25965</v>
      </c>
      <c r="D58" s="433">
        <v>42252</v>
      </c>
      <c r="F58" s="437">
        <v>24109</v>
      </c>
      <c r="G58" s="433">
        <v>24139</v>
      </c>
      <c r="H58" s="433">
        <v>42252</v>
      </c>
      <c r="J58" s="448">
        <v>27761</v>
      </c>
      <c r="K58" s="447">
        <v>27791</v>
      </c>
      <c r="L58" s="447">
        <v>42252</v>
      </c>
      <c r="N58" s="450">
        <f t="shared" si="7"/>
        <v>19.75</v>
      </c>
      <c r="O58" s="449">
        <v>9</v>
      </c>
      <c r="P58" s="447">
        <v>44544</v>
      </c>
      <c r="Q58" s="8"/>
      <c r="R58" s="450">
        <f t="shared" si="8"/>
        <v>59.75</v>
      </c>
      <c r="S58" s="449">
        <v>9</v>
      </c>
      <c r="T58" s="447">
        <v>44544</v>
      </c>
    </row>
    <row r="59" spans="2:20" ht="13.8" thickBot="1" x14ac:dyDescent="0.3">
      <c r="B59" s="437">
        <v>25966</v>
      </c>
      <c r="C59" s="433">
        <v>25993</v>
      </c>
      <c r="D59" s="433">
        <v>42197</v>
      </c>
      <c r="F59" s="437">
        <v>24140</v>
      </c>
      <c r="G59" s="433">
        <v>24167</v>
      </c>
      <c r="H59" s="433">
        <v>42197</v>
      </c>
      <c r="J59" s="448">
        <v>27792</v>
      </c>
      <c r="K59" s="447">
        <v>27820</v>
      </c>
      <c r="L59" s="447">
        <v>42197</v>
      </c>
      <c r="N59" s="450">
        <f t="shared" si="7"/>
        <v>19.833333333333332</v>
      </c>
      <c r="O59" s="449">
        <v>10</v>
      </c>
      <c r="P59" s="447">
        <v>44598</v>
      </c>
      <c r="Q59" s="8"/>
      <c r="R59" s="450">
        <f t="shared" si="8"/>
        <v>59.833333333333336</v>
      </c>
      <c r="S59" s="449">
        <v>10</v>
      </c>
      <c r="T59" s="447">
        <v>44598</v>
      </c>
    </row>
    <row r="60" spans="2:20" x14ac:dyDescent="0.25">
      <c r="B60" s="437">
        <v>25994</v>
      </c>
      <c r="C60" s="433">
        <v>26024</v>
      </c>
      <c r="D60" s="433">
        <v>42148</v>
      </c>
      <c r="F60" s="437">
        <v>24168</v>
      </c>
      <c r="G60" s="433">
        <v>24198</v>
      </c>
      <c r="H60" s="433">
        <v>42148</v>
      </c>
      <c r="J60" s="448">
        <v>27821</v>
      </c>
      <c r="K60" s="447">
        <v>27851</v>
      </c>
      <c r="L60" s="447">
        <v>42148</v>
      </c>
      <c r="N60" s="450">
        <f t="shared" si="7"/>
        <v>19.916666666666668</v>
      </c>
      <c r="O60" s="449">
        <v>11</v>
      </c>
      <c r="P60" s="447">
        <v>44651</v>
      </c>
      <c r="Q60" s="8"/>
      <c r="R60" s="450">
        <f t="shared" si="8"/>
        <v>59.916666666666664</v>
      </c>
      <c r="S60" s="449">
        <v>11</v>
      </c>
      <c r="T60" s="447">
        <v>44651</v>
      </c>
    </row>
    <row r="64" spans="2:20" x14ac:dyDescent="0.25">
      <c r="N64" s="438"/>
      <c r="R64" s="438"/>
    </row>
    <row r="65" spans="14:20" ht="13.8" thickBot="1" x14ac:dyDescent="0.3">
      <c r="N65" s="438"/>
      <c r="R65" s="438"/>
    </row>
    <row r="66" spans="14:20" ht="13.8" thickBot="1" x14ac:dyDescent="0.3">
      <c r="N66" s="718"/>
      <c r="O66" s="719"/>
      <c r="P66" s="434"/>
      <c r="R66" s="718"/>
      <c r="S66" s="719"/>
      <c r="T66" s="434"/>
    </row>
    <row r="67" spans="14:20" ht="13.8" thickBot="1" x14ac:dyDescent="0.3">
      <c r="N67" s="435"/>
      <c r="O67" s="432"/>
      <c r="P67" s="436"/>
      <c r="R67" s="452"/>
      <c r="S67" s="451"/>
      <c r="T67" s="446"/>
    </row>
    <row r="68" spans="14:20" ht="13.8" thickBot="1" x14ac:dyDescent="0.3">
      <c r="N68" s="450"/>
      <c r="O68" s="449"/>
      <c r="P68" s="447"/>
      <c r="R68" s="450"/>
      <c r="S68" s="449"/>
      <c r="T68" s="447"/>
    </row>
    <row r="69" spans="14:20" ht="13.8" thickBot="1" x14ac:dyDescent="0.3">
      <c r="N69" s="450"/>
      <c r="O69" s="449"/>
      <c r="P69" s="447"/>
      <c r="R69" s="450"/>
      <c r="S69" s="449"/>
      <c r="T69" s="447"/>
    </row>
    <row r="70" spans="14:20" ht="13.8" thickBot="1" x14ac:dyDescent="0.3">
      <c r="N70" s="450"/>
      <c r="O70" s="449"/>
      <c r="P70" s="447"/>
      <c r="R70" s="450"/>
      <c r="S70" s="449"/>
      <c r="T70" s="447"/>
    </row>
    <row r="71" spans="14:20" ht="13.8" thickBot="1" x14ac:dyDescent="0.3">
      <c r="N71" s="450"/>
      <c r="O71" s="449"/>
      <c r="P71" s="447"/>
      <c r="R71" s="450"/>
      <c r="S71" s="449"/>
      <c r="T71" s="447"/>
    </row>
    <row r="72" spans="14:20" ht="13.8" thickBot="1" x14ac:dyDescent="0.3">
      <c r="N72" s="450"/>
      <c r="O72" s="449"/>
      <c r="P72" s="447"/>
      <c r="R72" s="450"/>
      <c r="S72" s="449"/>
      <c r="T72" s="447"/>
    </row>
    <row r="73" spans="14:20" ht="13.8" thickBot="1" x14ac:dyDescent="0.3">
      <c r="N73" s="450"/>
      <c r="O73" s="449"/>
      <c r="P73" s="447"/>
      <c r="R73" s="450"/>
      <c r="S73" s="449"/>
      <c r="T73" s="447"/>
    </row>
    <row r="74" spans="14:20" ht="13.8" thickBot="1" x14ac:dyDescent="0.3">
      <c r="N74" s="450"/>
      <c r="O74" s="449"/>
      <c r="P74" s="447"/>
      <c r="R74" s="450"/>
      <c r="S74" s="449"/>
      <c r="T74" s="447"/>
    </row>
    <row r="75" spans="14:20" ht="13.8" thickBot="1" x14ac:dyDescent="0.3">
      <c r="N75" s="450"/>
      <c r="O75" s="449"/>
      <c r="P75" s="447"/>
      <c r="R75" s="450"/>
      <c r="S75" s="449"/>
      <c r="T75" s="447"/>
    </row>
    <row r="76" spans="14:20" ht="13.8" thickBot="1" x14ac:dyDescent="0.3">
      <c r="N76" s="450"/>
      <c r="O76" s="449"/>
      <c r="P76" s="447"/>
      <c r="R76" s="450"/>
      <c r="S76" s="449"/>
      <c r="T76" s="447"/>
    </row>
    <row r="77" spans="14:20" ht="13.8" thickBot="1" x14ac:dyDescent="0.3">
      <c r="N77" s="450"/>
      <c r="O77" s="449"/>
      <c r="P77" s="447"/>
      <c r="R77" s="450"/>
      <c r="S77" s="449"/>
      <c r="T77" s="447"/>
    </row>
    <row r="78" spans="14:20" ht="13.8" thickBot="1" x14ac:dyDescent="0.3">
      <c r="N78" s="450"/>
      <c r="O78" s="449"/>
      <c r="P78" s="447"/>
      <c r="R78" s="450"/>
      <c r="S78" s="449"/>
      <c r="T78" s="447"/>
    </row>
    <row r="79" spans="14:20" ht="13.8" thickBot="1" x14ac:dyDescent="0.3">
      <c r="N79" s="450"/>
      <c r="O79" s="449"/>
      <c r="P79" s="447"/>
      <c r="R79" s="450"/>
      <c r="S79" s="449"/>
      <c r="T79" s="447"/>
    </row>
    <row r="80" spans="14:20" ht="13.8" thickBot="1" x14ac:dyDescent="0.3">
      <c r="N80" s="450"/>
      <c r="O80" s="449"/>
      <c r="P80" s="447"/>
      <c r="R80" s="450"/>
      <c r="S80" s="449"/>
      <c r="T80" s="447"/>
    </row>
    <row r="81" spans="14:20" ht="13.8" thickBot="1" x14ac:dyDescent="0.3">
      <c r="N81" s="450"/>
      <c r="O81" s="449"/>
      <c r="P81" s="447"/>
      <c r="R81" s="450"/>
      <c r="S81" s="449"/>
      <c r="T81" s="447"/>
    </row>
    <row r="82" spans="14:20" ht="13.8" thickBot="1" x14ac:dyDescent="0.3">
      <c r="N82" s="450"/>
      <c r="O82" s="449"/>
      <c r="P82" s="447"/>
      <c r="R82" s="450"/>
      <c r="S82" s="449"/>
      <c r="T82" s="447"/>
    </row>
    <row r="83" spans="14:20" ht="13.8" thickBot="1" x14ac:dyDescent="0.3">
      <c r="N83" s="450"/>
      <c r="O83" s="449"/>
      <c r="P83" s="447"/>
      <c r="R83" s="450"/>
      <c r="S83" s="449"/>
      <c r="T83" s="447"/>
    </row>
    <row r="84" spans="14:20" ht="13.8" thickBot="1" x14ac:dyDescent="0.3">
      <c r="N84" s="450"/>
      <c r="O84" s="449"/>
      <c r="P84" s="447"/>
      <c r="R84" s="450"/>
      <c r="S84" s="449"/>
      <c r="T84" s="447"/>
    </row>
    <row r="85" spans="14:20" ht="13.8" thickBot="1" x14ac:dyDescent="0.3">
      <c r="N85" s="450"/>
      <c r="O85" s="449"/>
      <c r="P85" s="447"/>
      <c r="R85" s="450"/>
      <c r="S85" s="449"/>
      <c r="T85" s="447"/>
    </row>
    <row r="86" spans="14:20" ht="13.8" thickBot="1" x14ac:dyDescent="0.3">
      <c r="N86" s="450"/>
      <c r="O86" s="449"/>
      <c r="P86" s="447"/>
      <c r="R86" s="450"/>
      <c r="S86" s="449"/>
      <c r="T86" s="447"/>
    </row>
    <row r="87" spans="14:20" ht="13.8" thickBot="1" x14ac:dyDescent="0.3">
      <c r="N87" s="450"/>
      <c r="O87" s="449"/>
      <c r="P87" s="447"/>
      <c r="R87" s="450"/>
      <c r="S87" s="449"/>
      <c r="T87" s="447"/>
    </row>
    <row r="88" spans="14:20" ht="13.8" thickBot="1" x14ac:dyDescent="0.3">
      <c r="N88" s="450"/>
      <c r="O88" s="449"/>
      <c r="P88" s="447"/>
      <c r="R88" s="450"/>
      <c r="S88" s="449"/>
      <c r="T88" s="447"/>
    </row>
    <row r="89" spans="14:20" ht="13.8" thickBot="1" x14ac:dyDescent="0.3">
      <c r="N89" s="450"/>
      <c r="O89" s="449"/>
      <c r="P89" s="447"/>
      <c r="R89" s="450"/>
      <c r="S89" s="449"/>
      <c r="T89" s="447"/>
    </row>
    <row r="90" spans="14:20" ht="13.8" thickBot="1" x14ac:dyDescent="0.3">
      <c r="N90" s="450"/>
      <c r="O90" s="449"/>
      <c r="P90" s="447"/>
      <c r="R90" s="450"/>
      <c r="S90" s="449"/>
      <c r="T90" s="447"/>
    </row>
    <row r="91" spans="14:20" ht="13.8" thickBot="1" x14ac:dyDescent="0.3">
      <c r="N91" s="450"/>
      <c r="O91" s="449"/>
      <c r="P91" s="447"/>
      <c r="R91" s="450"/>
      <c r="S91" s="449"/>
      <c r="T91" s="447"/>
    </row>
    <row r="92" spans="14:20" ht="13.8" thickBot="1" x14ac:dyDescent="0.3">
      <c r="N92" s="450"/>
      <c r="O92" s="449"/>
      <c r="P92" s="447"/>
      <c r="R92" s="450"/>
      <c r="S92" s="449"/>
      <c r="T92" s="447"/>
    </row>
    <row r="93" spans="14:20" ht="13.8" thickBot="1" x14ac:dyDescent="0.3">
      <c r="N93" s="450"/>
      <c r="O93" s="449"/>
      <c r="P93" s="447"/>
      <c r="R93" s="450"/>
      <c r="S93" s="449"/>
      <c r="T93" s="447"/>
    </row>
    <row r="94" spans="14:20" ht="13.8" thickBot="1" x14ac:dyDescent="0.3">
      <c r="N94" s="450"/>
      <c r="O94" s="449"/>
      <c r="P94" s="447"/>
      <c r="R94" s="450"/>
      <c r="S94" s="449"/>
      <c r="T94" s="447"/>
    </row>
    <row r="95" spans="14:20" ht="13.8" thickBot="1" x14ac:dyDescent="0.3">
      <c r="N95" s="450"/>
      <c r="O95" s="449"/>
      <c r="P95" s="447"/>
      <c r="R95" s="450"/>
      <c r="S95" s="449"/>
      <c r="T95" s="447"/>
    </row>
    <row r="96" spans="14:20" ht="13.8" thickBot="1" x14ac:dyDescent="0.3">
      <c r="N96" s="450"/>
      <c r="O96" s="449"/>
      <c r="P96" s="447"/>
      <c r="R96" s="450"/>
      <c r="S96" s="449"/>
      <c r="T96" s="447"/>
    </row>
    <row r="97" spans="14:20" ht="13.8" thickBot="1" x14ac:dyDescent="0.3">
      <c r="N97" s="450"/>
      <c r="O97" s="449"/>
      <c r="P97" s="447"/>
      <c r="R97" s="450"/>
      <c r="S97" s="449"/>
      <c r="T97" s="447"/>
    </row>
    <row r="98" spans="14:20" ht="13.8" thickBot="1" x14ac:dyDescent="0.3">
      <c r="N98" s="450"/>
      <c r="O98" s="449"/>
      <c r="P98" s="447"/>
      <c r="R98" s="450"/>
      <c r="S98" s="449"/>
      <c r="T98" s="447"/>
    </row>
    <row r="99" spans="14:20" ht="13.8" thickBot="1" x14ac:dyDescent="0.3">
      <c r="N99" s="450"/>
      <c r="O99" s="449"/>
      <c r="P99" s="447"/>
      <c r="R99" s="450"/>
      <c r="S99" s="449"/>
      <c r="T99" s="447"/>
    </row>
    <row r="100" spans="14:20" ht="13.8" thickBot="1" x14ac:dyDescent="0.3">
      <c r="N100" s="450"/>
      <c r="O100" s="449"/>
      <c r="P100" s="447"/>
      <c r="R100" s="450"/>
      <c r="S100" s="449"/>
      <c r="T100" s="447"/>
    </row>
    <row r="101" spans="14:20" ht="13.8" thickBot="1" x14ac:dyDescent="0.3">
      <c r="N101" s="450"/>
      <c r="O101" s="449"/>
      <c r="P101" s="447"/>
      <c r="R101" s="450"/>
      <c r="S101" s="449"/>
      <c r="T101" s="447"/>
    </row>
    <row r="102" spans="14:20" ht="13.8" thickBot="1" x14ac:dyDescent="0.3">
      <c r="N102" s="450"/>
      <c r="O102" s="449"/>
      <c r="P102" s="447"/>
      <c r="R102" s="450"/>
      <c r="S102" s="449"/>
      <c r="T102" s="447"/>
    </row>
    <row r="103" spans="14:20" ht="13.8" thickBot="1" x14ac:dyDescent="0.3">
      <c r="N103" s="450"/>
      <c r="O103" s="449"/>
      <c r="P103" s="447"/>
      <c r="R103" s="450"/>
      <c r="S103" s="449"/>
      <c r="T103" s="447"/>
    </row>
    <row r="104" spans="14:20" ht="13.8" thickBot="1" x14ac:dyDescent="0.3">
      <c r="N104" s="450"/>
      <c r="O104" s="449"/>
      <c r="P104" s="447"/>
      <c r="R104" s="450"/>
      <c r="S104" s="449"/>
      <c r="T104" s="447"/>
    </row>
    <row r="105" spans="14:20" ht="13.8" thickBot="1" x14ac:dyDescent="0.3">
      <c r="N105" s="450"/>
      <c r="O105" s="449"/>
      <c r="P105" s="447"/>
      <c r="R105" s="450"/>
      <c r="S105" s="449"/>
      <c r="T105" s="447"/>
    </row>
    <row r="106" spans="14:20" ht="13.8" thickBot="1" x14ac:dyDescent="0.3">
      <c r="N106" s="450"/>
      <c r="O106" s="449"/>
      <c r="P106" s="447"/>
      <c r="R106" s="450"/>
      <c r="S106" s="449"/>
      <c r="T106" s="447"/>
    </row>
    <row r="107" spans="14:20" ht="13.8" thickBot="1" x14ac:dyDescent="0.3">
      <c r="N107" s="450"/>
      <c r="O107" s="449"/>
      <c r="P107" s="447"/>
      <c r="R107" s="450"/>
      <c r="S107" s="449"/>
      <c r="T107" s="447"/>
    </row>
    <row r="108" spans="14:20" ht="13.8" thickBot="1" x14ac:dyDescent="0.3">
      <c r="N108" s="450"/>
      <c r="O108" s="449"/>
      <c r="P108" s="447"/>
      <c r="R108" s="450"/>
      <c r="S108" s="449"/>
      <c r="T108" s="447"/>
    </row>
    <row r="109" spans="14:20" ht="13.8" thickBot="1" x14ac:dyDescent="0.3">
      <c r="N109" s="450"/>
      <c r="O109" s="449"/>
      <c r="P109" s="447"/>
      <c r="R109" s="450"/>
      <c r="S109" s="449"/>
      <c r="T109" s="447"/>
    </row>
    <row r="110" spans="14:20" ht="13.8" thickBot="1" x14ac:dyDescent="0.3">
      <c r="N110" s="450"/>
      <c r="O110" s="449"/>
      <c r="P110" s="447"/>
      <c r="R110" s="450"/>
      <c r="S110" s="449"/>
      <c r="T110" s="447"/>
    </row>
    <row r="111" spans="14:20" ht="13.8" thickBot="1" x14ac:dyDescent="0.3">
      <c r="N111" s="450"/>
      <c r="O111" s="449"/>
      <c r="P111" s="447"/>
      <c r="R111" s="450"/>
      <c r="S111" s="449"/>
      <c r="T111" s="447"/>
    </row>
    <row r="112" spans="14:20" ht="13.8" thickBot="1" x14ac:dyDescent="0.3">
      <c r="N112" s="450"/>
      <c r="O112" s="449"/>
      <c r="P112" s="447"/>
      <c r="R112" s="450"/>
      <c r="S112" s="449"/>
      <c r="T112" s="447"/>
    </row>
    <row r="113" spans="14:20" ht="13.8" thickBot="1" x14ac:dyDescent="0.3">
      <c r="N113" s="450"/>
      <c r="O113" s="449"/>
      <c r="P113" s="447"/>
      <c r="R113" s="450"/>
      <c r="S113" s="449"/>
      <c r="T113" s="447"/>
    </row>
    <row r="114" spans="14:20" ht="13.8" thickBot="1" x14ac:dyDescent="0.3">
      <c r="N114" s="450"/>
      <c r="O114" s="449"/>
      <c r="P114" s="447"/>
      <c r="R114" s="450"/>
      <c r="S114" s="449"/>
      <c r="T114" s="447"/>
    </row>
    <row r="115" spans="14:20" x14ac:dyDescent="0.25">
      <c r="N115" s="450"/>
      <c r="O115" s="449"/>
      <c r="P115" s="447"/>
      <c r="R115" s="450"/>
      <c r="S115" s="449"/>
      <c r="T115" s="447"/>
    </row>
  </sheetData>
  <sortState xmlns:xlrd2="http://schemas.microsoft.com/office/spreadsheetml/2017/richdata2" ref="R13:T60">
    <sortCondition ref="T13:T60"/>
  </sortState>
  <mergeCells count="7">
    <mergeCell ref="N66:O66"/>
    <mergeCell ref="R66:S66"/>
    <mergeCell ref="B11:C11"/>
    <mergeCell ref="F11:G11"/>
    <mergeCell ref="J11:K11"/>
    <mergeCell ref="N11:O11"/>
    <mergeCell ref="R11:S11"/>
  </mergeCells>
  <phoneticPr fontId="30" type="noConversion"/>
  <hyperlinks>
    <hyperlink ref="C6" r:id="rId1" display="https://www.gov.uk/government/publications/firefighters-pension-scheme-proposed-final-agreement" xr:uid="{00000000-0004-0000-0700-000000000000}"/>
  </hyperlinks>
  <pageMargins left="0.7" right="0.7" top="0.75" bottom="0.75" header="0.3" footer="0.3"/>
  <pageSetup paperSize="9" orientation="portrait" r:id="rId2"/>
  <headerFooter>
    <oddHeader>&amp;CPROTECT - SCHEME MANAGEMENT&amp;L_x000D_&amp;Z&amp;F  [&amp;A]</oddHeader>
    <oddFooter>&amp;LPage &amp;P of &amp;N&amp;R&amp;T &amp;D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92D050"/>
  </sheetPr>
  <dimension ref="A1:O71"/>
  <sheetViews>
    <sheetView workbookViewId="0"/>
  </sheetViews>
  <sheetFormatPr defaultRowHeight="13.2" x14ac:dyDescent="0.25"/>
  <cols>
    <col min="2" max="2" width="20.6640625" customWidth="1"/>
    <col min="3" max="3" width="20" bestFit="1" customWidth="1"/>
  </cols>
  <sheetData>
    <row r="1" spans="1:14" ht="21" x14ac:dyDescent="0.4">
      <c r="A1" s="13" t="s">
        <v>19</v>
      </c>
      <c r="B1" s="12"/>
      <c r="C1" s="12"/>
      <c r="D1" s="12"/>
      <c r="E1" s="12"/>
      <c r="F1" s="12"/>
      <c r="G1" s="12"/>
      <c r="H1" s="12"/>
      <c r="I1" s="12"/>
    </row>
    <row r="2" spans="1:14" ht="15.6" x14ac:dyDescent="0.3">
      <c r="A2" s="27" t="str">
        <f>IF(title="&gt; Enter workbook title here","Enter workbook title in Cover sheet",title)</f>
        <v>Scottish Fire pension  projection calculator</v>
      </c>
      <c r="B2" s="11"/>
      <c r="C2" s="11"/>
      <c r="D2" s="11"/>
      <c r="E2" s="11"/>
      <c r="F2" s="11"/>
      <c r="G2" s="11"/>
      <c r="H2" s="11"/>
      <c r="I2" s="11"/>
    </row>
    <row r="3" spans="1:14" ht="15.6" x14ac:dyDescent="0.3">
      <c r="A3" s="14" t="s">
        <v>261</v>
      </c>
      <c r="B3" s="11"/>
      <c r="C3" s="11"/>
      <c r="D3" s="11"/>
      <c r="E3" s="11"/>
      <c r="F3" s="11"/>
      <c r="G3" s="11"/>
      <c r="H3" s="11"/>
      <c r="I3" s="11"/>
    </row>
    <row r="4" spans="1:14" x14ac:dyDescent="0.25">
      <c r="A4" s="7" t="str">
        <f ca="1">CELL("filename",A1)</f>
        <v>\\Gad-ast\ast\Development_Tools\Benefit projection calculators\File sent to client team Feb 2021\[Fire Scotland - Benefit Calculator - 23Feb2021.xlsx]Commutation Factors</v>
      </c>
    </row>
    <row r="7" spans="1:14" x14ac:dyDescent="0.25">
      <c r="B7" s="1" t="s">
        <v>271</v>
      </c>
      <c r="F7" s="80">
        <v>12</v>
      </c>
    </row>
    <row r="8" spans="1:14" x14ac:dyDescent="0.25">
      <c r="B8" s="1" t="s">
        <v>532</v>
      </c>
      <c r="F8" s="370">
        <v>12</v>
      </c>
    </row>
    <row r="9" spans="1:14" x14ac:dyDescent="0.25">
      <c r="B9" s="1"/>
      <c r="F9" s="370"/>
      <c r="H9" s="632" t="s">
        <v>887</v>
      </c>
      <c r="I9" s="633"/>
      <c r="J9" s="633"/>
      <c r="K9" s="633"/>
    </row>
    <row r="10" spans="1:14" ht="13.8" thickBot="1" x14ac:dyDescent="0.3">
      <c r="B10" s="1" t="s">
        <v>536</v>
      </c>
      <c r="D10" s="1"/>
      <c r="F10" s="35"/>
      <c r="H10" s="35" t="s">
        <v>890</v>
      </c>
    </row>
    <row r="11" spans="1:14" ht="13.8" thickBot="1" x14ac:dyDescent="0.3">
      <c r="B11" s="720" t="s">
        <v>265</v>
      </c>
      <c r="C11" s="722" t="s">
        <v>269</v>
      </c>
      <c r="D11" s="723"/>
      <c r="E11" s="723"/>
      <c r="F11" s="723"/>
      <c r="G11" s="723"/>
      <c r="H11" s="723"/>
      <c r="I11" s="723"/>
      <c r="J11" s="723"/>
      <c r="K11" s="723"/>
      <c r="L11" s="723"/>
      <c r="M11" s="723"/>
      <c r="N11" s="724"/>
    </row>
    <row r="12" spans="1:14" ht="13.8" thickBot="1" x14ac:dyDescent="0.3">
      <c r="B12" s="721"/>
      <c r="C12" s="81">
        <v>0</v>
      </c>
      <c r="D12" s="287">
        <v>1</v>
      </c>
      <c r="E12" s="287">
        <v>2</v>
      </c>
      <c r="F12" s="287">
        <v>3</v>
      </c>
      <c r="G12" s="287">
        <v>4</v>
      </c>
      <c r="H12" s="287">
        <v>5</v>
      </c>
      <c r="I12" s="287">
        <v>6</v>
      </c>
      <c r="J12" s="287">
        <v>7</v>
      </c>
      <c r="K12" s="287">
        <v>8</v>
      </c>
      <c r="L12" s="287">
        <v>9</v>
      </c>
      <c r="M12" s="287">
        <v>10</v>
      </c>
      <c r="N12" s="287">
        <v>11</v>
      </c>
    </row>
    <row r="13" spans="1:14" ht="13.8" thickBot="1" x14ac:dyDescent="0.3">
      <c r="B13" s="82" t="s">
        <v>533</v>
      </c>
      <c r="C13" s="634">
        <v>23.3</v>
      </c>
      <c r="D13" s="635"/>
      <c r="E13" s="635"/>
      <c r="F13" s="635"/>
      <c r="G13" s="635"/>
      <c r="H13" s="635"/>
      <c r="I13" s="635"/>
      <c r="J13" s="635"/>
      <c r="K13" s="635"/>
      <c r="L13" s="635"/>
      <c r="M13" s="635"/>
      <c r="N13" s="636"/>
    </row>
    <row r="14" spans="1:14" ht="13.8" thickBot="1" x14ac:dyDescent="0.3">
      <c r="B14" s="82">
        <v>50</v>
      </c>
      <c r="C14" s="637">
        <v>23.3</v>
      </c>
      <c r="D14" s="638">
        <v>23.3</v>
      </c>
      <c r="E14" s="638">
        <v>23.3</v>
      </c>
      <c r="F14" s="638">
        <v>23.2</v>
      </c>
      <c r="G14" s="638">
        <v>23.2</v>
      </c>
      <c r="H14" s="638">
        <v>23.2</v>
      </c>
      <c r="I14" s="638">
        <v>23.1</v>
      </c>
      <c r="J14" s="638">
        <v>23.1</v>
      </c>
      <c r="K14" s="638">
        <v>23.1</v>
      </c>
      <c r="L14" s="637">
        <v>23</v>
      </c>
      <c r="M14" s="638">
        <v>23</v>
      </c>
      <c r="N14" s="638">
        <v>23</v>
      </c>
    </row>
    <row r="15" spans="1:14" ht="13.8" thickBot="1" x14ac:dyDescent="0.3">
      <c r="B15" s="82">
        <v>51</v>
      </c>
      <c r="C15" s="637">
        <v>22.9</v>
      </c>
      <c r="D15" s="638">
        <v>22.9</v>
      </c>
      <c r="E15" s="638">
        <v>22.9</v>
      </c>
      <c r="F15" s="638">
        <v>22.8</v>
      </c>
      <c r="G15" s="638">
        <v>22.8</v>
      </c>
      <c r="H15" s="638">
        <v>22.8</v>
      </c>
      <c r="I15" s="638">
        <v>22.7</v>
      </c>
      <c r="J15" s="638">
        <v>22.7</v>
      </c>
      <c r="K15" s="638">
        <v>22.7</v>
      </c>
      <c r="L15" s="637">
        <v>22.6</v>
      </c>
      <c r="M15" s="638">
        <v>22.6</v>
      </c>
      <c r="N15" s="638">
        <v>22.6</v>
      </c>
    </row>
    <row r="16" spans="1:14" ht="13.8" thickBot="1" x14ac:dyDescent="0.3">
      <c r="B16" s="82">
        <v>52</v>
      </c>
      <c r="C16" s="637">
        <v>22.5</v>
      </c>
      <c r="D16" s="638">
        <v>22.5</v>
      </c>
      <c r="E16" s="638">
        <v>22.5</v>
      </c>
      <c r="F16" s="638">
        <v>22.4</v>
      </c>
      <c r="G16" s="638">
        <v>22.4</v>
      </c>
      <c r="H16" s="638">
        <v>22.4</v>
      </c>
      <c r="I16" s="638">
        <v>22.3</v>
      </c>
      <c r="J16" s="638">
        <v>22.3</v>
      </c>
      <c r="K16" s="638">
        <v>22.3</v>
      </c>
      <c r="L16" s="637">
        <v>22.2</v>
      </c>
      <c r="M16" s="638">
        <v>22.2</v>
      </c>
      <c r="N16" s="638">
        <v>22.2</v>
      </c>
    </row>
    <row r="17" spans="2:14" ht="13.8" thickBot="1" x14ac:dyDescent="0.3">
      <c r="B17" s="82">
        <v>53</v>
      </c>
      <c r="C17" s="637">
        <v>22.1</v>
      </c>
      <c r="D17" s="638">
        <v>22.1</v>
      </c>
      <c r="E17" s="638">
        <v>22</v>
      </c>
      <c r="F17" s="638">
        <v>22</v>
      </c>
      <c r="G17" s="638">
        <v>22</v>
      </c>
      <c r="H17" s="638">
        <v>21.9</v>
      </c>
      <c r="I17" s="638">
        <v>21.9</v>
      </c>
      <c r="J17" s="638">
        <v>21.9</v>
      </c>
      <c r="K17" s="638">
        <v>21.8</v>
      </c>
      <c r="L17" s="637">
        <v>21.8</v>
      </c>
      <c r="M17" s="638">
        <v>21.7</v>
      </c>
      <c r="N17" s="638">
        <v>21.7</v>
      </c>
    </row>
    <row r="18" spans="2:14" ht="13.8" thickBot="1" x14ac:dyDescent="0.3">
      <c r="B18" s="82">
        <v>54</v>
      </c>
      <c r="C18" s="637">
        <v>21.7</v>
      </c>
      <c r="D18" s="638">
        <v>21.6</v>
      </c>
      <c r="E18" s="638">
        <v>21.6</v>
      </c>
      <c r="F18" s="638">
        <v>21.5</v>
      </c>
      <c r="G18" s="638">
        <v>21.5</v>
      </c>
      <c r="H18" s="638">
        <v>21.5</v>
      </c>
      <c r="I18" s="638">
        <v>21.4</v>
      </c>
      <c r="J18" s="638">
        <v>21.4</v>
      </c>
      <c r="K18" s="638">
        <v>21.3</v>
      </c>
      <c r="L18" s="637">
        <v>21.3</v>
      </c>
      <c r="M18" s="638">
        <v>21.3</v>
      </c>
      <c r="N18" s="638">
        <v>21.2</v>
      </c>
    </row>
    <row r="19" spans="2:14" ht="13.8" thickBot="1" x14ac:dyDescent="0.3">
      <c r="B19" s="82">
        <v>55</v>
      </c>
      <c r="C19" s="637">
        <v>21.2</v>
      </c>
      <c r="D19" s="638">
        <v>21.1</v>
      </c>
      <c r="E19" s="638">
        <v>21.1</v>
      </c>
      <c r="F19" s="638">
        <v>21.1</v>
      </c>
      <c r="G19" s="638">
        <v>21</v>
      </c>
      <c r="H19" s="638">
        <v>21</v>
      </c>
      <c r="I19" s="638">
        <v>20.9</v>
      </c>
      <c r="J19" s="638">
        <v>20.9</v>
      </c>
      <c r="K19" s="638">
        <v>20.9</v>
      </c>
      <c r="L19" s="637">
        <v>20.8</v>
      </c>
      <c r="M19" s="638">
        <v>20.8</v>
      </c>
      <c r="N19" s="638">
        <v>20.7</v>
      </c>
    </row>
    <row r="20" spans="2:14" ht="13.8" thickBot="1" x14ac:dyDescent="0.3">
      <c r="B20" s="82">
        <v>56</v>
      </c>
      <c r="C20" s="637">
        <v>20.7</v>
      </c>
      <c r="D20" s="638">
        <v>20.7</v>
      </c>
      <c r="E20" s="638">
        <v>20.6</v>
      </c>
      <c r="F20" s="638">
        <v>20.6</v>
      </c>
      <c r="G20" s="638">
        <v>20.5</v>
      </c>
      <c r="H20" s="638">
        <v>20.5</v>
      </c>
      <c r="I20" s="638">
        <v>20.399999999999999</v>
      </c>
      <c r="J20" s="638">
        <v>20.399999999999999</v>
      </c>
      <c r="K20" s="638">
        <v>20.399999999999999</v>
      </c>
      <c r="L20" s="637">
        <v>20.3</v>
      </c>
      <c r="M20" s="638">
        <v>20.3</v>
      </c>
      <c r="N20" s="638">
        <v>20.2</v>
      </c>
    </row>
    <row r="21" spans="2:14" ht="13.8" thickBot="1" x14ac:dyDescent="0.3">
      <c r="B21" s="82">
        <v>57</v>
      </c>
      <c r="C21" s="637">
        <v>20.2</v>
      </c>
      <c r="D21" s="638">
        <v>20.2</v>
      </c>
      <c r="E21" s="638">
        <v>20.100000000000001</v>
      </c>
      <c r="F21" s="638">
        <v>20.100000000000001</v>
      </c>
      <c r="G21" s="638">
        <v>20</v>
      </c>
      <c r="H21" s="638">
        <v>20</v>
      </c>
      <c r="I21" s="638">
        <v>19.899999999999999</v>
      </c>
      <c r="J21" s="638">
        <v>19.899999999999999</v>
      </c>
      <c r="K21" s="638">
        <v>19.899999999999999</v>
      </c>
      <c r="L21" s="637">
        <v>19.8</v>
      </c>
      <c r="M21" s="638">
        <v>19.8</v>
      </c>
      <c r="N21" s="638">
        <v>19.7</v>
      </c>
    </row>
    <row r="22" spans="2:14" ht="13.8" thickBot="1" x14ac:dyDescent="0.3">
      <c r="B22" s="82">
        <v>58</v>
      </c>
      <c r="C22" s="637">
        <v>19.7</v>
      </c>
      <c r="D22" s="638">
        <v>19.600000000000001</v>
      </c>
      <c r="E22" s="638">
        <v>19.600000000000001</v>
      </c>
      <c r="F22" s="638">
        <v>19.600000000000001</v>
      </c>
      <c r="G22" s="638">
        <v>19.5</v>
      </c>
      <c r="H22" s="638">
        <v>19.5</v>
      </c>
      <c r="I22" s="638">
        <v>19.399999999999999</v>
      </c>
      <c r="J22" s="638">
        <v>19.399999999999999</v>
      </c>
      <c r="K22" s="638">
        <v>19.3</v>
      </c>
      <c r="L22" s="637">
        <v>19.3</v>
      </c>
      <c r="M22" s="638">
        <v>19.3</v>
      </c>
      <c r="N22" s="638">
        <v>19.2</v>
      </c>
    </row>
    <row r="23" spans="2:14" ht="13.8" thickBot="1" x14ac:dyDescent="0.3">
      <c r="B23" s="82">
        <v>59</v>
      </c>
      <c r="C23" s="637">
        <v>19.2</v>
      </c>
      <c r="D23" s="638">
        <v>19.100000000000001</v>
      </c>
      <c r="E23" s="638">
        <v>19.100000000000001</v>
      </c>
      <c r="F23" s="638">
        <v>19</v>
      </c>
      <c r="G23" s="638">
        <v>19</v>
      </c>
      <c r="H23" s="638">
        <v>19</v>
      </c>
      <c r="I23" s="638">
        <v>18.899999999999999</v>
      </c>
      <c r="J23" s="638">
        <v>18.899999999999999</v>
      </c>
      <c r="K23" s="638">
        <v>18.8</v>
      </c>
      <c r="L23" s="637">
        <v>18.8</v>
      </c>
      <c r="M23" s="638">
        <v>18.7</v>
      </c>
      <c r="N23" s="638">
        <v>18.7</v>
      </c>
    </row>
    <row r="24" spans="2:14" ht="13.8" thickBot="1" x14ac:dyDescent="0.3">
      <c r="B24" s="82">
        <v>60</v>
      </c>
      <c r="C24" s="637">
        <v>18.7</v>
      </c>
      <c r="D24" s="638">
        <v>18.600000000000001</v>
      </c>
      <c r="E24" s="638">
        <v>18.600000000000001</v>
      </c>
      <c r="F24" s="638">
        <v>18.5</v>
      </c>
      <c r="G24" s="638">
        <v>18.5</v>
      </c>
      <c r="H24" s="638">
        <v>18.399999999999999</v>
      </c>
      <c r="I24" s="638">
        <v>18.399999999999999</v>
      </c>
      <c r="J24" s="638">
        <v>18.3</v>
      </c>
      <c r="K24" s="638">
        <v>18.3</v>
      </c>
      <c r="L24" s="637">
        <v>18.3</v>
      </c>
      <c r="M24" s="638">
        <v>18.2</v>
      </c>
      <c r="N24" s="638">
        <v>18.2</v>
      </c>
    </row>
    <row r="25" spans="2:14" ht="13.8" thickBot="1" x14ac:dyDescent="0.3">
      <c r="B25" s="82">
        <v>61</v>
      </c>
      <c r="C25" s="637">
        <v>18.100000000000001</v>
      </c>
      <c r="D25" s="638">
        <v>18.100000000000001</v>
      </c>
      <c r="E25" s="638">
        <v>18</v>
      </c>
      <c r="F25" s="638">
        <v>18</v>
      </c>
      <c r="G25" s="638">
        <v>17.899999999999999</v>
      </c>
      <c r="H25" s="638">
        <v>17.899999999999999</v>
      </c>
      <c r="I25" s="638">
        <v>17.899999999999999</v>
      </c>
      <c r="J25" s="638">
        <v>17.8</v>
      </c>
      <c r="K25" s="638">
        <v>17.8</v>
      </c>
      <c r="L25" s="637">
        <v>17.7</v>
      </c>
      <c r="M25" s="638">
        <v>17.7</v>
      </c>
      <c r="N25" s="638">
        <v>17.600000000000001</v>
      </c>
    </row>
    <row r="26" spans="2:14" ht="13.8" thickBot="1" x14ac:dyDescent="0.3">
      <c r="B26" s="82">
        <v>62</v>
      </c>
      <c r="C26" s="637">
        <v>17.600000000000001</v>
      </c>
      <c r="D26" s="638">
        <v>17.5</v>
      </c>
      <c r="E26" s="638">
        <v>17.5</v>
      </c>
      <c r="F26" s="638">
        <v>17.5</v>
      </c>
      <c r="G26" s="638">
        <v>17.399999999999999</v>
      </c>
      <c r="H26" s="638">
        <v>17.399999999999999</v>
      </c>
      <c r="I26" s="638">
        <v>17.3</v>
      </c>
      <c r="J26" s="638">
        <v>17.3</v>
      </c>
      <c r="K26" s="638">
        <v>17.2</v>
      </c>
      <c r="L26" s="637">
        <v>17.2</v>
      </c>
      <c r="M26" s="638">
        <v>17.100000000000001</v>
      </c>
      <c r="N26" s="638">
        <v>17.100000000000001</v>
      </c>
    </row>
    <row r="27" spans="2:14" ht="13.8" thickBot="1" x14ac:dyDescent="0.3">
      <c r="B27" s="82">
        <v>63</v>
      </c>
      <c r="C27" s="637">
        <v>17</v>
      </c>
      <c r="D27" s="638">
        <v>17</v>
      </c>
      <c r="E27" s="638">
        <v>17</v>
      </c>
      <c r="F27" s="638">
        <v>16.899999999999999</v>
      </c>
      <c r="G27" s="638">
        <v>16.899999999999999</v>
      </c>
      <c r="H27" s="638">
        <v>16.8</v>
      </c>
      <c r="I27" s="638">
        <v>16.8</v>
      </c>
      <c r="J27" s="638">
        <v>16.7</v>
      </c>
      <c r="K27" s="638">
        <v>16.7</v>
      </c>
      <c r="L27" s="637">
        <v>16.600000000000001</v>
      </c>
      <c r="M27" s="638">
        <v>16.600000000000001</v>
      </c>
      <c r="N27" s="638">
        <v>16.5</v>
      </c>
    </row>
    <row r="28" spans="2:14" ht="13.8" thickBot="1" x14ac:dyDescent="0.3">
      <c r="B28" s="82">
        <v>64</v>
      </c>
      <c r="C28" s="637">
        <v>16.5</v>
      </c>
      <c r="D28" s="638">
        <v>16.5</v>
      </c>
      <c r="E28" s="638">
        <v>16.399999999999999</v>
      </c>
      <c r="F28" s="638">
        <v>16.399999999999999</v>
      </c>
      <c r="G28" s="638">
        <v>16.3</v>
      </c>
      <c r="H28" s="638">
        <v>16.3</v>
      </c>
      <c r="I28" s="638">
        <v>16.2</v>
      </c>
      <c r="J28" s="638">
        <v>16.2</v>
      </c>
      <c r="K28" s="638">
        <v>16.100000000000001</v>
      </c>
      <c r="L28" s="637">
        <v>16.100000000000001</v>
      </c>
      <c r="M28" s="638">
        <v>16</v>
      </c>
      <c r="N28" s="638">
        <v>16</v>
      </c>
    </row>
    <row r="29" spans="2:14" ht="13.8" thickBot="1" x14ac:dyDescent="0.3">
      <c r="B29" s="82">
        <v>65</v>
      </c>
      <c r="C29" s="637">
        <v>16</v>
      </c>
      <c r="D29" s="638">
        <v>15.9</v>
      </c>
      <c r="E29" s="638">
        <v>15.9</v>
      </c>
      <c r="F29" s="638">
        <v>15.8</v>
      </c>
      <c r="G29" s="638">
        <v>15.8</v>
      </c>
      <c r="H29" s="638">
        <v>15.7</v>
      </c>
      <c r="I29" s="638">
        <v>15.7</v>
      </c>
      <c r="J29" s="638">
        <v>15.6</v>
      </c>
      <c r="K29" s="638">
        <v>15.6</v>
      </c>
      <c r="L29" s="637">
        <v>15.5</v>
      </c>
      <c r="M29" s="638">
        <v>15.5</v>
      </c>
      <c r="N29" s="638">
        <v>15.4</v>
      </c>
    </row>
    <row r="30" spans="2:14" ht="13.8" thickBot="1" x14ac:dyDescent="0.3">
      <c r="B30" s="82">
        <v>66</v>
      </c>
      <c r="C30" s="637">
        <v>15.4</v>
      </c>
      <c r="D30" s="638">
        <v>15.3</v>
      </c>
      <c r="E30" s="638">
        <v>15.3</v>
      </c>
      <c r="F30" s="638">
        <v>15.3</v>
      </c>
      <c r="G30" s="638">
        <v>15.2</v>
      </c>
      <c r="H30" s="638">
        <v>15.2</v>
      </c>
      <c r="I30" s="638">
        <v>15.1</v>
      </c>
      <c r="J30" s="638">
        <v>15.1</v>
      </c>
      <c r="K30" s="638">
        <v>15</v>
      </c>
      <c r="L30" s="637">
        <v>15</v>
      </c>
      <c r="M30" s="638">
        <v>14.9</v>
      </c>
      <c r="N30" s="638">
        <v>14.9</v>
      </c>
    </row>
    <row r="31" spans="2:14" ht="13.8" thickBot="1" x14ac:dyDescent="0.3">
      <c r="B31" s="82">
        <v>67</v>
      </c>
      <c r="C31" s="637">
        <v>14.8</v>
      </c>
      <c r="D31" s="638">
        <v>14.8</v>
      </c>
      <c r="E31" s="638">
        <v>14.7</v>
      </c>
      <c r="F31" s="638">
        <v>14.7</v>
      </c>
      <c r="G31" s="638">
        <v>14.6</v>
      </c>
      <c r="H31" s="638">
        <v>14.6</v>
      </c>
      <c r="I31" s="638">
        <v>14.6</v>
      </c>
      <c r="J31" s="638">
        <v>14.5</v>
      </c>
      <c r="K31" s="638">
        <v>14.5</v>
      </c>
      <c r="L31" s="637">
        <v>14.4</v>
      </c>
      <c r="M31" s="638">
        <v>14.4</v>
      </c>
      <c r="N31" s="638">
        <v>14.3</v>
      </c>
    </row>
    <row r="32" spans="2:14" ht="13.8" thickBot="1" x14ac:dyDescent="0.3">
      <c r="B32" s="82">
        <v>68</v>
      </c>
      <c r="C32" s="637">
        <v>14.3</v>
      </c>
      <c r="D32" s="638">
        <v>14.2</v>
      </c>
      <c r="E32" s="638">
        <v>14.2</v>
      </c>
      <c r="F32" s="638">
        <v>14.1</v>
      </c>
      <c r="G32" s="638">
        <v>14.1</v>
      </c>
      <c r="H32" s="638">
        <v>14</v>
      </c>
      <c r="I32" s="638">
        <v>14</v>
      </c>
      <c r="J32" s="638">
        <v>13.9</v>
      </c>
      <c r="K32" s="638">
        <v>13.9</v>
      </c>
      <c r="L32" s="637">
        <v>13.8</v>
      </c>
      <c r="M32" s="638">
        <v>13.8</v>
      </c>
      <c r="N32" s="638">
        <v>13.7</v>
      </c>
    </row>
    <row r="33" spans="2:15" ht="13.8" thickBot="1" x14ac:dyDescent="0.3">
      <c r="B33" s="82">
        <v>69</v>
      </c>
      <c r="C33" s="637">
        <v>13.7</v>
      </c>
      <c r="D33" s="638">
        <v>13.7</v>
      </c>
      <c r="E33" s="638">
        <v>13.6</v>
      </c>
      <c r="F33" s="638">
        <v>13.6</v>
      </c>
      <c r="G33" s="638">
        <v>13.5</v>
      </c>
      <c r="H33" s="638">
        <v>13.5</v>
      </c>
      <c r="I33" s="638">
        <v>13.4</v>
      </c>
      <c r="J33" s="638">
        <v>13.4</v>
      </c>
      <c r="K33" s="638">
        <v>13.3</v>
      </c>
      <c r="L33" s="637">
        <v>13.3</v>
      </c>
      <c r="M33" s="638">
        <v>13.2</v>
      </c>
      <c r="N33" s="638">
        <v>13.2</v>
      </c>
    </row>
    <row r="34" spans="2:15" ht="13.8" thickBot="1" x14ac:dyDescent="0.3">
      <c r="B34" s="82">
        <v>70</v>
      </c>
      <c r="C34" s="637">
        <v>13.1</v>
      </c>
      <c r="D34" s="638">
        <v>13.1</v>
      </c>
      <c r="E34" s="638">
        <v>13</v>
      </c>
      <c r="F34" s="638">
        <v>13</v>
      </c>
      <c r="G34" s="638">
        <v>12.9</v>
      </c>
      <c r="H34" s="638">
        <v>12.9</v>
      </c>
      <c r="I34" s="638">
        <v>12.8</v>
      </c>
      <c r="J34" s="638">
        <v>12.8</v>
      </c>
      <c r="K34" s="638">
        <v>12.7</v>
      </c>
      <c r="L34" s="637">
        <v>12.7</v>
      </c>
      <c r="M34" s="638">
        <v>12.7</v>
      </c>
      <c r="N34" s="638">
        <v>12.6</v>
      </c>
    </row>
    <row r="35" spans="2:15" ht="13.8" thickBot="1" x14ac:dyDescent="0.3">
      <c r="B35" s="82">
        <v>71</v>
      </c>
      <c r="C35" s="637">
        <v>12.6</v>
      </c>
      <c r="D35" s="638">
        <v>12.5</v>
      </c>
      <c r="E35" s="638">
        <v>12.5</v>
      </c>
      <c r="F35" s="638">
        <v>12.4</v>
      </c>
      <c r="G35" s="638">
        <v>12.4</v>
      </c>
      <c r="H35" s="638">
        <v>12.3</v>
      </c>
      <c r="I35" s="638">
        <v>12.3</v>
      </c>
      <c r="J35" s="638">
        <v>12.2</v>
      </c>
      <c r="K35" s="638">
        <v>12.2</v>
      </c>
      <c r="L35" s="637">
        <v>12.1</v>
      </c>
      <c r="M35" s="638">
        <v>12.1</v>
      </c>
      <c r="N35" s="638">
        <v>12</v>
      </c>
    </row>
    <row r="36" spans="2:15" ht="13.8" thickBot="1" x14ac:dyDescent="0.3">
      <c r="B36" s="82">
        <v>72</v>
      </c>
      <c r="C36" s="637">
        <v>12</v>
      </c>
      <c r="D36" s="638">
        <v>11.9</v>
      </c>
      <c r="E36" s="638">
        <v>11.9</v>
      </c>
      <c r="F36" s="638">
        <v>11.8</v>
      </c>
      <c r="G36" s="638">
        <v>11.8</v>
      </c>
      <c r="H36" s="638">
        <v>11.7</v>
      </c>
      <c r="I36" s="638">
        <v>11.7</v>
      </c>
      <c r="J36" s="638">
        <v>11.7</v>
      </c>
      <c r="K36" s="638">
        <v>11.6</v>
      </c>
      <c r="L36" s="637">
        <v>11.6</v>
      </c>
      <c r="M36" s="638">
        <v>11.5</v>
      </c>
      <c r="N36" s="638">
        <v>11.5</v>
      </c>
    </row>
    <row r="37" spans="2:15" ht="13.8" thickBot="1" x14ac:dyDescent="0.3">
      <c r="B37" s="82">
        <v>73</v>
      </c>
      <c r="C37" s="637">
        <v>11.4</v>
      </c>
      <c r="D37" s="638">
        <v>11.4</v>
      </c>
      <c r="E37" s="638">
        <v>11.3</v>
      </c>
      <c r="F37" s="638">
        <v>11.3</v>
      </c>
      <c r="G37" s="638">
        <v>11.2</v>
      </c>
      <c r="H37" s="638">
        <v>11.2</v>
      </c>
      <c r="I37" s="638">
        <v>11.1</v>
      </c>
      <c r="J37" s="638">
        <v>11.1</v>
      </c>
      <c r="K37" s="638">
        <v>11</v>
      </c>
      <c r="L37" s="637">
        <v>11</v>
      </c>
      <c r="M37" s="638">
        <v>10.9</v>
      </c>
      <c r="N37" s="638">
        <v>10.9</v>
      </c>
    </row>
    <row r="38" spans="2:15" ht="13.8" thickBot="1" x14ac:dyDescent="0.3">
      <c r="B38" s="82">
        <v>74</v>
      </c>
      <c r="C38" s="637">
        <v>10.8</v>
      </c>
      <c r="D38" s="638">
        <v>10.8</v>
      </c>
      <c r="E38" s="638">
        <v>10.8</v>
      </c>
      <c r="F38" s="638">
        <v>10.7</v>
      </c>
      <c r="G38" s="638">
        <v>10.7</v>
      </c>
      <c r="H38" s="638">
        <v>10.6</v>
      </c>
      <c r="I38" s="638">
        <v>10.6</v>
      </c>
      <c r="J38" s="638">
        <v>10.5</v>
      </c>
      <c r="K38" s="638">
        <v>10.5</v>
      </c>
      <c r="L38" s="637">
        <v>10.4</v>
      </c>
      <c r="M38" s="638">
        <v>10.4</v>
      </c>
      <c r="N38" s="638">
        <v>10.3</v>
      </c>
    </row>
    <row r="39" spans="2:15" ht="13.8" thickBot="1" x14ac:dyDescent="0.3">
      <c r="B39" s="82">
        <v>75</v>
      </c>
      <c r="C39" s="637">
        <v>10.3</v>
      </c>
      <c r="D39" s="639"/>
      <c r="E39" s="639"/>
      <c r="F39" s="639"/>
      <c r="G39" s="639"/>
      <c r="H39" s="639"/>
      <c r="I39" s="639"/>
      <c r="J39" s="639"/>
      <c r="K39" s="639"/>
      <c r="L39" s="639"/>
      <c r="M39" s="639"/>
      <c r="N39" s="639"/>
    </row>
    <row r="40" spans="2:15" x14ac:dyDescent="0.25">
      <c r="B40" s="1"/>
      <c r="F40" s="370"/>
    </row>
    <row r="41" spans="2:15" x14ac:dyDescent="0.25">
      <c r="H41" s="632" t="s">
        <v>887</v>
      </c>
      <c r="I41" s="631"/>
      <c r="J41" s="631"/>
      <c r="K41" s="631"/>
      <c r="L41" s="539"/>
      <c r="M41" s="539"/>
    </row>
    <row r="42" spans="2:15" ht="13.8" thickBot="1" x14ac:dyDescent="0.3">
      <c r="B42" s="1" t="s">
        <v>535</v>
      </c>
      <c r="H42" s="35" t="s">
        <v>890</v>
      </c>
    </row>
    <row r="43" spans="2:15" ht="13.8" thickBot="1" x14ac:dyDescent="0.3">
      <c r="B43" s="720" t="s">
        <v>265</v>
      </c>
      <c r="C43" s="722" t="s">
        <v>269</v>
      </c>
      <c r="D43" s="723"/>
      <c r="E43" s="723"/>
      <c r="F43" s="723"/>
      <c r="G43" s="723"/>
      <c r="H43" s="723"/>
      <c r="I43" s="723"/>
      <c r="J43" s="723"/>
      <c r="K43" s="723"/>
      <c r="L43" s="723"/>
      <c r="M43" s="723"/>
      <c r="N43" s="724"/>
    </row>
    <row r="44" spans="2:15" ht="13.8" thickBot="1" x14ac:dyDescent="0.3">
      <c r="B44" s="721"/>
      <c r="C44" s="81">
        <v>0</v>
      </c>
      <c r="D44" s="293">
        <v>1</v>
      </c>
      <c r="E44" s="293">
        <v>2</v>
      </c>
      <c r="F44" s="293">
        <v>3</v>
      </c>
      <c r="G44" s="293">
        <v>4</v>
      </c>
      <c r="H44" s="293">
        <v>5</v>
      </c>
      <c r="I44" s="293">
        <v>6</v>
      </c>
      <c r="J44" s="293">
        <v>7</v>
      </c>
      <c r="K44" s="293">
        <v>8</v>
      </c>
      <c r="L44" s="293">
        <v>9</v>
      </c>
      <c r="M44" s="293">
        <v>10</v>
      </c>
      <c r="N44" s="293">
        <v>11</v>
      </c>
    </row>
    <row r="45" spans="2:15" ht="13.8" thickBot="1" x14ac:dyDescent="0.3">
      <c r="B45" s="643" t="s">
        <v>533</v>
      </c>
      <c r="C45" s="640">
        <v>24</v>
      </c>
      <c r="D45" s="641"/>
      <c r="E45" s="642"/>
      <c r="F45" s="642"/>
      <c r="G45" s="642"/>
      <c r="H45" s="642"/>
      <c r="I45" s="642"/>
      <c r="J45" s="642"/>
      <c r="K45" s="642"/>
      <c r="L45" s="642"/>
      <c r="M45" s="642"/>
      <c r="N45" s="644"/>
      <c r="O45" s="629"/>
    </row>
    <row r="46" spans="2:15" ht="13.8" thickBot="1" x14ac:dyDescent="0.3">
      <c r="B46" s="643">
        <v>50</v>
      </c>
      <c r="C46" s="640">
        <v>24</v>
      </c>
      <c r="D46" s="645">
        <v>23.9</v>
      </c>
      <c r="E46" s="645">
        <v>23.9</v>
      </c>
      <c r="F46" s="645">
        <v>23.9</v>
      </c>
      <c r="G46" s="645">
        <v>23.8</v>
      </c>
      <c r="H46" s="645">
        <v>23.8</v>
      </c>
      <c r="I46" s="645">
        <v>23.8</v>
      </c>
      <c r="J46" s="645">
        <v>23.7</v>
      </c>
      <c r="K46" s="645">
        <v>23.7</v>
      </c>
      <c r="L46" s="640">
        <v>23.7</v>
      </c>
      <c r="M46" s="645">
        <v>23.6</v>
      </c>
      <c r="N46" s="645">
        <v>23.6</v>
      </c>
      <c r="O46" s="629"/>
    </row>
    <row r="47" spans="2:15" ht="13.8" thickBot="1" x14ac:dyDescent="0.3">
      <c r="B47" s="643">
        <v>51</v>
      </c>
      <c r="C47" s="640">
        <v>23.6</v>
      </c>
      <c r="D47" s="645">
        <v>23.6</v>
      </c>
      <c r="E47" s="645">
        <v>23.5</v>
      </c>
      <c r="F47" s="645">
        <v>23.5</v>
      </c>
      <c r="G47" s="645">
        <v>23.5</v>
      </c>
      <c r="H47" s="645">
        <v>23.4</v>
      </c>
      <c r="I47" s="645">
        <v>23.4</v>
      </c>
      <c r="J47" s="645">
        <v>23.4</v>
      </c>
      <c r="K47" s="645">
        <v>23.3</v>
      </c>
      <c r="L47" s="640">
        <v>23.3</v>
      </c>
      <c r="M47" s="645">
        <v>23.3</v>
      </c>
      <c r="N47" s="645">
        <v>23.2</v>
      </c>
      <c r="O47" s="629"/>
    </row>
    <row r="48" spans="2:15" ht="13.8" thickBot="1" x14ac:dyDescent="0.3">
      <c r="B48" s="643">
        <v>52</v>
      </c>
      <c r="C48" s="640">
        <v>23.2</v>
      </c>
      <c r="D48" s="645">
        <v>23.2</v>
      </c>
      <c r="E48" s="645">
        <v>23.1</v>
      </c>
      <c r="F48" s="645">
        <v>23.1</v>
      </c>
      <c r="G48" s="645">
        <v>23.1</v>
      </c>
      <c r="H48" s="645">
        <v>23</v>
      </c>
      <c r="I48" s="645">
        <v>23</v>
      </c>
      <c r="J48" s="645">
        <v>23</v>
      </c>
      <c r="K48" s="645">
        <v>22.9</v>
      </c>
      <c r="L48" s="640">
        <v>22.9</v>
      </c>
      <c r="M48" s="645">
        <v>22.9</v>
      </c>
      <c r="N48" s="645">
        <v>22.8</v>
      </c>
      <c r="O48" s="629"/>
    </row>
    <row r="49" spans="2:14" ht="13.8" thickBot="1" x14ac:dyDescent="0.3">
      <c r="B49" s="643">
        <v>53</v>
      </c>
      <c r="C49" s="640">
        <v>22.8</v>
      </c>
      <c r="D49" s="645">
        <v>22.7</v>
      </c>
      <c r="E49" s="645">
        <v>22.7</v>
      </c>
      <c r="F49" s="645">
        <v>22.7</v>
      </c>
      <c r="G49" s="645">
        <v>22.6</v>
      </c>
      <c r="H49" s="645">
        <v>22.6</v>
      </c>
      <c r="I49" s="645">
        <v>22.6</v>
      </c>
      <c r="J49" s="645">
        <v>22.5</v>
      </c>
      <c r="K49" s="645">
        <v>22.5</v>
      </c>
      <c r="L49" s="640">
        <v>22.5</v>
      </c>
      <c r="M49" s="645">
        <v>22.4</v>
      </c>
      <c r="N49" s="645">
        <v>22.4</v>
      </c>
    </row>
    <row r="50" spans="2:14" ht="13.8" thickBot="1" x14ac:dyDescent="0.3">
      <c r="B50" s="643">
        <v>54</v>
      </c>
      <c r="C50" s="640">
        <v>22.3</v>
      </c>
      <c r="D50" s="645">
        <v>22.3</v>
      </c>
      <c r="E50" s="645">
        <v>22.3</v>
      </c>
      <c r="F50" s="645">
        <v>22.2</v>
      </c>
      <c r="G50" s="645">
        <v>22.2</v>
      </c>
      <c r="H50" s="645">
        <v>22.2</v>
      </c>
      <c r="I50" s="645">
        <v>22.1</v>
      </c>
      <c r="J50" s="645">
        <v>22.1</v>
      </c>
      <c r="K50" s="645">
        <v>22</v>
      </c>
      <c r="L50" s="640">
        <v>22</v>
      </c>
      <c r="M50" s="645">
        <v>22</v>
      </c>
      <c r="N50" s="645">
        <v>21.9</v>
      </c>
    </row>
    <row r="51" spans="2:14" ht="13.8" thickBot="1" x14ac:dyDescent="0.3">
      <c r="B51" s="643">
        <v>55</v>
      </c>
      <c r="C51" s="640">
        <v>21.9</v>
      </c>
      <c r="D51" s="645">
        <v>21.8</v>
      </c>
      <c r="E51" s="645">
        <v>21.8</v>
      </c>
      <c r="F51" s="645">
        <v>21.8</v>
      </c>
      <c r="G51" s="645">
        <v>21.7</v>
      </c>
      <c r="H51" s="645">
        <v>21.7</v>
      </c>
      <c r="I51" s="645">
        <v>21.6</v>
      </c>
      <c r="J51" s="645">
        <v>21.6</v>
      </c>
      <c r="K51" s="645">
        <v>21.6</v>
      </c>
      <c r="L51" s="640">
        <v>21.5</v>
      </c>
      <c r="M51" s="645">
        <v>21.5</v>
      </c>
      <c r="N51" s="645">
        <v>21.4</v>
      </c>
    </row>
    <row r="52" spans="2:14" ht="13.8" thickBot="1" x14ac:dyDescent="0.3">
      <c r="B52" s="643">
        <v>56</v>
      </c>
      <c r="C52" s="640">
        <v>21.4</v>
      </c>
      <c r="D52" s="645">
        <v>21.4</v>
      </c>
      <c r="E52" s="645">
        <v>21.3</v>
      </c>
      <c r="F52" s="645">
        <v>21.3</v>
      </c>
      <c r="G52" s="645">
        <v>21.2</v>
      </c>
      <c r="H52" s="645">
        <v>21.2</v>
      </c>
      <c r="I52" s="645">
        <v>21.1</v>
      </c>
      <c r="J52" s="645">
        <v>21.1</v>
      </c>
      <c r="K52" s="645">
        <v>21.1</v>
      </c>
      <c r="L52" s="640">
        <v>21</v>
      </c>
      <c r="M52" s="645">
        <v>21</v>
      </c>
      <c r="N52" s="645">
        <v>20.9</v>
      </c>
    </row>
    <row r="53" spans="2:14" ht="13.8" thickBot="1" x14ac:dyDescent="0.3">
      <c r="B53" s="643">
        <v>57</v>
      </c>
      <c r="C53" s="640">
        <v>20.9</v>
      </c>
      <c r="D53" s="645">
        <v>20.9</v>
      </c>
      <c r="E53" s="645">
        <v>20.8</v>
      </c>
      <c r="F53" s="645">
        <v>20.8</v>
      </c>
      <c r="G53" s="645">
        <v>20.7</v>
      </c>
      <c r="H53" s="645">
        <v>20.7</v>
      </c>
      <c r="I53" s="645">
        <v>20.7</v>
      </c>
      <c r="J53" s="645">
        <v>20.6</v>
      </c>
      <c r="K53" s="645">
        <v>20.6</v>
      </c>
      <c r="L53" s="640">
        <v>20.5</v>
      </c>
      <c r="M53" s="645">
        <v>20.5</v>
      </c>
      <c r="N53" s="645">
        <v>20.399999999999999</v>
      </c>
    </row>
    <row r="54" spans="2:14" ht="13.8" thickBot="1" x14ac:dyDescent="0.3">
      <c r="B54" s="643">
        <v>58</v>
      </c>
      <c r="C54" s="640">
        <v>20.399999999999999</v>
      </c>
      <c r="D54" s="645">
        <v>20.399999999999999</v>
      </c>
      <c r="E54" s="645">
        <v>20.3</v>
      </c>
      <c r="F54" s="645">
        <v>20.3</v>
      </c>
      <c r="G54" s="645">
        <v>20.2</v>
      </c>
      <c r="H54" s="645">
        <v>20.2</v>
      </c>
      <c r="I54" s="645">
        <v>20.2</v>
      </c>
      <c r="J54" s="645">
        <v>20.100000000000001</v>
      </c>
      <c r="K54" s="645">
        <v>20.100000000000001</v>
      </c>
      <c r="L54" s="640">
        <v>20</v>
      </c>
      <c r="M54" s="645">
        <v>20</v>
      </c>
      <c r="N54" s="645">
        <v>19.899999999999999</v>
      </c>
    </row>
    <row r="55" spans="2:14" ht="13.8" thickBot="1" x14ac:dyDescent="0.3">
      <c r="B55" s="643">
        <v>59</v>
      </c>
      <c r="C55" s="640">
        <v>19.899999999999999</v>
      </c>
      <c r="D55" s="645">
        <v>19.899999999999999</v>
      </c>
      <c r="E55" s="645">
        <v>19.8</v>
      </c>
      <c r="F55" s="645">
        <v>19.8</v>
      </c>
      <c r="G55" s="645">
        <v>19.7</v>
      </c>
      <c r="H55" s="645">
        <v>19.7</v>
      </c>
      <c r="I55" s="645">
        <v>19.600000000000001</v>
      </c>
      <c r="J55" s="645">
        <v>19.600000000000001</v>
      </c>
      <c r="K55" s="645">
        <v>19.600000000000001</v>
      </c>
      <c r="L55" s="640">
        <v>19.5</v>
      </c>
      <c r="M55" s="645">
        <v>19.5</v>
      </c>
      <c r="N55" s="645">
        <v>19.399999999999999</v>
      </c>
    </row>
    <row r="56" spans="2:14" ht="13.8" thickBot="1" x14ac:dyDescent="0.3">
      <c r="B56" s="643">
        <v>60</v>
      </c>
      <c r="C56" s="640">
        <v>19.399999999999999</v>
      </c>
      <c r="D56" s="645">
        <v>19.3</v>
      </c>
      <c r="E56" s="645">
        <v>19.3</v>
      </c>
      <c r="F56" s="645">
        <v>19.3</v>
      </c>
      <c r="G56" s="645">
        <v>19.2</v>
      </c>
      <c r="H56" s="645">
        <v>19.2</v>
      </c>
      <c r="I56" s="645">
        <v>19.100000000000001</v>
      </c>
      <c r="J56" s="645">
        <v>19.100000000000001</v>
      </c>
      <c r="K56" s="645">
        <v>19</v>
      </c>
      <c r="L56" s="640">
        <v>19</v>
      </c>
      <c r="M56" s="645">
        <v>19</v>
      </c>
      <c r="N56" s="645">
        <v>18.899999999999999</v>
      </c>
    </row>
    <row r="57" spans="2:14" ht="13.8" thickBot="1" x14ac:dyDescent="0.3">
      <c r="B57" s="643">
        <v>61</v>
      </c>
      <c r="C57" s="640">
        <v>18.899999999999999</v>
      </c>
      <c r="D57" s="645">
        <v>18.8</v>
      </c>
      <c r="E57" s="645">
        <v>18.8</v>
      </c>
      <c r="F57" s="645">
        <v>18.7</v>
      </c>
      <c r="G57" s="645">
        <v>18.7</v>
      </c>
      <c r="H57" s="645">
        <v>18.600000000000001</v>
      </c>
      <c r="I57" s="645">
        <v>18.600000000000001</v>
      </c>
      <c r="J57" s="645">
        <v>18.600000000000001</v>
      </c>
      <c r="K57" s="645">
        <v>18.5</v>
      </c>
      <c r="L57" s="640">
        <v>18.5</v>
      </c>
      <c r="M57" s="645">
        <v>18.399999999999999</v>
      </c>
      <c r="N57" s="645">
        <v>18.399999999999999</v>
      </c>
    </row>
    <row r="58" spans="2:14" ht="13.8" thickBot="1" x14ac:dyDescent="0.3">
      <c r="B58" s="643">
        <v>62</v>
      </c>
      <c r="C58" s="640">
        <v>18.3</v>
      </c>
      <c r="D58" s="645">
        <v>18.3</v>
      </c>
      <c r="E58" s="645">
        <v>18.2</v>
      </c>
      <c r="F58" s="645">
        <v>18.2</v>
      </c>
      <c r="G58" s="645">
        <v>18.2</v>
      </c>
      <c r="H58" s="645">
        <v>18.100000000000001</v>
      </c>
      <c r="I58" s="645">
        <v>18.100000000000001</v>
      </c>
      <c r="J58" s="645">
        <v>18</v>
      </c>
      <c r="K58" s="645">
        <v>18</v>
      </c>
      <c r="L58" s="640">
        <v>17.899999999999999</v>
      </c>
      <c r="M58" s="645">
        <v>17.899999999999999</v>
      </c>
      <c r="N58" s="645">
        <v>17.8</v>
      </c>
    </row>
    <row r="59" spans="2:14" ht="13.8" thickBot="1" x14ac:dyDescent="0.3">
      <c r="B59" s="643">
        <v>63</v>
      </c>
      <c r="C59" s="640">
        <v>17.8</v>
      </c>
      <c r="D59" s="645">
        <v>17.8</v>
      </c>
      <c r="E59" s="645">
        <v>17.7</v>
      </c>
      <c r="F59" s="645">
        <v>17.7</v>
      </c>
      <c r="G59" s="645">
        <v>17.600000000000001</v>
      </c>
      <c r="H59" s="645">
        <v>17.600000000000001</v>
      </c>
      <c r="I59" s="645">
        <v>17.5</v>
      </c>
      <c r="J59" s="645">
        <v>17.5</v>
      </c>
      <c r="K59" s="645">
        <v>17.399999999999999</v>
      </c>
      <c r="L59" s="640">
        <v>17.399999999999999</v>
      </c>
      <c r="M59" s="645">
        <v>17.399999999999999</v>
      </c>
      <c r="N59" s="645">
        <v>17.3</v>
      </c>
    </row>
    <row r="60" spans="2:14" ht="13.8" thickBot="1" x14ac:dyDescent="0.3">
      <c r="B60" s="643">
        <v>64</v>
      </c>
      <c r="C60" s="640">
        <v>17.3</v>
      </c>
      <c r="D60" s="645">
        <v>17.2</v>
      </c>
      <c r="E60" s="645">
        <v>17.2</v>
      </c>
      <c r="F60" s="645">
        <v>17.100000000000001</v>
      </c>
      <c r="G60" s="645">
        <v>17.100000000000001</v>
      </c>
      <c r="H60" s="645">
        <v>17</v>
      </c>
      <c r="I60" s="645">
        <v>17</v>
      </c>
      <c r="J60" s="645">
        <v>16.899999999999999</v>
      </c>
      <c r="K60" s="645">
        <v>16.899999999999999</v>
      </c>
      <c r="L60" s="640">
        <v>16.899999999999999</v>
      </c>
      <c r="M60" s="645">
        <v>16.8</v>
      </c>
      <c r="N60" s="645">
        <v>16.8</v>
      </c>
    </row>
    <row r="61" spans="2:14" ht="13.8" thickBot="1" x14ac:dyDescent="0.3">
      <c r="B61" s="643">
        <v>65</v>
      </c>
      <c r="C61" s="640">
        <v>16.7</v>
      </c>
      <c r="D61" s="645">
        <v>16.7</v>
      </c>
      <c r="E61" s="645">
        <v>16.600000000000001</v>
      </c>
      <c r="F61" s="645">
        <v>16.600000000000001</v>
      </c>
      <c r="G61" s="645">
        <v>16.5</v>
      </c>
      <c r="H61" s="645">
        <v>16.5</v>
      </c>
      <c r="I61" s="645">
        <v>16.399999999999999</v>
      </c>
      <c r="J61" s="645">
        <v>16.399999999999999</v>
      </c>
      <c r="K61" s="645">
        <v>16.3</v>
      </c>
      <c r="L61" s="640">
        <v>16.3</v>
      </c>
      <c r="M61" s="645">
        <v>16.3</v>
      </c>
      <c r="N61" s="645">
        <v>16.2</v>
      </c>
    </row>
    <row r="62" spans="2:14" ht="13.8" thickBot="1" x14ac:dyDescent="0.3">
      <c r="B62" s="643">
        <v>66</v>
      </c>
      <c r="C62" s="640">
        <v>16.2</v>
      </c>
      <c r="D62" s="645">
        <v>16.100000000000001</v>
      </c>
      <c r="E62" s="645">
        <v>16.100000000000001</v>
      </c>
      <c r="F62" s="645">
        <v>16</v>
      </c>
      <c r="G62" s="645">
        <v>16</v>
      </c>
      <c r="H62" s="645">
        <v>15.9</v>
      </c>
      <c r="I62" s="645">
        <v>15.9</v>
      </c>
      <c r="J62" s="645">
        <v>15.8</v>
      </c>
      <c r="K62" s="645">
        <v>15.8</v>
      </c>
      <c r="L62" s="640">
        <v>15.7</v>
      </c>
      <c r="M62" s="645">
        <v>15.7</v>
      </c>
      <c r="N62" s="645">
        <v>15.7</v>
      </c>
    </row>
    <row r="63" spans="2:14" ht="13.8" thickBot="1" x14ac:dyDescent="0.3">
      <c r="B63" s="643">
        <v>67</v>
      </c>
      <c r="C63" s="640">
        <v>15.6</v>
      </c>
      <c r="D63" s="645">
        <v>15.6</v>
      </c>
      <c r="E63" s="645">
        <v>15.5</v>
      </c>
      <c r="F63" s="645">
        <v>15.5</v>
      </c>
      <c r="G63" s="645">
        <v>15.4</v>
      </c>
      <c r="H63" s="645">
        <v>15.4</v>
      </c>
      <c r="I63" s="645">
        <v>15.3</v>
      </c>
      <c r="J63" s="645">
        <v>15.3</v>
      </c>
      <c r="K63" s="645">
        <v>15.2</v>
      </c>
      <c r="L63" s="640">
        <v>15.2</v>
      </c>
      <c r="M63" s="645">
        <v>15.1</v>
      </c>
      <c r="N63" s="645">
        <v>15.1</v>
      </c>
    </row>
    <row r="64" spans="2:14" ht="13.8" thickBot="1" x14ac:dyDescent="0.3">
      <c r="B64" s="643">
        <v>68</v>
      </c>
      <c r="C64" s="640">
        <v>15</v>
      </c>
      <c r="D64" s="645">
        <v>15</v>
      </c>
      <c r="E64" s="645">
        <v>14.9</v>
      </c>
      <c r="F64" s="645">
        <v>14.9</v>
      </c>
      <c r="G64" s="645">
        <v>14.9</v>
      </c>
      <c r="H64" s="645">
        <v>14.8</v>
      </c>
      <c r="I64" s="645">
        <v>14.8</v>
      </c>
      <c r="J64" s="645">
        <v>14.7</v>
      </c>
      <c r="K64" s="645">
        <v>14.7</v>
      </c>
      <c r="L64" s="640">
        <v>14.6</v>
      </c>
      <c r="M64" s="645">
        <v>14.6</v>
      </c>
      <c r="N64" s="645">
        <v>14.5</v>
      </c>
    </row>
    <row r="65" spans="2:14" ht="13.8" thickBot="1" x14ac:dyDescent="0.3">
      <c r="B65" s="643">
        <v>69</v>
      </c>
      <c r="C65" s="640">
        <v>14.5</v>
      </c>
      <c r="D65" s="645">
        <v>14.4</v>
      </c>
      <c r="E65" s="645">
        <v>14.4</v>
      </c>
      <c r="F65" s="645">
        <v>14.3</v>
      </c>
      <c r="G65" s="645">
        <v>14.3</v>
      </c>
      <c r="H65" s="645">
        <v>14.2</v>
      </c>
      <c r="I65" s="645">
        <v>14.2</v>
      </c>
      <c r="J65" s="645">
        <v>14.1</v>
      </c>
      <c r="K65" s="645">
        <v>14.1</v>
      </c>
      <c r="L65" s="640">
        <v>14</v>
      </c>
      <c r="M65" s="645">
        <v>14</v>
      </c>
      <c r="N65" s="645">
        <v>14</v>
      </c>
    </row>
    <row r="66" spans="2:14" ht="13.8" thickBot="1" x14ac:dyDescent="0.3">
      <c r="B66" s="643">
        <v>70</v>
      </c>
      <c r="C66" s="640">
        <v>13.9</v>
      </c>
      <c r="D66" s="645">
        <v>13.9</v>
      </c>
      <c r="E66" s="645">
        <v>13.8</v>
      </c>
      <c r="F66" s="645">
        <v>13.8</v>
      </c>
      <c r="G66" s="645">
        <v>13.7</v>
      </c>
      <c r="H66" s="645">
        <v>13.7</v>
      </c>
      <c r="I66" s="645">
        <v>13.6</v>
      </c>
      <c r="J66" s="645">
        <v>13.6</v>
      </c>
      <c r="K66" s="645">
        <v>13.5</v>
      </c>
      <c r="L66" s="640">
        <v>13.5</v>
      </c>
      <c r="M66" s="645">
        <v>13.4</v>
      </c>
      <c r="N66" s="645">
        <v>13.4</v>
      </c>
    </row>
    <row r="67" spans="2:14" ht="13.8" thickBot="1" x14ac:dyDescent="0.3">
      <c r="B67" s="643">
        <v>71</v>
      </c>
      <c r="C67" s="640">
        <v>13.3</v>
      </c>
      <c r="D67" s="645">
        <v>13.3</v>
      </c>
      <c r="E67" s="645">
        <v>13.2</v>
      </c>
      <c r="F67" s="645">
        <v>13.2</v>
      </c>
      <c r="G67" s="645">
        <v>13.1</v>
      </c>
      <c r="H67" s="645">
        <v>13.1</v>
      </c>
      <c r="I67" s="645">
        <v>13</v>
      </c>
      <c r="J67" s="645">
        <v>13</v>
      </c>
      <c r="K67" s="645">
        <v>13</v>
      </c>
      <c r="L67" s="640">
        <v>12.9</v>
      </c>
      <c r="M67" s="645">
        <v>12.9</v>
      </c>
      <c r="N67" s="645">
        <v>12.8</v>
      </c>
    </row>
    <row r="68" spans="2:14" ht="13.8" thickBot="1" x14ac:dyDescent="0.3">
      <c r="B68" s="643">
        <v>72</v>
      </c>
      <c r="C68" s="640">
        <v>12.8</v>
      </c>
      <c r="D68" s="645">
        <v>12.7</v>
      </c>
      <c r="E68" s="645">
        <v>12.7</v>
      </c>
      <c r="F68" s="645">
        <v>12.6</v>
      </c>
      <c r="G68" s="645">
        <v>12.6</v>
      </c>
      <c r="H68" s="645">
        <v>12.5</v>
      </c>
      <c r="I68" s="645">
        <v>12.5</v>
      </c>
      <c r="J68" s="645">
        <v>12.4</v>
      </c>
      <c r="K68" s="645">
        <v>12.4</v>
      </c>
      <c r="L68" s="640">
        <v>12.3</v>
      </c>
      <c r="M68" s="645">
        <v>12.3</v>
      </c>
      <c r="N68" s="645">
        <v>12.2</v>
      </c>
    </row>
    <row r="69" spans="2:14" ht="13.8" thickBot="1" x14ac:dyDescent="0.3">
      <c r="B69" s="643">
        <v>73</v>
      </c>
      <c r="C69" s="640">
        <v>12.2</v>
      </c>
      <c r="D69" s="645">
        <v>12.1</v>
      </c>
      <c r="E69" s="645">
        <v>12.1</v>
      </c>
      <c r="F69" s="645">
        <v>12</v>
      </c>
      <c r="G69" s="645">
        <v>12</v>
      </c>
      <c r="H69" s="645">
        <v>11.9</v>
      </c>
      <c r="I69" s="645">
        <v>11.9</v>
      </c>
      <c r="J69" s="645">
        <v>11.8</v>
      </c>
      <c r="K69" s="645">
        <v>11.8</v>
      </c>
      <c r="L69" s="640">
        <v>11.8</v>
      </c>
      <c r="M69" s="645">
        <v>11.7</v>
      </c>
      <c r="N69" s="645">
        <v>11.7</v>
      </c>
    </row>
    <row r="70" spans="2:14" ht="13.8" thickBot="1" x14ac:dyDescent="0.3">
      <c r="B70" s="643">
        <v>74</v>
      </c>
      <c r="C70" s="640">
        <v>11.6</v>
      </c>
      <c r="D70" s="645">
        <v>11.6</v>
      </c>
      <c r="E70" s="645">
        <v>11.5</v>
      </c>
      <c r="F70" s="645">
        <v>11.5</v>
      </c>
      <c r="G70" s="645">
        <v>11.4</v>
      </c>
      <c r="H70" s="645">
        <v>11.4</v>
      </c>
      <c r="I70" s="645">
        <v>11.3</v>
      </c>
      <c r="J70" s="645">
        <v>11.3</v>
      </c>
      <c r="K70" s="645">
        <v>11.2</v>
      </c>
      <c r="L70" s="640">
        <v>11.2</v>
      </c>
      <c r="M70" s="645">
        <v>11.1</v>
      </c>
      <c r="N70" s="645">
        <v>11.1</v>
      </c>
    </row>
    <row r="71" spans="2:14" ht="13.8" thickBot="1" x14ac:dyDescent="0.3">
      <c r="B71" s="643">
        <v>75</v>
      </c>
      <c r="C71" s="640">
        <v>11</v>
      </c>
      <c r="D71" s="646"/>
      <c r="E71" s="646"/>
      <c r="F71" s="646"/>
      <c r="G71" s="646"/>
      <c r="H71" s="646"/>
      <c r="I71" s="646"/>
      <c r="J71" s="646"/>
      <c r="K71" s="646"/>
      <c r="L71" s="646"/>
      <c r="M71" s="646"/>
      <c r="N71" s="646"/>
    </row>
  </sheetData>
  <mergeCells count="4">
    <mergeCell ref="B11:B12"/>
    <mergeCell ref="C11:N11"/>
    <mergeCell ref="B43:B44"/>
    <mergeCell ref="C43:N43"/>
  </mergeCells>
  <hyperlinks>
    <hyperlink ref="H42" r:id="rId1" xr:uid="{00000000-0004-0000-0800-000000000000}"/>
    <hyperlink ref="H10" r:id="rId2" xr:uid="{00000000-0004-0000-0800-000001000000}"/>
  </hyperlinks>
  <pageMargins left="0.7" right="0.7" top="0.75" bottom="0.75" header="0.3" footer="0.3"/>
  <pageSetup paperSize="9" orientation="portrait" r:id="rId3"/>
  <headerFooter>
    <oddHeader>&amp;CPROTECT - SCHEME MANAGEMENT&amp;L_x000D_&amp;Z&amp;F  [&amp;A]</oddHeader>
    <oddFooter>&amp;LPage &amp;P of &amp;N&amp;R&amp;T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86</vt:i4>
      </vt:variant>
    </vt:vector>
  </HeadingPairs>
  <TitlesOfParts>
    <vt:vector size="102" baseType="lpstr">
      <vt:lpstr>Cover</vt:lpstr>
      <vt:lpstr>AnnGenHiddenLists</vt:lpstr>
      <vt:lpstr>Version control</vt:lpstr>
      <vt:lpstr>Guidance Notes</vt:lpstr>
      <vt:lpstr>Calculator</vt:lpstr>
      <vt:lpstr>Printable Estimate</vt:lpstr>
      <vt:lpstr>Parameters</vt:lpstr>
      <vt:lpstr>Tapers</vt:lpstr>
      <vt:lpstr>Commutation Factors</vt:lpstr>
      <vt:lpstr>ERF and LRF</vt:lpstr>
      <vt:lpstr>FPS and NFPS calcs</vt:lpstr>
      <vt:lpstr>Past Service CARE Calcs</vt:lpstr>
      <vt:lpstr>CARE calcs</vt:lpstr>
      <vt:lpstr>CARE calcs ABS</vt:lpstr>
      <vt:lpstr>Lump Sum</vt:lpstr>
      <vt:lpstr>Summary</vt:lpstr>
      <vt:lpstr>ABSEndDate</vt:lpstr>
      <vt:lpstr>ABSEndDate1</vt:lpstr>
      <vt:lpstr>Acc_CARE</vt:lpstr>
      <vt:lpstr>Acc_FPS</vt:lpstr>
      <vt:lpstr>Acc_NFPS</vt:lpstr>
      <vt:lpstr>age_exact</vt:lpstr>
      <vt:lpstr>age_lbd</vt:lpstr>
      <vt:lpstr>BaseTablesList</vt:lpstr>
      <vt:lpstr>basis1</vt:lpstr>
      <vt:lpstr>basis2</vt:lpstr>
      <vt:lpstr>basis3</vt:lpstr>
      <vt:lpstr>CARE_ERFs</vt:lpstr>
      <vt:lpstr>CARE_LRF</vt:lpstr>
      <vt:lpstr>care_rev</vt:lpstr>
      <vt:lpstr>CareComm</vt:lpstr>
      <vt:lpstr>ChosenRA</vt:lpstr>
      <vt:lpstr>Class_Select</vt:lpstr>
      <vt:lpstr>Classification_Key</vt:lpstr>
      <vt:lpstr>Comm_92_E</vt:lpstr>
      <vt:lpstr>Comm_92_S</vt:lpstr>
      <vt:lpstr>Comm_Factor</vt:lpstr>
      <vt:lpstr>cpi</vt:lpstr>
      <vt:lpstr>cpi_1</vt:lpstr>
      <vt:lpstr>cpi_2</vt:lpstr>
      <vt:lpstr>cpi_3</vt:lpstr>
      <vt:lpstr>CurrentSal</vt:lpstr>
      <vt:lpstr>CurrentScheme</vt:lpstr>
      <vt:lpstr>Date_curr</vt:lpstr>
      <vt:lpstr>date55</vt:lpstr>
      <vt:lpstr>date60</vt:lpstr>
      <vt:lpstr>DefDec</vt:lpstr>
      <vt:lpstr>Descriptor_Key</vt:lpstr>
      <vt:lpstr>Descriptor_Select</vt:lpstr>
      <vt:lpstr>DJS</vt:lpstr>
      <vt:lpstr>DJS_Adj</vt:lpstr>
      <vt:lpstr>DoB</vt:lpstr>
      <vt:lpstr>DoProtEnd</vt:lpstr>
      <vt:lpstr>DoR</vt:lpstr>
      <vt:lpstr>DoStartSchYear</vt:lpstr>
      <vt:lpstr>DoUnderpin</vt:lpstr>
      <vt:lpstr>DoY</vt:lpstr>
      <vt:lpstr>Form_Check</vt:lpstr>
      <vt:lpstr>Form_Check2</vt:lpstr>
      <vt:lpstr>Form_Check3</vt:lpstr>
      <vt:lpstr>FPSmax</vt:lpstr>
      <vt:lpstr>future_PTP</vt:lpstr>
      <vt:lpstr>Hide_range</vt:lpstr>
      <vt:lpstr>ImprovementsList</vt:lpstr>
      <vt:lpstr>Name_member</vt:lpstr>
      <vt:lpstr>NewSchDate</vt:lpstr>
      <vt:lpstr>NFPS_Comm</vt:lpstr>
      <vt:lpstr>NFPS_ERFs</vt:lpstr>
      <vt:lpstr>NFPSmax</vt:lpstr>
      <vt:lpstr>NFPSstart</vt:lpstr>
      <vt:lpstr>NonUplifted</vt:lpstr>
      <vt:lpstr>Calculator!Print_Area</vt:lpstr>
      <vt:lpstr>'Printable Estimate'!Print_Area</vt:lpstr>
      <vt:lpstr>'Version control'!Print_Titles</vt:lpstr>
      <vt:lpstr>ProtectDate</vt:lpstr>
      <vt:lpstr>ProtStatus</vt:lpstr>
      <vt:lpstr>PT_Status</vt:lpstr>
      <vt:lpstr>RA_day</vt:lpstr>
      <vt:lpstr>RA_month</vt:lpstr>
      <vt:lpstr>RA_month_roundup</vt:lpstr>
      <vt:lpstr>RA_Year</vt:lpstr>
      <vt:lpstr>Reck_Days</vt:lpstr>
      <vt:lpstr>Reck_Years</vt:lpstr>
      <vt:lpstr>Reckonable_service</vt:lpstr>
      <vt:lpstr>sch</vt:lpstr>
      <vt:lpstr>sch_1</vt:lpstr>
      <vt:lpstr>sch_2</vt:lpstr>
      <vt:lpstr>Sch_FPS</vt:lpstr>
      <vt:lpstr>Sch_NFPS</vt:lpstr>
      <vt:lpstr>Scheme_Full</vt:lpstr>
      <vt:lpstr>tapertab1</vt:lpstr>
      <vt:lpstr>tapertab2</vt:lpstr>
      <vt:lpstr>tapertab3</vt:lpstr>
      <vt:lpstr>tapertab4</vt:lpstr>
      <vt:lpstr>tapertab5</vt:lpstr>
      <vt:lpstr>title</vt:lpstr>
      <vt:lpstr>TVinDays</vt:lpstr>
      <vt:lpstr>TVinYears</vt:lpstr>
      <vt:lpstr>Uplift_factors</vt:lpstr>
      <vt:lpstr>Uplift_Headers</vt:lpstr>
      <vt:lpstr>ValidSchemes</vt:lpstr>
      <vt:lpstr>VRA</vt:lpstr>
    </vt:vector>
  </TitlesOfParts>
  <Company>Government Actuary's Department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Crabtree</dc:creator>
  <cp:lastModifiedBy>Dipak Hirani</cp:lastModifiedBy>
  <cp:lastPrinted>2017-03-07T15:52:51Z</cp:lastPrinted>
  <dcterms:created xsi:type="dcterms:W3CDTF">2007-01-30T12:07:56Z</dcterms:created>
  <dcterms:modified xsi:type="dcterms:W3CDTF">2021-02-23T17:44:26Z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W-DOC-ID">
    <vt:lpwstr>9f9ef96f46b24a1cbbce5b71bb80026f</vt:lpwstr>
  </property>
  <property fmtid="{D5CDD505-2E9C-101B-9397-08002B2CF9AE}" pid="3" name="SW-FINGERPRINT">
    <vt:lpwstr/>
  </property>
</Properties>
</file>