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S O P A\Corporate Services\Corporate Communications\Channels\External\Website\New Website - Document Uploads\Calculators\Police\"/>
    </mc:Choice>
  </mc:AlternateContent>
  <workbookProtection workbookAlgorithmName="SHA-512" workbookHashValue="JVtDP6tEr4imHlZUq8/9lKe+GPupjF3Ibx+WBiprxWhVudNE6b+PFWx4Q5l19bly9UR1vU8wL+E61kPMILfVvw==" workbookSaltValue="4lpwicBc9FGptwG/ycv6cw==" workbookSpinCount="100000" lockStructure="1" lockWindows="1"/>
  <bookViews>
    <workbookView xWindow="-120" yWindow="-120" windowWidth="29040" windowHeight="15720" tabRatio="905" firstSheet="2" activeTab="2"/>
  </bookViews>
  <sheets>
    <sheet name="Cover" sheetId="1" state="hidden" r:id="rId1"/>
    <sheet name="Version control" sheetId="4" state="hidden" r:id="rId2"/>
    <sheet name="Calculator" sheetId="50" r:id="rId3"/>
    <sheet name="Guidance Notes" sheetId="63" r:id="rId4"/>
    <sheet name="Printable Estimate" sheetId="62" r:id="rId5"/>
    <sheet name="Parameters" sheetId="51" state="hidden" r:id="rId6"/>
    <sheet name="Tapers" sheetId="53" state="hidden" r:id="rId7"/>
    <sheet name="Commutation Factors" sheetId="58" state="hidden" r:id="rId8"/>
    <sheet name="ERF and LRF" sheetId="60" state="hidden" r:id="rId9"/>
    <sheet name="PPS and NPPS calcs" sheetId="52" state="hidden" r:id="rId10"/>
    <sheet name="Past Service CARE Calcs" sheetId="56" state="hidden" r:id="rId11"/>
    <sheet name="CARE calcs" sheetId="54" state="hidden" r:id="rId12"/>
    <sheet name="Summary" sheetId="55" state="hidden" r:id="rId13"/>
    <sheet name="CARE calcs ABS" sheetId="59" state="hidden" r:id="rId14"/>
    <sheet name="Lump Sum" sheetId="57" state="hidden" r:id="rId15"/>
  </sheets>
  <externalReferences>
    <externalReference r:id="rId16"/>
  </externalReferences>
  <definedNames>
    <definedName name="ABSEndDate">Calculator!$J$52</definedName>
    <definedName name="ABSEndDate1">Calculator!$J$44</definedName>
    <definedName name="ABSYears">Parameters!$B$119:$B$128</definedName>
    <definedName name="Acc_CARE">Parameters!$F$21</definedName>
    <definedName name="Acc_NPPS">Parameters!$F$20</definedName>
    <definedName name="Acc_PPS">Parameters!$F$19</definedName>
    <definedName name="age_exact">'PPS and NPPS calcs'!$D$6</definedName>
    <definedName name="age_lbd">'PPS and NPPS calcs'!$D$7</definedName>
    <definedName name="Age38Taper">Tapers!$M$15:$T$62</definedName>
    <definedName name="Age45Taper">Tapers!$B$15:$K$62</definedName>
    <definedName name="basis1">Parameters!$C$74</definedName>
    <definedName name="basis2">Parameters!$C$75</definedName>
    <definedName name="basis3">Parameters!$C$76</definedName>
    <definedName name="care_rev">Parameters!$G$77</definedName>
    <definedName name="CareComm">'Commutation Factors'!$F$7</definedName>
    <definedName name="ChosenRA">Parameters!$B$104</definedName>
    <definedName name="Class_Select">Cover!$A$54:$A$57</definedName>
    <definedName name="Classification_Key">Cover!$A$66</definedName>
    <definedName name="Comm_Factor">'Lump Sum'!$D$20</definedName>
    <definedName name="CornerTaper">Tapers!$B$66:$AX$114</definedName>
    <definedName name="cpi">Parameters!$G$73</definedName>
    <definedName name="cpi_1">Parameters!$G$74</definedName>
    <definedName name="cpi_2">Parameters!$G$75</definedName>
    <definedName name="cpi_3">Parameters!$G$76</definedName>
    <definedName name="CurrentSal">Calculator!$J$38</definedName>
    <definedName name="CurrentScheme">Parameters!$B$97</definedName>
    <definedName name="Date_curr">Parameters!$D$82</definedName>
    <definedName name="date60">Parameters!$B$106</definedName>
    <definedName name="DefDec">Parameters!$G$79</definedName>
    <definedName name="Descriptor_Key">Cover!$A$67</definedName>
    <definedName name="Descriptor_Select">Cover!$A$58:$A$65</definedName>
    <definedName name="DJS">Calculator!$J$29</definedName>
    <definedName name="DJS_Adj">'PPS and NPPS calcs'!$F$24</definedName>
    <definedName name="DoB">Calculator!$J$25</definedName>
    <definedName name="DoProtEnd">'PPS and NPPS calcs'!$F$31</definedName>
    <definedName name="DoR">Calculator!$J$40</definedName>
    <definedName name="DoStartSchYear">Parameters!$D$84</definedName>
    <definedName name="DoUnderpin">Parameters!$B$109</definedName>
    <definedName name="DoY">Parameters!$E$14</definedName>
    <definedName name="ERF">Parameters!$F$27</definedName>
    <definedName name="ERFfactor">Parameters!$F$39</definedName>
    <definedName name="Factors">'[1]Factor Calculation'!$A$148:$W$207</definedName>
    <definedName name="Form_Check">Parameters!$B$116</definedName>
    <definedName name="future_PTP">Calculator!$J$48</definedName>
    <definedName name="Hide_range">'Printable Estimate'!$40:$51,'Printable Estimate'!$52:$52</definedName>
    <definedName name="LRF">Parameters!$F$33</definedName>
    <definedName name="LRFfactor">Parameters!$F$40</definedName>
    <definedName name="LS_NPPS">Parameters!$F$23</definedName>
    <definedName name="Name_member">Calculator!$J$27</definedName>
    <definedName name="NewSchDate">Parameters!$E$12</definedName>
    <definedName name="NonUplifted">Parameters!$G$54</definedName>
    <definedName name="NPPSmax">Parameters!$F$17</definedName>
    <definedName name="NPPSstart">Parameters!$E$52</definedName>
    <definedName name="past_PTP" localSheetId="13">Calculator!#REF!</definedName>
    <definedName name="past_PTP">Calculator!#REF!</definedName>
    <definedName name="PPSmax">Parameters!$F$16</definedName>
    <definedName name="_xlnm.Print_Area" localSheetId="2">Calculator!$A$15:$N$125</definedName>
    <definedName name="_xlnm.Print_Area" localSheetId="4">'Printable Estimate'!$A$1:$H$54</definedName>
    <definedName name="_xlnm.Print_Titles" localSheetId="1">'Version control'!$A:$A</definedName>
    <definedName name="ProtectDate">Parameters!$E$10</definedName>
    <definedName name="ProtStatus">'PPS and NPPS calcs'!$F$26</definedName>
    <definedName name="PT_Status">Calculator!$J$46</definedName>
    <definedName name="RA_day">Parameters!$D$102</definedName>
    <definedName name="RA_month">Parameters!$C$102</definedName>
    <definedName name="RA_month_roundup">Parameters!$I$102</definedName>
    <definedName name="RA_Year">Parameters!$B$102</definedName>
    <definedName name="Reck_Days">Calculator!$J$55</definedName>
    <definedName name="Reck_Years">Calculator!$J$54</definedName>
    <definedName name="Reckonable_service">'Lump Sum'!$D$18</definedName>
    <definedName name="sch">Calculator!$C$138:$C$139</definedName>
    <definedName name="sch_1">Calculator!$C$138</definedName>
    <definedName name="sch_2">Calculator!$C$139</definedName>
    <definedName name="Scheme_Full">Calculator!$J$31</definedName>
    <definedName name="Service20Taper">Tapers!$V$15:$AC$62</definedName>
    <definedName name="TaperSize">Tapers!$C$9</definedName>
    <definedName name="title">Cover!$A$2</definedName>
    <definedName name="TVinDays">Calculator!$J$36</definedName>
    <definedName name="TVinYears">Calculator!$J$35</definedName>
    <definedName name="Uplift55andover">Parameters!$H$60:$I$70</definedName>
    <definedName name="Upliftunder55">Parameters!$G$60:$I$70</definedName>
    <definedName name="ValidSchemes">Parameters!$E$7:$E$8</definedName>
    <definedName name="VRA">'Lump Sum'!$D$19</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4" i="51" l="1"/>
  <c r="N55" i="52" l="1"/>
  <c r="M56" i="52"/>
  <c r="N56" i="52" s="1"/>
  <c r="C31" i="50" l="1"/>
  <c r="G75" i="51" l="1"/>
  <c r="G76" i="51"/>
  <c r="H74" i="51"/>
  <c r="D25" i="52" l="1"/>
  <c r="E25" i="52" l="1"/>
  <c r="F25" i="52"/>
  <c r="K42" i="50"/>
  <c r="C34" i="56" l="1"/>
  <c r="C32" i="56"/>
  <c r="C31" i="56"/>
  <c r="D20" i="56"/>
  <c r="E20" i="56"/>
  <c r="F20" i="56"/>
  <c r="G20" i="56"/>
  <c r="H20" i="56"/>
  <c r="I20" i="56"/>
  <c r="J20" i="56"/>
  <c r="K20" i="56"/>
  <c r="L20" i="56"/>
  <c r="M20" i="56"/>
  <c r="N20" i="56"/>
  <c r="O20" i="56"/>
  <c r="P20" i="56"/>
  <c r="Q20" i="56"/>
  <c r="R20" i="56"/>
  <c r="S20" i="56"/>
  <c r="T20" i="56"/>
  <c r="C20" i="56"/>
  <c r="E19" i="56"/>
  <c r="F19" i="56"/>
  <c r="G19" i="56"/>
  <c r="H19" i="56"/>
  <c r="I19" i="56"/>
  <c r="J19" i="56"/>
  <c r="K19" i="56"/>
  <c r="L19" i="56"/>
  <c r="M19" i="56"/>
  <c r="N19" i="56"/>
  <c r="O19" i="56"/>
  <c r="P19" i="56"/>
  <c r="Q19" i="56"/>
  <c r="R19" i="56"/>
  <c r="S19" i="56"/>
  <c r="T19" i="56"/>
  <c r="D19" i="56"/>
  <c r="C19" i="56"/>
  <c r="C7" i="56"/>
  <c r="C112" i="51" l="1"/>
  <c r="D24" i="52" l="1"/>
  <c r="G74" i="51" l="1"/>
  <c r="E15" i="56"/>
  <c r="I70" i="50" l="1"/>
  <c r="B25" i="62"/>
  <c r="D82" i="51" l="1"/>
  <c r="D8" i="54" s="1"/>
  <c r="G21" i="56" l="1"/>
  <c r="K21" i="56"/>
  <c r="O21" i="56"/>
  <c r="S21" i="56"/>
  <c r="H21" i="56"/>
  <c r="L21" i="56"/>
  <c r="P21" i="56"/>
  <c r="T21" i="56"/>
  <c r="I21" i="56"/>
  <c r="M21" i="56"/>
  <c r="Q21" i="56"/>
  <c r="J21" i="56"/>
  <c r="N21" i="56"/>
  <c r="R21" i="56"/>
  <c r="D21" i="56"/>
  <c r="J22" i="57"/>
  <c r="I21" i="57"/>
  <c r="I20" i="57"/>
  <c r="I19" i="57"/>
  <c r="H21" i="57"/>
  <c r="H20" i="57"/>
  <c r="H19" i="57"/>
  <c r="J19" i="57" l="1"/>
  <c r="J20" i="57"/>
  <c r="J21" i="57"/>
  <c r="F21" i="56"/>
  <c r="E21" i="56"/>
  <c r="C21" i="56"/>
  <c r="F18" i="57" l="1"/>
  <c r="D18" i="57" s="1"/>
  <c r="C28" i="62"/>
  <c r="E15" i="62" l="1"/>
  <c r="E21" i="62"/>
  <c r="E19" i="62"/>
  <c r="E17" i="62"/>
  <c r="E13" i="62"/>
  <c r="B116" i="51" l="1"/>
  <c r="B26" i="62" l="1"/>
  <c r="B102" i="51"/>
  <c r="D37" i="55" l="1"/>
  <c r="I66" i="50" l="1"/>
  <c r="K30" i="52" l="1"/>
  <c r="D14" i="57" l="1"/>
  <c r="C46" i="55" l="1"/>
  <c r="C45" i="55"/>
  <c r="C40" i="55"/>
  <c r="C39" i="55"/>
  <c r="F36" i="55"/>
  <c r="E36" i="55"/>
  <c r="D36" i="55"/>
  <c r="F37" i="55" l="1"/>
  <c r="E37" i="55"/>
  <c r="L88" i="51"/>
  <c r="K88" i="51"/>
  <c r="D102" i="51" l="1"/>
  <c r="C102" i="51" l="1"/>
  <c r="B106" i="51"/>
  <c r="D26" i="54" s="1"/>
  <c r="F102" i="51" l="1"/>
  <c r="G102" i="51" l="1"/>
  <c r="D28" i="60"/>
  <c r="D29" i="60"/>
  <c r="D30" i="60"/>
  <c r="D31" i="60"/>
  <c r="D32" i="60"/>
  <c r="D33" i="60"/>
  <c r="D34" i="60"/>
  <c r="D35" i="60"/>
  <c r="D36" i="60"/>
  <c r="D37" i="60"/>
  <c r="D27" i="60"/>
  <c r="E27" i="60" s="1"/>
  <c r="A4" i="60"/>
  <c r="A2" i="60"/>
  <c r="E31" i="60" l="1"/>
  <c r="E30" i="60"/>
  <c r="E37" i="60"/>
  <c r="E33" i="60"/>
  <c r="E29" i="60"/>
  <c r="E35" i="60"/>
  <c r="E34" i="60"/>
  <c r="E36" i="60"/>
  <c r="E32" i="60"/>
  <c r="E28" i="60"/>
  <c r="H102" i="51"/>
  <c r="I102" i="51" s="1"/>
  <c r="G103" i="51" s="1"/>
  <c r="B100" i="51"/>
  <c r="D9" i="54"/>
  <c r="E9" i="54" s="1"/>
  <c r="F9" i="54" s="1"/>
  <c r="D10" i="52"/>
  <c r="E23" i="52"/>
  <c r="D23" i="52"/>
  <c r="D56" i="52"/>
  <c r="I103" i="51" l="1"/>
  <c r="H103" i="51"/>
  <c r="B104" i="51"/>
  <c r="H63" i="52"/>
  <c r="H62" i="52"/>
  <c r="D10" i="59"/>
  <c r="D9" i="59"/>
  <c r="A4" i="59"/>
  <c r="A2" i="59"/>
  <c r="D69" i="52"/>
  <c r="E69" i="52"/>
  <c r="D57" i="52"/>
  <c r="E56" i="52"/>
  <c r="C70" i="52"/>
  <c r="C49" i="62" l="1"/>
  <c r="C47" i="62"/>
  <c r="C46" i="62"/>
  <c r="C44" i="62"/>
  <c r="C40" i="62"/>
  <c r="B52" i="62"/>
  <c r="D7" i="57"/>
  <c r="C47" i="55"/>
  <c r="C42" i="55"/>
  <c r="C41" i="55"/>
  <c r="D28" i="54"/>
  <c r="D22" i="54"/>
  <c r="D24" i="54" s="1"/>
  <c r="D10" i="54"/>
  <c r="D21" i="54" s="1"/>
  <c r="D23" i="54" s="1"/>
  <c r="C85" i="50"/>
  <c r="C84" i="50"/>
  <c r="C74" i="50"/>
  <c r="C73" i="50"/>
  <c r="D152" i="50"/>
  <c r="D151" i="50"/>
  <c r="B97" i="51"/>
  <c r="F24" i="52" l="1"/>
  <c r="F69" i="52"/>
  <c r="F57" i="52"/>
  <c r="F56" i="52"/>
  <c r="C77" i="50"/>
  <c r="F23" i="52"/>
  <c r="C89" i="50"/>
  <c r="C90" i="50"/>
  <c r="C80" i="50"/>
  <c r="C76" i="50"/>
  <c r="C79" i="50"/>
  <c r="C87" i="50"/>
  <c r="D54" i="62" l="1"/>
  <c r="D18" i="54"/>
  <c r="D15" i="59"/>
  <c r="D37" i="52"/>
  <c r="C133" i="50" l="1"/>
  <c r="F15" i="55"/>
  <c r="E15" i="55"/>
  <c r="F21" i="51"/>
  <c r="C26" i="55"/>
  <c r="D9" i="52"/>
  <c r="D19" i="57"/>
  <c r="F23" i="55"/>
  <c r="E23" i="55"/>
  <c r="D23" i="55"/>
  <c r="F39" i="51"/>
  <c r="D25" i="55"/>
  <c r="E16" i="52"/>
  <c r="E17" i="52" s="1"/>
  <c r="E37" i="52"/>
  <c r="F37" i="52" s="1"/>
  <c r="D11" i="52"/>
  <c r="D15" i="52" s="1"/>
  <c r="E138" i="50"/>
  <c r="C138" i="50" s="1"/>
  <c r="C139" i="50" s="1"/>
  <c r="G79" i="51"/>
  <c r="F31" i="57"/>
  <c r="E31" i="57"/>
  <c r="D31" i="57"/>
  <c r="E177" i="50"/>
  <c r="E176" i="50"/>
  <c r="G175" i="50"/>
  <c r="F175" i="50"/>
  <c r="E175" i="50"/>
  <c r="F23" i="57"/>
  <c r="E23" i="57"/>
  <c r="D23" i="57"/>
  <c r="D16" i="52"/>
  <c r="G77" i="51"/>
  <c r="C33" i="56" s="1"/>
  <c r="C15" i="56"/>
  <c r="C49" i="52"/>
  <c r="C48" i="52"/>
  <c r="C47" i="52"/>
  <c r="C46" i="52"/>
  <c r="C45" i="52"/>
  <c r="C44" i="52"/>
  <c r="C43" i="52"/>
  <c r="C42" i="52"/>
  <c r="C41" i="52"/>
  <c r="C40" i="52"/>
  <c r="C39" i="52"/>
  <c r="C38" i="52"/>
  <c r="F7" i="55"/>
  <c r="E7" i="55"/>
  <c r="D7" i="55"/>
  <c r="D8" i="57"/>
  <c r="A4" i="58"/>
  <c r="A2" i="58"/>
  <c r="A4" i="57"/>
  <c r="A2" i="57"/>
  <c r="A4" i="56"/>
  <c r="A2" i="56"/>
  <c r="C148" i="50"/>
  <c r="C134" i="50"/>
  <c r="D139" i="50"/>
  <c r="I36" i="51"/>
  <c r="I35" i="51"/>
  <c r="I34" i="51"/>
  <c r="I33" i="51"/>
  <c r="I60" i="51"/>
  <c r="E156" i="50"/>
  <c r="D160" i="50" s="1"/>
  <c r="D142" i="50"/>
  <c r="E148" i="50"/>
  <c r="D159" i="50"/>
  <c r="D161" i="50"/>
  <c r="I27" i="51"/>
  <c r="I29" i="51"/>
  <c r="I31" i="51"/>
  <c r="I32" i="51"/>
  <c r="I28" i="51"/>
  <c r="I30" i="51"/>
  <c r="D15" i="55"/>
  <c r="D8" i="55"/>
  <c r="F8" i="55" s="1"/>
  <c r="A4" i="55"/>
  <c r="A2" i="55"/>
  <c r="A4" i="54"/>
  <c r="A2" i="54"/>
  <c r="F23" i="51"/>
  <c r="F20" i="51"/>
  <c r="A4" i="53"/>
  <c r="A2" i="53"/>
  <c r="F19" i="51"/>
  <c r="A4" i="52"/>
  <c r="A2" i="52"/>
  <c r="A4" i="51"/>
  <c r="A2" i="51"/>
  <c r="A2" i="4"/>
  <c r="A4" i="4"/>
  <c r="A4" i="1"/>
  <c r="F27" i="51" l="1"/>
  <c r="E26" i="52"/>
  <c r="E27" i="52" s="1"/>
  <c r="D148" i="50"/>
  <c r="E10" i="54"/>
  <c r="E24" i="55" s="1"/>
  <c r="F32" i="51"/>
  <c r="D17" i="52"/>
  <c r="D18" i="52" s="1"/>
  <c r="D13" i="54"/>
  <c r="D11" i="54"/>
  <c r="D12" i="54" s="1"/>
  <c r="F11" i="54"/>
  <c r="F12" i="54" s="1"/>
  <c r="C16" i="56"/>
  <c r="E58" i="52"/>
  <c r="F13" i="54"/>
  <c r="E25" i="55"/>
  <c r="E8" i="55"/>
  <c r="D9" i="57"/>
  <c r="D13" i="57" s="1"/>
  <c r="D11" i="55"/>
  <c r="E11" i="55" s="1"/>
  <c r="D24" i="55"/>
  <c r="E15" i="52"/>
  <c r="E18" i="52" s="1"/>
  <c r="E13" i="54"/>
  <c r="E11" i="54"/>
  <c r="E12" i="54" s="1"/>
  <c r="D158" i="50"/>
  <c r="D162" i="50" s="1"/>
  <c r="C135" i="50"/>
  <c r="B83" i="51"/>
  <c r="D83" i="51"/>
  <c r="C83" i="51"/>
  <c r="D141" i="50"/>
  <c r="D20" i="52" l="1"/>
  <c r="D84" i="51"/>
  <c r="D12" i="57"/>
  <c r="D15" i="57" s="1"/>
  <c r="D20" i="57" s="1"/>
  <c r="D21" i="57" s="1"/>
  <c r="F10" i="54"/>
  <c r="F24" i="55" s="1"/>
  <c r="E31" i="52"/>
  <c r="E59" i="52"/>
  <c r="E63" i="52"/>
  <c r="D14" i="55"/>
  <c r="E14" i="55"/>
  <c r="F14" i="55"/>
  <c r="F11" i="55"/>
  <c r="F25" i="55"/>
  <c r="D21" i="52" l="1"/>
  <c r="C25" i="56"/>
  <c r="C26" i="56" s="1"/>
  <c r="Q25" i="56"/>
  <c r="Q26" i="56" s="1"/>
  <c r="J25" i="56"/>
  <c r="J26" i="56" s="1"/>
  <c r="H25" i="56"/>
  <c r="H26" i="56" s="1"/>
  <c r="R25" i="56"/>
  <c r="R26" i="56" s="1"/>
  <c r="E25" i="56"/>
  <c r="E26" i="56" s="1"/>
  <c r="O25" i="56"/>
  <c r="O26" i="56" s="1"/>
  <c r="I25" i="56"/>
  <c r="I26" i="56" s="1"/>
  <c r="N25" i="56"/>
  <c r="N26" i="56" s="1"/>
  <c r="P25" i="56"/>
  <c r="P26" i="56" s="1"/>
  <c r="G25" i="56"/>
  <c r="G26" i="56" s="1"/>
  <c r="K25" i="56"/>
  <c r="K26" i="56" s="1"/>
  <c r="M25" i="56"/>
  <c r="M26" i="56" s="1"/>
  <c r="T25" i="56"/>
  <c r="T26" i="56" s="1"/>
  <c r="S25" i="56"/>
  <c r="S26" i="56" s="1"/>
  <c r="D25" i="56"/>
  <c r="D26" i="56" s="1"/>
  <c r="L25" i="56"/>
  <c r="L26" i="56" s="1"/>
  <c r="F25" i="56"/>
  <c r="F26" i="56" s="1"/>
  <c r="D12" i="55"/>
  <c r="F12" i="55" s="1"/>
  <c r="E33" i="52"/>
  <c r="E173" i="50"/>
  <c r="D35" i="54"/>
  <c r="D36" i="54" s="1"/>
  <c r="E65" i="52"/>
  <c r="E68" i="52"/>
  <c r="D68" i="52"/>
  <c r="D58" i="52"/>
  <c r="D22" i="59"/>
  <c r="D23" i="59" s="1"/>
  <c r="E64" i="52"/>
  <c r="E36" i="52"/>
  <c r="E32" i="52"/>
  <c r="E174" i="50"/>
  <c r="C136" i="50"/>
  <c r="D157" i="50"/>
  <c r="C154" i="50" s="1"/>
  <c r="D6" i="52"/>
  <c r="D35" i="52" s="1"/>
  <c r="D26" i="52" l="1"/>
  <c r="D36" i="52"/>
  <c r="E12" i="55"/>
  <c r="E34" i="52"/>
  <c r="E51" i="52" s="1"/>
  <c r="F68" i="52"/>
  <c r="F35" i="54"/>
  <c r="F58" i="52"/>
  <c r="D59" i="52"/>
  <c r="D67" i="52"/>
  <c r="E67" i="52"/>
  <c r="E66" i="52"/>
  <c r="D40" i="52"/>
  <c r="E35" i="52"/>
  <c r="F36" i="52"/>
  <c r="D7" i="52"/>
  <c r="E36" i="54"/>
  <c r="E35" i="54"/>
  <c r="D8" i="52"/>
  <c r="E154" i="50"/>
  <c r="D27" i="52" l="1"/>
  <c r="D29" i="52" s="1"/>
  <c r="F29" i="52" s="1"/>
  <c r="F26" i="52"/>
  <c r="E164" i="50" s="1"/>
  <c r="D38" i="52"/>
  <c r="D39" i="52"/>
  <c r="D42" i="52" s="1"/>
  <c r="D60" i="52"/>
  <c r="F60" i="52" s="1"/>
  <c r="F59" i="52"/>
  <c r="E70" i="52"/>
  <c r="F67" i="52"/>
  <c r="F35" i="52"/>
  <c r="D43" i="52"/>
  <c r="E38" i="52"/>
  <c r="E41" i="52" s="1"/>
  <c r="E40" i="52"/>
  <c r="E43" i="52" s="1"/>
  <c r="E46" i="52" s="1"/>
  <c r="E39" i="52"/>
  <c r="E42" i="52" s="1"/>
  <c r="E45" i="52" s="1"/>
  <c r="E48" i="52" s="1"/>
  <c r="F48" i="52" s="1"/>
  <c r="F36" i="54"/>
  <c r="D31" i="52" l="1"/>
  <c r="D33" i="52" s="1"/>
  <c r="D30" i="52"/>
  <c r="F30" i="52" s="1"/>
  <c r="F27" i="52"/>
  <c r="D28" i="52"/>
  <c r="F28" i="52" s="1"/>
  <c r="D6" i="59"/>
  <c r="D24" i="59" s="1"/>
  <c r="D5" i="54"/>
  <c r="E37" i="54" s="1"/>
  <c r="E49" i="52"/>
  <c r="F49" i="52" s="1"/>
  <c r="D41" i="52"/>
  <c r="E44" i="52"/>
  <c r="E47" i="52" s="1"/>
  <c r="F47" i="52" s="1"/>
  <c r="F38" i="52"/>
  <c r="D9" i="55" s="1"/>
  <c r="D38" i="55" s="1"/>
  <c r="F43" i="52"/>
  <c r="F10" i="55" s="1"/>
  <c r="F42" i="52"/>
  <c r="E10" i="55" s="1"/>
  <c r="F40" i="52"/>
  <c r="F9" i="55" s="1"/>
  <c r="F38" i="55" s="1"/>
  <c r="F39" i="52"/>
  <c r="E9" i="55" s="1"/>
  <c r="E38" i="55" s="1"/>
  <c r="F37" i="54" l="1"/>
  <c r="D37" i="54"/>
  <c r="F41" i="52"/>
  <c r="D10" i="55" s="1"/>
  <c r="F31" i="52"/>
  <c r="K34" i="52"/>
  <c r="D32" i="52"/>
  <c r="F33" i="52"/>
  <c r="D61" i="52"/>
  <c r="C6" i="56" l="1"/>
  <c r="C8" i="56" s="1"/>
  <c r="D6" i="54"/>
  <c r="D7" i="54" s="1"/>
  <c r="D15" i="54" s="1"/>
  <c r="D7" i="59"/>
  <c r="D12" i="59" s="1"/>
  <c r="D18" i="59" s="1"/>
  <c r="D13" i="55"/>
  <c r="E13" i="55"/>
  <c r="F13" i="55"/>
  <c r="D19" i="54"/>
  <c r="D38" i="54" s="1"/>
  <c r="F38" i="54" s="1"/>
  <c r="E165" i="50"/>
  <c r="E166" i="50" s="1"/>
  <c r="F166" i="50" s="1"/>
  <c r="E170" i="50" s="1"/>
  <c r="C62" i="50" s="1"/>
  <c r="D16" i="59"/>
  <c r="D25" i="59" s="1"/>
  <c r="D26" i="59" s="1"/>
  <c r="D27" i="59" s="1"/>
  <c r="F61" i="52"/>
  <c r="D62" i="52"/>
  <c r="F32" i="52"/>
  <c r="D34" i="52"/>
  <c r="D44" i="52" s="1"/>
  <c r="D51" i="52" l="1"/>
  <c r="F51" i="52" s="1"/>
  <c r="I67" i="50" s="1"/>
  <c r="F34" i="52"/>
  <c r="D16" i="55" s="1"/>
  <c r="E16" i="55" s="1"/>
  <c r="D30" i="54"/>
  <c r="F30" i="54" s="1"/>
  <c r="F39" i="54" s="1"/>
  <c r="F40" i="54" s="1"/>
  <c r="F41" i="54" s="1"/>
  <c r="C17" i="56"/>
  <c r="D25" i="54"/>
  <c r="D27" i="54" s="1"/>
  <c r="D19" i="59"/>
  <c r="D21" i="59" s="1"/>
  <c r="D13" i="59"/>
  <c r="D14" i="59" s="1"/>
  <c r="D16" i="54"/>
  <c r="F165" i="50"/>
  <c r="E38" i="54"/>
  <c r="D45" i="52"/>
  <c r="D46" i="52"/>
  <c r="F62" i="52"/>
  <c r="D63" i="52"/>
  <c r="F63" i="52" s="1"/>
  <c r="G22" i="56" l="1"/>
  <c r="G24" i="56" s="1"/>
  <c r="G27" i="56" s="1"/>
  <c r="G28" i="56" s="1"/>
  <c r="K22" i="56"/>
  <c r="K24" i="56" s="1"/>
  <c r="K27" i="56" s="1"/>
  <c r="K28" i="56" s="1"/>
  <c r="O22" i="56"/>
  <c r="O24" i="56" s="1"/>
  <c r="O27" i="56" s="1"/>
  <c r="O28" i="56" s="1"/>
  <c r="S22" i="56"/>
  <c r="S24" i="56" s="1"/>
  <c r="S27" i="56" s="1"/>
  <c r="S28" i="56" s="1"/>
  <c r="I23" i="56"/>
  <c r="M23" i="56"/>
  <c r="Q23" i="56"/>
  <c r="J22" i="56"/>
  <c r="J24" i="56" s="1"/>
  <c r="J27" i="56" s="1"/>
  <c r="J28" i="56" s="1"/>
  <c r="N22" i="56"/>
  <c r="N24" i="56" s="1"/>
  <c r="N27" i="56" s="1"/>
  <c r="N28" i="56" s="1"/>
  <c r="R22" i="56"/>
  <c r="R24" i="56" s="1"/>
  <c r="R27" i="56" s="1"/>
  <c r="R28" i="56" s="1"/>
  <c r="L23" i="56"/>
  <c r="T23" i="56"/>
  <c r="H22" i="56"/>
  <c r="H24" i="56" s="1"/>
  <c r="H27" i="56" s="1"/>
  <c r="H28" i="56" s="1"/>
  <c r="L22" i="56"/>
  <c r="L24" i="56" s="1"/>
  <c r="L27" i="56" s="1"/>
  <c r="L28" i="56" s="1"/>
  <c r="P22" i="56"/>
  <c r="P24" i="56" s="1"/>
  <c r="P27" i="56" s="1"/>
  <c r="P28" i="56" s="1"/>
  <c r="T22" i="56"/>
  <c r="T24" i="56" s="1"/>
  <c r="T27" i="56" s="1"/>
  <c r="T28" i="56" s="1"/>
  <c r="J23" i="56"/>
  <c r="N23" i="56"/>
  <c r="R23" i="56"/>
  <c r="H23" i="56"/>
  <c r="I22" i="56"/>
  <c r="I24" i="56" s="1"/>
  <c r="I27" i="56" s="1"/>
  <c r="I28" i="56" s="1"/>
  <c r="M22" i="56"/>
  <c r="M24" i="56" s="1"/>
  <c r="M27" i="56" s="1"/>
  <c r="M28" i="56" s="1"/>
  <c r="Q22" i="56"/>
  <c r="Q24" i="56" s="1"/>
  <c r="Q27" i="56" s="1"/>
  <c r="Q28" i="56" s="1"/>
  <c r="G23" i="56"/>
  <c r="K23" i="56"/>
  <c r="O23" i="56"/>
  <c r="S23" i="56"/>
  <c r="P23" i="56"/>
  <c r="F16" i="55"/>
  <c r="C22" i="56"/>
  <c r="F23" i="56"/>
  <c r="C23" i="56"/>
  <c r="E23" i="56"/>
  <c r="D23" i="56"/>
  <c r="D39" i="54"/>
  <c r="D40" i="54" s="1"/>
  <c r="D41" i="54" s="1"/>
  <c r="D31" i="54"/>
  <c r="E31" i="54" s="1"/>
  <c r="D17" i="54"/>
  <c r="E30" i="54"/>
  <c r="E39" i="54" s="1"/>
  <c r="E40" i="54" s="1"/>
  <c r="E41" i="54" s="1"/>
  <c r="D22" i="56"/>
  <c r="F22" i="56"/>
  <c r="E22" i="56"/>
  <c r="E24" i="56" s="1"/>
  <c r="E27" i="56" s="1"/>
  <c r="E28" i="56" s="1"/>
  <c r="G44" i="52"/>
  <c r="F44" i="52"/>
  <c r="D25" i="57" s="1"/>
  <c r="D26" i="57" s="1"/>
  <c r="G45" i="52"/>
  <c r="F45" i="52"/>
  <c r="E25" i="57" s="1"/>
  <c r="E17" i="55" s="1"/>
  <c r="D65" i="52"/>
  <c r="F65" i="52" s="1"/>
  <c r="D64" i="52"/>
  <c r="F46" i="52"/>
  <c r="F25" i="57" s="1"/>
  <c r="F28" i="57" s="1"/>
  <c r="F18" i="55" s="1"/>
  <c r="F46" i="55" s="1"/>
  <c r="G46" i="52"/>
  <c r="F24" i="56" l="1"/>
  <c r="F27" i="56" s="1"/>
  <c r="F28" i="56" s="1"/>
  <c r="C24" i="56"/>
  <c r="C27" i="56" s="1"/>
  <c r="C28" i="56" s="1"/>
  <c r="F31" i="54"/>
  <c r="F33" i="54" s="1"/>
  <c r="F34" i="54" s="1"/>
  <c r="E33" i="54"/>
  <c r="E34" i="54" s="1"/>
  <c r="D33" i="54"/>
  <c r="D34" i="54" s="1"/>
  <c r="D24" i="56"/>
  <c r="D27" i="56" s="1"/>
  <c r="D28" i="56" s="1"/>
  <c r="E45" i="55"/>
  <c r="F49" i="55"/>
  <c r="F40" i="55"/>
  <c r="M85" i="50"/>
  <c r="M90" i="50" s="1"/>
  <c r="D28" i="57"/>
  <c r="D18" i="55" s="1"/>
  <c r="D46" i="55" s="1"/>
  <c r="D17" i="55"/>
  <c r="D19" i="55"/>
  <c r="E26" i="57"/>
  <c r="E19" i="55" s="1"/>
  <c r="F26" i="57"/>
  <c r="F19" i="55" s="1"/>
  <c r="E28" i="57"/>
  <c r="E18" i="55" s="1"/>
  <c r="E46" i="55" s="1"/>
  <c r="D66" i="52"/>
  <c r="F64" i="52"/>
  <c r="F17" i="55"/>
  <c r="C29" i="56" l="1"/>
  <c r="C35" i="56" s="1"/>
  <c r="K84" i="50"/>
  <c r="D45" i="55"/>
  <c r="F45" i="55"/>
  <c r="E49" i="55"/>
  <c r="E40" i="55"/>
  <c r="D40" i="55"/>
  <c r="D49" i="55"/>
  <c r="I85" i="50"/>
  <c r="I90" i="50" s="1"/>
  <c r="E30" i="62" s="1"/>
  <c r="M74" i="50"/>
  <c r="K85" i="50"/>
  <c r="K90" i="50" s="1"/>
  <c r="D27" i="57"/>
  <c r="D20" i="55" s="1"/>
  <c r="D21" i="55"/>
  <c r="E21" i="55" s="1"/>
  <c r="E27" i="57"/>
  <c r="E20" i="55" s="1"/>
  <c r="F27" i="57"/>
  <c r="F20" i="55" s="1"/>
  <c r="D70" i="52"/>
  <c r="F70" i="52" s="1"/>
  <c r="D31" i="55" s="1"/>
  <c r="F66" i="52"/>
  <c r="D32" i="54" l="1"/>
  <c r="D42" i="54" s="1"/>
  <c r="D20" i="59"/>
  <c r="D28" i="59" s="1"/>
  <c r="D29" i="59" s="1"/>
  <c r="D32" i="55" s="1"/>
  <c r="D51" i="55" s="1"/>
  <c r="E51" i="55" s="1"/>
  <c r="D34" i="55"/>
  <c r="D50" i="55"/>
  <c r="M84" i="50"/>
  <c r="F39" i="55"/>
  <c r="E39" i="55"/>
  <c r="D39" i="55"/>
  <c r="K74" i="50"/>
  <c r="I74" i="50"/>
  <c r="I84" i="50"/>
  <c r="F21" i="55"/>
  <c r="F32" i="54" l="1"/>
  <c r="F42" i="54" s="1"/>
  <c r="D43" i="54"/>
  <c r="D44" i="54" s="1"/>
  <c r="E32" i="54"/>
  <c r="E42" i="54" s="1"/>
  <c r="F51" i="55"/>
  <c r="D33" i="55"/>
  <c r="D52" i="55"/>
  <c r="E52" i="55" s="1"/>
  <c r="D53" i="55"/>
  <c r="F53" i="55" s="1"/>
  <c r="E50" i="55"/>
  <c r="I73" i="50"/>
  <c r="K73" i="50"/>
  <c r="F50" i="55"/>
  <c r="M73" i="50"/>
  <c r="E43" i="54" l="1"/>
  <c r="E44" i="54" s="1"/>
  <c r="E32" i="57" s="1"/>
  <c r="F43" i="54"/>
  <c r="F44" i="54" s="1"/>
  <c r="F32" i="57" s="1"/>
  <c r="D32" i="57"/>
  <c r="E53" i="55"/>
  <c r="F52" i="55"/>
  <c r="F33" i="57" l="1"/>
  <c r="F34" i="57" s="1"/>
  <c r="F29" i="55" s="1"/>
  <c r="F26" i="55"/>
  <c r="F47" i="55" s="1"/>
  <c r="M87" i="50" s="1"/>
  <c r="E33" i="57"/>
  <c r="E26" i="55"/>
  <c r="E47" i="55" s="1"/>
  <c r="K87" i="50" s="1"/>
  <c r="D33" i="57"/>
  <c r="D28" i="55" s="1"/>
  <c r="D26" i="55"/>
  <c r="D47" i="55" s="1"/>
  <c r="F41" i="55" l="1"/>
  <c r="M76" i="50" s="1"/>
  <c r="E48" i="55"/>
  <c r="K89" i="50" s="1"/>
  <c r="F48" i="55"/>
  <c r="M89" i="50" s="1"/>
  <c r="D34" i="57"/>
  <c r="D29" i="55" s="1"/>
  <c r="D41" i="55" s="1"/>
  <c r="D35" i="57"/>
  <c r="D27" i="55" s="1"/>
  <c r="D42" i="55" s="1"/>
  <c r="E34" i="57"/>
  <c r="E29" i="55" s="1"/>
  <c r="E28" i="55"/>
  <c r="E35" i="57"/>
  <c r="E27" i="55" s="1"/>
  <c r="E42" i="55" s="1"/>
  <c r="F35" i="57"/>
  <c r="F27" i="55" s="1"/>
  <c r="F42" i="55" s="1"/>
  <c r="F28" i="55"/>
  <c r="D48" i="55"/>
  <c r="I87" i="50"/>
  <c r="E44" i="62" s="1"/>
  <c r="F43" i="55" l="1"/>
  <c r="M79" i="50" s="1"/>
  <c r="E44" i="55"/>
  <c r="K80" i="50" s="1"/>
  <c r="K77" i="50"/>
  <c r="M77" i="50"/>
  <c r="F44" i="55"/>
  <c r="M80" i="50" s="1"/>
  <c r="E41" i="55"/>
  <c r="K76" i="50" s="1"/>
  <c r="I89" i="50"/>
  <c r="E28" i="62" s="1"/>
  <c r="D43" i="55"/>
  <c r="I76" i="50"/>
  <c r="E47" i="62" s="1"/>
  <c r="I77" i="50"/>
  <c r="E49" i="62" s="1"/>
  <c r="D44" i="55"/>
  <c r="E43" i="55" l="1"/>
  <c r="K79" i="50" s="1"/>
  <c r="I79" i="50"/>
  <c r="E36" i="62" s="1"/>
  <c r="I80" i="50"/>
  <c r="E38" i="62" s="1"/>
</calcChain>
</file>

<file path=xl/comments1.xml><?xml version="1.0" encoding="utf-8"?>
<comments xmlns="http://schemas.openxmlformats.org/spreadsheetml/2006/main">
  <authors>
    <author>Michael Crabtree</author>
    <author>mara</author>
    <author>Brian Allan</author>
  </authors>
  <commentList>
    <comment ref="L29" authorId="0" shapeId="0">
      <text>
        <r>
          <rPr>
            <sz val="9"/>
            <color indexed="81"/>
            <rFont val="Tahoma"/>
            <family val="2"/>
          </rPr>
          <t>We use this to calculate your service to retirement. This is shown on your annual benefit statement - see Date Joined Pension Scheme.</t>
        </r>
      </text>
    </comment>
    <comment ref="L31" authorId="0" shapeId="0">
      <text>
        <r>
          <rPr>
            <sz val="9"/>
            <color indexed="81"/>
            <rFont val="Tahoma"/>
            <family val="2"/>
          </rPr>
          <t xml:space="preserve">If appropriate, choose the scheme you were a member of on 31 March 2015. This can either be the Police Pension Scheme 1987 ("PPS") or the New Police Pension Scheme 2006 ("NPPS").
</t>
        </r>
      </text>
    </comment>
    <comment ref="L33" authorId="0" shapeId="0">
      <text>
        <r>
          <rPr>
            <sz val="9"/>
            <color indexed="81"/>
            <rFont val="Tahoma"/>
            <family val="2"/>
          </rPr>
          <t>We use this to calculate the maximum cash lump sum you are eligible for.</t>
        </r>
      </text>
    </comment>
    <comment ref="L35" authorId="0" shapeId="0">
      <text>
        <r>
          <rPr>
            <sz val="9"/>
            <color indexed="81"/>
            <rFont val="Tahoma"/>
            <family val="2"/>
          </rPr>
          <t>If part-time, please do not include transferred-in service granted in the PPS which was then transferred to the NPPS after 6 April 2006.
This service only refers to transferred in service for the final salary scheme.</t>
        </r>
      </text>
    </comment>
    <comment ref="L38" authorId="0" shapeId="0">
      <text>
        <r>
          <rPr>
            <sz val="9"/>
            <color indexed="81"/>
            <rFont val="Tahoma"/>
            <family val="2"/>
          </rPr>
          <t xml:space="preserve">The scheme year starts on 1 April. </t>
        </r>
      </text>
    </comment>
    <comment ref="L40" authorId="0" shapeId="0">
      <text>
        <r>
          <rPr>
            <sz val="9"/>
            <color indexed="81"/>
            <rFont val="Tahoma"/>
            <family val="2"/>
          </rPr>
          <t>Use this to input any date at which you wish to see your estimated retirement benefits. This should be the first day of retirement, not the last day of service</t>
        </r>
      </text>
    </comment>
    <comment ref="N44" authorId="0" shapeId="0">
      <text>
        <r>
          <rPr>
            <sz val="9"/>
            <color indexed="81"/>
            <rFont val="Tahoma"/>
            <family val="2"/>
          </rPr>
          <t>See your annual benefit statement for this information. Also include any transferred-in CARE benefit here.</t>
        </r>
      </text>
    </comment>
    <comment ref="L46" authorId="0" shapeId="0">
      <text>
        <r>
          <rPr>
            <sz val="9"/>
            <color indexed="81"/>
            <rFont val="Tahoma"/>
            <family val="2"/>
          </rPr>
          <t>Please select "Part-time" if you currently work part time, if you have worked part time at some point during your career or if you have taken a career break at some point in your career</t>
        </r>
      </text>
    </comment>
    <comment ref="L48" authorId="0" shapeId="0">
      <text>
        <r>
          <rPr>
            <sz val="9"/>
            <color indexed="81"/>
            <rFont val="Tahoma"/>
            <family val="2"/>
          </rPr>
          <t xml:space="preserve">Please input the hours you currently work per week as a percentage of full-time hours. If you currently work full-time, please input 100%.
</t>
        </r>
      </text>
    </comment>
    <comment ref="L52" authorId="0" shapeId="0">
      <text>
        <r>
          <rPr>
            <sz val="9"/>
            <color indexed="81"/>
            <rFont val="Tahoma"/>
            <family val="2"/>
          </rPr>
          <t>Your annual benefit statement covers a year starting 1 April and ending 31 March</t>
        </r>
      </text>
    </comment>
    <comment ref="L54" authorId="0" shapeId="0">
      <text>
        <r>
          <rPr>
            <sz val="9"/>
            <color indexed="81"/>
            <rFont val="Tahoma"/>
            <family val="2"/>
          </rPr>
          <t>This is the service built up in your Final Salary scheme. 
Please include transferred-in service in this reckonable service.</t>
        </r>
      </text>
    </comment>
    <comment ref="L57" authorId="0" shapeId="0">
      <text>
        <r>
          <rPr>
            <sz val="9"/>
            <color indexed="81"/>
            <rFont val="Tahoma"/>
            <family val="2"/>
          </rPr>
          <t xml:space="preserve">If your career break ended after 31 March 2015, contact your scheme administrator
</t>
        </r>
      </text>
    </comment>
    <comment ref="E156" authorId="1" shapeId="0">
      <text>
        <r>
          <rPr>
            <b/>
            <sz val="9"/>
            <color indexed="81"/>
            <rFont val="Tahoma"/>
            <family val="2"/>
          </rPr>
          <t>mara:</t>
        </r>
        <r>
          <rPr>
            <sz val="9"/>
            <color indexed="81"/>
            <rFont val="Tahoma"/>
            <family val="2"/>
          </rPr>
          <t xml:space="preserve">
this date includes transfer in service.</t>
        </r>
      </text>
    </comment>
    <comment ref="C187" authorId="2" shapeId="0">
      <text>
        <r>
          <rPr>
            <b/>
            <sz val="9"/>
            <color indexed="81"/>
            <rFont val="Tahoma"/>
            <family val="2"/>
          </rPr>
          <t>Brian Allan:</t>
        </r>
        <r>
          <rPr>
            <sz val="9"/>
            <color indexed="81"/>
            <rFont val="Tahoma"/>
            <family val="2"/>
          </rPr>
          <t xml:space="preserve">
updated max to 65 to reflect Peter Spreadbury email 14Aug2012</t>
        </r>
      </text>
    </comment>
    <comment ref="C188" authorId="2" shapeId="0">
      <text>
        <r>
          <rPr>
            <b/>
            <sz val="9"/>
            <color indexed="81"/>
            <rFont val="Tahoma"/>
            <family val="2"/>
          </rPr>
          <t>Brian Allan:</t>
        </r>
        <r>
          <rPr>
            <sz val="9"/>
            <color indexed="81"/>
            <rFont val="Tahoma"/>
            <family val="2"/>
          </rPr>
          <t xml:space="preserve">
updated max to 65 to reflect Peter Spreadbury email 14Aug2012</t>
        </r>
      </text>
    </comment>
  </commentList>
</comments>
</file>

<file path=xl/comments2.xml><?xml version="1.0" encoding="utf-8"?>
<comments xmlns="http://schemas.openxmlformats.org/spreadsheetml/2006/main">
  <authors>
    <author>Michael Crabtree</author>
    <author>Ashara Peiris</author>
  </authors>
  <commentList>
    <comment ref="F23" authorId="0" shapeId="0">
      <text>
        <r>
          <rPr>
            <b/>
            <sz val="9"/>
            <color indexed="81"/>
            <rFont val="Tahoma"/>
            <family val="2"/>
          </rPr>
          <t>Michael Crabtree:</t>
        </r>
        <r>
          <rPr>
            <sz val="9"/>
            <color indexed="81"/>
            <rFont val="Tahoma"/>
            <family val="2"/>
          </rPr>
          <t xml:space="preserve">
Not used in calcs - just given for info and checking purposes</t>
        </r>
      </text>
    </comment>
    <comment ref="G77" authorId="1" shapeId="0">
      <text>
        <r>
          <rPr>
            <b/>
            <sz val="9"/>
            <color indexed="81"/>
            <rFont val="Tahoma"/>
            <family val="2"/>
          </rPr>
          <t>Ashara Peiris:</t>
        </r>
        <r>
          <rPr>
            <sz val="9"/>
            <color indexed="81"/>
            <rFont val="Tahoma"/>
            <family val="2"/>
          </rPr>
          <t xml:space="preserve">
Previous calculation had 1%</t>
        </r>
      </text>
    </comment>
  </commentList>
</comments>
</file>

<file path=xl/comments3.xml><?xml version="1.0" encoding="utf-8"?>
<comments xmlns="http://schemas.openxmlformats.org/spreadsheetml/2006/main">
  <authors>
    <author>Michael Crabtree</author>
    <author>Ashara Peiris</author>
  </authors>
  <commentList>
    <comment ref="D10" authorId="0" shapeId="0">
      <text>
        <r>
          <rPr>
            <b/>
            <sz val="9"/>
            <color indexed="81"/>
            <rFont val="Tahoma"/>
            <family val="2"/>
          </rPr>
          <t>Michael Crabtree:</t>
        </r>
        <r>
          <rPr>
            <sz val="9"/>
            <color indexed="81"/>
            <rFont val="Tahoma"/>
            <family val="2"/>
          </rPr>
          <t xml:space="preserve">
I put transfer in service from other schemes here but this could just as easily go in E18</t>
        </r>
      </text>
    </comment>
    <comment ref="D20" authorId="1" shapeId="0">
      <text>
        <r>
          <rPr>
            <b/>
            <sz val="9"/>
            <color indexed="81"/>
            <rFont val="Tahoma"/>
            <family val="2"/>
          </rPr>
          <t>Ashara Peiris:</t>
        </r>
        <r>
          <rPr>
            <sz val="9"/>
            <color indexed="81"/>
            <rFont val="Tahoma"/>
            <family val="2"/>
          </rPr>
          <t xml:space="preserve">
Should this be allowed to be negative? Perhaps change to max(…,0)</t>
        </r>
      </text>
    </comment>
    <comment ref="F23" authorId="1" shapeId="0">
      <text>
        <r>
          <rPr>
            <b/>
            <sz val="9"/>
            <color indexed="81"/>
            <rFont val="Tahoma"/>
            <family val="2"/>
          </rPr>
          <t>Ashara Peiris:</t>
        </r>
        <r>
          <rPr>
            <sz val="9"/>
            <color indexed="81"/>
            <rFont val="Tahoma"/>
            <family val="2"/>
          </rPr>
          <t xml:space="preserve">
Doesn't actually rely on whether PPS or NPPS</t>
        </r>
      </text>
    </comment>
    <comment ref="D32" authorId="1" shapeId="0">
      <text>
        <r>
          <rPr>
            <b/>
            <sz val="9"/>
            <color indexed="81"/>
            <rFont val="Tahoma"/>
            <family val="2"/>
          </rPr>
          <t>Ashara Peiris:</t>
        </r>
        <r>
          <rPr>
            <sz val="9"/>
            <color indexed="81"/>
            <rFont val="Tahoma"/>
            <family val="2"/>
          </rPr>
          <t xml:space="preserve">
If part time then service
= Past reck service + 
service to protection end date *PTP</t>
        </r>
      </text>
    </comment>
    <comment ref="D33" authorId="1" shapeId="0">
      <text>
        <r>
          <rPr>
            <b/>
            <sz val="9"/>
            <color indexed="81"/>
            <rFont val="Tahoma"/>
            <family val="2"/>
          </rPr>
          <t>Ashara Peiris:</t>
        </r>
        <r>
          <rPr>
            <sz val="9"/>
            <color indexed="81"/>
            <rFont val="Tahoma"/>
            <family val="2"/>
          </rPr>
          <t xml:space="preserve">
If part time then service
= Past reck service + 
service to DOR *PTP</t>
        </r>
      </text>
    </comment>
    <comment ref="F56" authorId="1" shapeId="0">
      <text>
        <r>
          <rPr>
            <b/>
            <sz val="9"/>
            <color indexed="81"/>
            <rFont val="Tahoma"/>
            <family val="2"/>
          </rPr>
          <t>Ashara Peiris:</t>
        </r>
        <r>
          <rPr>
            <sz val="9"/>
            <color indexed="81"/>
            <rFont val="Tahoma"/>
            <family val="2"/>
          </rPr>
          <t xml:space="preserve">
Doesn't actually rely on whether PPS or NPPS</t>
        </r>
      </text>
    </comment>
    <comment ref="D64" authorId="1" shapeId="0">
      <text>
        <r>
          <rPr>
            <b/>
            <sz val="9"/>
            <color indexed="81"/>
            <rFont val="Tahoma"/>
            <family val="2"/>
          </rPr>
          <t>Ashara Peiris:</t>
        </r>
        <r>
          <rPr>
            <sz val="9"/>
            <color indexed="81"/>
            <rFont val="Tahoma"/>
            <family val="2"/>
          </rPr>
          <t xml:space="preserve">
If part time then service
= Past reck service + 
service to protection end date *PTP</t>
        </r>
      </text>
    </comment>
    <comment ref="D65" authorId="1" shapeId="0">
      <text>
        <r>
          <rPr>
            <b/>
            <sz val="9"/>
            <color indexed="81"/>
            <rFont val="Tahoma"/>
            <family val="2"/>
          </rPr>
          <t>Ashara Peiris:</t>
        </r>
        <r>
          <rPr>
            <sz val="9"/>
            <color indexed="81"/>
            <rFont val="Tahoma"/>
            <family val="2"/>
          </rPr>
          <t xml:space="preserve">
If part time then service
= Past reck service + 
service to DOR *PTP</t>
        </r>
      </text>
    </comment>
  </commentList>
</comments>
</file>

<file path=xl/comments4.xml><?xml version="1.0" encoding="utf-8"?>
<comments xmlns="http://schemas.openxmlformats.org/spreadsheetml/2006/main">
  <authors>
    <author>Ashara Peiris</author>
    <author>michael rae</author>
  </authors>
  <commentList>
    <comment ref="D21" authorId="0" shapeId="0">
      <text>
        <r>
          <rPr>
            <b/>
            <sz val="9"/>
            <color indexed="81"/>
            <rFont val="Tahoma"/>
            <family val="2"/>
          </rPr>
          <t>Ashara Peiris:</t>
        </r>
        <r>
          <rPr>
            <sz val="9"/>
            <color indexed="81"/>
            <rFont val="Tahoma"/>
            <family val="2"/>
          </rPr>
          <t xml:space="preserve">
Note that this factor is either 2.25 or 0.25*Comm factor</t>
        </r>
      </text>
    </comment>
    <comment ref="J22" authorId="1" shapeId="0">
      <text>
        <r>
          <rPr>
            <b/>
            <sz val="9"/>
            <color indexed="81"/>
            <rFont val="Tahoma"/>
            <family val="2"/>
          </rPr>
          <t>michael rae:</t>
        </r>
        <r>
          <rPr>
            <sz val="9"/>
            <color indexed="81"/>
            <rFont val="Tahoma"/>
            <family val="2"/>
          </rPr>
          <t xml:space="preserve">
subtract .00001 in case yearfrac incorrectly returns an integral number of years for another date 
combination</t>
        </r>
      </text>
    </comment>
    <comment ref="D28" authorId="0" shapeId="0">
      <text>
        <r>
          <rPr>
            <b/>
            <sz val="9"/>
            <color indexed="81"/>
            <rFont val="Tahoma"/>
            <family val="2"/>
          </rPr>
          <t>Ashara Peiris:</t>
        </r>
        <r>
          <rPr>
            <sz val="9"/>
            <color indexed="81"/>
            <rFont val="Tahoma"/>
            <family val="2"/>
          </rPr>
          <t xml:space="preserve">
If NPPS will include the lump sum for this</t>
        </r>
      </text>
    </comment>
  </commentList>
</comments>
</file>

<file path=xl/sharedStrings.xml><?xml version="1.0" encoding="utf-8"?>
<sst xmlns="http://schemas.openxmlformats.org/spreadsheetml/2006/main" count="1169" uniqueCount="834">
  <si>
    <t>Version Control</t>
  </si>
  <si>
    <t>Version number</t>
  </si>
  <si>
    <t>Date</t>
  </si>
  <si>
    <t>Comments</t>
  </si>
  <si>
    <t>Sheet</t>
  </si>
  <si>
    <t>Description</t>
  </si>
  <si>
    <t>Checked by</t>
  </si>
  <si>
    <t>Internal or external documents based on this version</t>
  </si>
  <si>
    <t>Paper file</t>
  </si>
  <si>
    <t>eBis code</t>
  </si>
  <si>
    <t>Author or Editor</t>
  </si>
  <si>
    <t>Specification</t>
  </si>
  <si>
    <t>User instructions</t>
  </si>
  <si>
    <t>Explanation</t>
  </si>
  <si>
    <t>1_1</t>
  </si>
  <si>
    <t>External links checked?</t>
  </si>
  <si>
    <t>External links: Links from other workbooks to this workbook</t>
  </si>
  <si>
    <t>&gt; Enter hyperlinks to workbooks here</t>
  </si>
  <si>
    <t>&gt; If necessary, enter instructions on how other users should use or update this workbook here.  Include warnings in particular if the spreadsheet requires Goal Seek or Macros to be rerun if the any of the inputs are changed.</t>
  </si>
  <si>
    <t>Government Actuary's Department</t>
  </si>
  <si>
    <t>Cover</t>
  </si>
  <si>
    <t>Legend</t>
  </si>
  <si>
    <t>Black text</t>
  </si>
  <si>
    <t>Blue text</t>
  </si>
  <si>
    <t>Pink text</t>
  </si>
  <si>
    <t>Grey text</t>
  </si>
  <si>
    <t>Green text</t>
  </si>
  <si>
    <t>Red text</t>
  </si>
  <si>
    <t>Orange background</t>
  </si>
  <si>
    <t>Turquoise background</t>
  </si>
  <si>
    <t>Input data</t>
  </si>
  <si>
    <t>Links from another cell within this workbook</t>
  </si>
  <si>
    <t>Calculations</t>
  </si>
  <si>
    <t>Checks</t>
  </si>
  <si>
    <t>Linked upwards to other workbooks</t>
  </si>
  <si>
    <t>Quoted in external advice</t>
  </si>
  <si>
    <t>File pathname</t>
  </si>
  <si>
    <t>Assumptions</t>
  </si>
  <si>
    <t>Links from another (external) workbook</t>
  </si>
  <si>
    <t>&gt; Enter a brief description of what each sheet actually does here</t>
  </si>
  <si>
    <t>Material assumptions</t>
  </si>
  <si>
    <t>List of workbooks which link into this workbook (nb workbooks which this workbook links to can be viewed by selecting Data&gt;Edit Links):</t>
  </si>
  <si>
    <t xml:space="preserve">Security classification </t>
  </si>
  <si>
    <t>Descriptor</t>
  </si>
  <si>
    <t>UNCLASSIFIED</t>
  </si>
  <si>
    <t>PROTECT</t>
  </si>
  <si>
    <t>RESTRICTED</t>
  </si>
  <si>
    <t>CONFIDENTIAL</t>
  </si>
  <si>
    <t>&lt;No Descriptor&gt;</t>
  </si>
  <si>
    <t>COMMERCIAL in CONFIDENCE</t>
  </si>
  <si>
    <t>CONTRACTS</t>
  </si>
  <si>
    <t>MANAGEMENT</t>
  </si>
  <si>
    <t>PERSONAL</t>
  </si>
  <si>
    <t>POLICY</t>
  </si>
  <si>
    <t>SCHEME MANAGEMENT</t>
  </si>
  <si>
    <t>STAFF</t>
  </si>
  <si>
    <t>&gt; Enter a brief description of any material implicit assumptions used within the workbook (explicit assumptions can be identified by their pink colouring as below)</t>
  </si>
  <si>
    <t>K:\a2clients\Police Pensions\0140-00972 Home Office Police\Cost Ceiling\Pension estimator\[Pension calculator v0.01.xlsm]Version control</t>
  </si>
  <si>
    <t>Michael Crabtree</t>
  </si>
  <si>
    <t>Current schemes</t>
  </si>
  <si>
    <t>PPS</t>
  </si>
  <si>
    <t>NPPS</t>
  </si>
  <si>
    <t>Accrual rates</t>
  </si>
  <si>
    <t>CARE</t>
  </si>
  <si>
    <t>Lump sum (NPPS only)</t>
  </si>
  <si>
    <t>Early retirement factor (CARE only)</t>
  </si>
  <si>
    <t>Date of Birth</t>
  </si>
  <si>
    <t>Age at 1 Apr 2012</t>
  </si>
  <si>
    <t>Days of protection</t>
  </si>
  <si>
    <t>Age at end of protection</t>
  </si>
  <si>
    <t>Date of end of protection</t>
  </si>
  <si>
    <t>From</t>
  </si>
  <si>
    <t>To</t>
  </si>
  <si>
    <t>year</t>
  </si>
  <si>
    <t>month</t>
  </si>
  <si>
    <t>Age 45 taper</t>
  </si>
  <si>
    <t>years</t>
  </si>
  <si>
    <t>Service start date</t>
  </si>
  <si>
    <t>Yrs at 1 Apr 2012</t>
  </si>
  <si>
    <t>Yrs at end of protection</t>
  </si>
  <si>
    <t>Age 38 taper</t>
  </si>
  <si>
    <t>Yrs/Age at 1 Apr 2012</t>
  </si>
  <si>
    <t xml:space="preserve"> 37&amp;11 </t>
  </si>
  <si>
    <t xml:space="preserve"> 37&amp;10 </t>
  </si>
  <si>
    <t xml:space="preserve"> 37&amp;9 </t>
  </si>
  <si>
    <t xml:space="preserve"> 37&amp;8 </t>
  </si>
  <si>
    <t xml:space="preserve"> 37&amp;7 </t>
  </si>
  <si>
    <t xml:space="preserve"> 37&amp;6 </t>
  </si>
  <si>
    <t xml:space="preserve"> 37&amp;5 </t>
  </si>
  <si>
    <t xml:space="preserve"> 37&amp;4 </t>
  </si>
  <si>
    <t xml:space="preserve"> 37&amp;3 </t>
  </si>
  <si>
    <t xml:space="preserve"> 37&amp;2 </t>
  </si>
  <si>
    <t xml:space="preserve"> 37&amp;1 </t>
  </si>
  <si>
    <t xml:space="preserve"> 37&amp;0 </t>
  </si>
  <si>
    <t xml:space="preserve"> 36&amp;11 </t>
  </si>
  <si>
    <t xml:space="preserve"> 36&amp;10 </t>
  </si>
  <si>
    <t xml:space="preserve"> 36&amp;9 </t>
  </si>
  <si>
    <t xml:space="preserve"> 36&amp;8 </t>
  </si>
  <si>
    <t xml:space="preserve"> 36&amp;7 </t>
  </si>
  <si>
    <t xml:space="preserve"> 36&amp;6 </t>
  </si>
  <si>
    <t xml:space="preserve"> 36&amp;5 </t>
  </si>
  <si>
    <t xml:space="preserve"> 36&amp;4 </t>
  </si>
  <si>
    <t xml:space="preserve"> 36&amp;3 </t>
  </si>
  <si>
    <t xml:space="preserve"> 36&amp;2 </t>
  </si>
  <si>
    <t xml:space="preserve"> 36&amp;1 </t>
  </si>
  <si>
    <t xml:space="preserve"> 36&amp;0 </t>
  </si>
  <si>
    <t xml:space="preserve"> 35&amp;11 </t>
  </si>
  <si>
    <t xml:space="preserve"> 35&amp;10 </t>
  </si>
  <si>
    <t xml:space="preserve"> 35&amp;9 </t>
  </si>
  <si>
    <t xml:space="preserve"> 35&amp;8 </t>
  </si>
  <si>
    <t xml:space="preserve"> 35&amp;7 </t>
  </si>
  <si>
    <t xml:space="preserve"> 35&amp;6 </t>
  </si>
  <si>
    <t xml:space="preserve"> 35&amp;5 </t>
  </si>
  <si>
    <t xml:space="preserve"> 35&amp;4 </t>
  </si>
  <si>
    <t xml:space="preserve"> 35&amp;3 </t>
  </si>
  <si>
    <t xml:space="preserve"> 35&amp;2 </t>
  </si>
  <si>
    <t xml:space="preserve"> 35&amp;1 </t>
  </si>
  <si>
    <t xml:space="preserve"> 35&amp;0 </t>
  </si>
  <si>
    <t xml:space="preserve"> 34&amp;11 </t>
  </si>
  <si>
    <t xml:space="preserve"> 34&amp;10 </t>
  </si>
  <si>
    <t xml:space="preserve"> 34&amp;9 </t>
  </si>
  <si>
    <t xml:space="preserve"> 34&amp;8 </t>
  </si>
  <si>
    <t xml:space="preserve"> 34&amp;7 </t>
  </si>
  <si>
    <t xml:space="preserve"> 34&amp;6 </t>
  </si>
  <si>
    <t xml:space="preserve"> 34&amp;5 </t>
  </si>
  <si>
    <t xml:space="preserve"> 34&amp;4 </t>
  </si>
  <si>
    <t xml:space="preserve"> 34&amp;3 </t>
  </si>
  <si>
    <t xml:space="preserve"> 34&amp;2 </t>
  </si>
  <si>
    <t xml:space="preserve"> 34&amp;1 </t>
  </si>
  <si>
    <t xml:space="preserve"> 34&amp;0 </t>
  </si>
  <si>
    <t>19&amp;11</t>
  </si>
  <si>
    <t>19&amp;10</t>
  </si>
  <si>
    <t>19&amp;9</t>
  </si>
  <si>
    <t>19&amp;8</t>
  </si>
  <si>
    <t>19&amp;7</t>
  </si>
  <si>
    <t>19&amp;6</t>
  </si>
  <si>
    <t>19&amp;5</t>
  </si>
  <si>
    <t>19&amp;4</t>
  </si>
  <si>
    <t>19&amp;3</t>
  </si>
  <si>
    <t>19&amp;2</t>
  </si>
  <si>
    <t>19&amp;1</t>
  </si>
  <si>
    <t>19&amp;0</t>
  </si>
  <si>
    <t>18&amp;11</t>
  </si>
  <si>
    <t>18&amp;10</t>
  </si>
  <si>
    <t>18&amp;9</t>
  </si>
  <si>
    <t>18&amp;8</t>
  </si>
  <si>
    <t>18&amp;7</t>
  </si>
  <si>
    <t>18&amp;6</t>
  </si>
  <si>
    <t>18&amp;5</t>
  </si>
  <si>
    <t>18&amp;4</t>
  </si>
  <si>
    <t>18&amp;3</t>
  </si>
  <si>
    <t>18&amp;2</t>
  </si>
  <si>
    <t>18&amp;1</t>
  </si>
  <si>
    <t>18&amp;0</t>
  </si>
  <si>
    <t>17&amp;11</t>
  </si>
  <si>
    <t>17&amp;10</t>
  </si>
  <si>
    <t>17&amp;9</t>
  </si>
  <si>
    <t>17&amp;8</t>
  </si>
  <si>
    <t>17&amp;7</t>
  </si>
  <si>
    <t>17&amp;6</t>
  </si>
  <si>
    <t>17&amp;5</t>
  </si>
  <si>
    <t>17&amp;4</t>
  </si>
  <si>
    <t>17&amp;3</t>
  </si>
  <si>
    <t>17&amp;2</t>
  </si>
  <si>
    <t>17&amp;1</t>
  </si>
  <si>
    <t>17&amp;0</t>
  </si>
  <si>
    <t>16&amp;11</t>
  </si>
  <si>
    <t>16&amp;10</t>
  </si>
  <si>
    <t>16&amp;9</t>
  </si>
  <si>
    <t>16&amp;8</t>
  </si>
  <si>
    <t>16&amp;7</t>
  </si>
  <si>
    <t>16&amp;6</t>
  </si>
  <si>
    <t>16&amp;5</t>
  </si>
  <si>
    <t>16&amp;4</t>
  </si>
  <si>
    <t>16&amp;3</t>
  </si>
  <si>
    <t>16&amp;2</t>
  </si>
  <si>
    <t>16&amp;1</t>
  </si>
  <si>
    <t>16&amp;0</t>
  </si>
  <si>
    <t>Corner taper</t>
  </si>
  <si>
    <t>Source:</t>
  </si>
  <si>
    <t>\\Gad-a2\a2data\a2clients\Police Pensions\0140-00972 Home Office Police\Cost Ceiling\Tapering calcs - 4 years\Tapering to 4 years from 38 (as 45 taper) - sent to HO 24.7.12.pdf</t>
  </si>
  <si>
    <t>(Age 45 taper not shown but days of protection and protection end date exactly the same)</t>
  </si>
  <si>
    <t>Days in the year</t>
  </si>
  <si>
    <t>days</t>
  </si>
  <si>
    <t>CARE scheme start date</t>
  </si>
  <si>
    <t>months</t>
  </si>
  <si>
    <t>Protection</t>
  </si>
  <si>
    <t>Taper type</t>
  </si>
  <si>
    <t>SPA</t>
  </si>
  <si>
    <t>State pension age (CARE only)</t>
  </si>
  <si>
    <t>DoB</t>
  </si>
  <si>
    <t>Protection date</t>
  </si>
  <si>
    <t>Parameters</t>
  </si>
  <si>
    <t>Tapers</t>
  </si>
  <si>
    <t>PPS and NPPS calcs</t>
  </si>
  <si>
    <t>CARE calcs</t>
  </si>
  <si>
    <t>Taper size</t>
  </si>
  <si>
    <t>(i.e. length of age range for age taper AND service range for service taper)</t>
  </si>
  <si>
    <t>Protection end date</t>
  </si>
  <si>
    <t>Service 20 taper</t>
  </si>
  <si>
    <t>Current scheme</t>
  </si>
  <si>
    <t>Diagnostic summary sheet</t>
  </si>
  <si>
    <t>Chosen retirement date</t>
  </si>
  <si>
    <t>Total service until protection date</t>
  </si>
  <si>
    <t>K:\a2clients\Police Pensions\0140-00972 Home Office Police\Cost Ceiling\Pension estimator\[Pension calculator v0.02.xlsm]Version control</t>
  </si>
  <si>
    <t>Age at protection date</t>
  </si>
  <si>
    <t>Results used</t>
  </si>
  <si>
    <t>K:\a2clients\Police Pensions\0140-00972 Home Office Police\Cost Ceiling\Pension estimator\[Pension calculator v0.03.xlsm]Version control</t>
  </si>
  <si>
    <t>Service at protection date</t>
  </si>
  <si>
    <t>This aims to give an estimate of a police officer's pension at different retirement ages</t>
  </si>
  <si>
    <t>Brian Allan</t>
  </si>
  <si>
    <t>Comments on input output and first stage of PPS/NPPS calcs in my email of 16 Aug 2012 15:30</t>
  </si>
  <si>
    <t>Comments on whole calculator:
pension at retirement continuing in current scheme missing
CARE ERFs incorrect and formula I supplied for CARE does not work for deferred benefits at SPA.
Some tidying of the sheet</t>
  </si>
  <si>
    <t>Pension at retirement ignoring reform missing from output sheet
CARE  formula I supplied for CARE needs a correction which then allows simplification
More results needed on Summary sheet.</t>
  </si>
  <si>
    <t>Yes: Link in Parameters sheet correct</t>
  </si>
  <si>
    <t>K:\a2clients\Police Pensions\0140-00972 Home Office Police\Cost Ceiling\Pension estimator\[Pension calculator v0.04.xlsm]Version control</t>
  </si>
  <si>
    <t>Service</t>
  </si>
  <si>
    <t>Date of retirement</t>
  </si>
  <si>
    <t>Age at retirement</t>
  </si>
  <si>
    <t>Accrual rate</t>
  </si>
  <si>
    <t>Produced inputs / outputs sheet that will be visible to clients and set up calcs for tapering</t>
  </si>
  <si>
    <t>Created subsections for calculating service period and benefits in current and new schemes, noting need to separate them for those retiring before and after protection date, and made a start on producing summary sheet</t>
  </si>
  <si>
    <t>Produced further calcs to look at results if there was no reform and added deferred benefit calcs available at SPA for PPS members who retire before age 55</t>
  </si>
  <si>
    <t>Added results looking at benefits under no reform in outputs, made a correction to new scheme pension formula and put more information in the summary sheet</t>
  </si>
  <si>
    <t>Summary sheet has:
incorrect reference for expected retirement date of retirement and age at retirement
needs service to retirement for NO REFORM
Amended some labelling in PPS and NPPS Calcs</t>
  </si>
  <si>
    <t>K:\a2clients\Police Pensions\0140-00972 Home Office Police\Cost Ceiling\Pension estimator\[Pension calculator v0.05.xlsm]Version control</t>
  </si>
  <si>
    <t>Made further additions and checks to summary sheet in regards to the no reform results and amended cell references</t>
  </si>
  <si>
    <t>Checked and agreed</t>
  </si>
  <si>
    <t>K:\a2clients\Police Pensions\0140-00972 Home Office Police\Cost Ceiling\Pension estimator\[Pension calculator v0.06.xlsm]Version control</t>
  </si>
  <si>
    <t>Age</t>
  </si>
  <si>
    <t>\\Gad-a2\a2data\a2clients\Police Pensions\0140-00972 Home Office Police\Actuarial Factors\2011\transfers and divorce\PPS Non-IH ERFs v2.xlsm</t>
  </si>
  <si>
    <t>Late retirement factor (CARE only)</t>
  </si>
  <si>
    <t>Age related ERF / LRF from pension sharing factors</t>
  </si>
  <si>
    <t>Amended calcs for PPS pensions (to take account of double accrual and limit maximum), updated ERFs to be inputs instead of links and added LRFs for retirement beyond 60</t>
  </si>
  <si>
    <t>Brian Allan 
Sam Watts</t>
  </si>
  <si>
    <t>Max service not applied correctly in benefit calculations or summary accrual calc.
ERFs+LRFs not calculated geometrically (required as compounding) and LRFs not applied correctly. The ERF LRF should be rounded to a single common factor.</t>
  </si>
  <si>
    <t>\\Gad-a2\a2data\a2clients\Police Pensions\0140-00972 Home Office Police\Cost Ceiling\Pension estimator\Pension calculator v0.07.xlsm</t>
  </si>
  <si>
    <t>Mara</t>
  </si>
  <si>
    <t>Reasonableness of inputs - need validation entries to prevent silly entries</t>
  </si>
  <si>
    <t>DOB</t>
  </si>
  <si>
    <t>not allowed after 2015 minus 18</t>
  </si>
  <si>
    <t>DJS</t>
  </si>
  <si>
    <t>not allowed before age 18</t>
  </si>
  <si>
    <t>not allowed after 2015</t>
  </si>
  <si>
    <t>Current pen sal</t>
  </si>
  <si>
    <t>Min 23000, max 140000</t>
  </si>
  <si>
    <t>Ret age</t>
  </si>
  <si>
    <t>NPPS min 55, max 65</t>
  </si>
  <si>
    <t>PPS min when reach 30 years' PPS service, or 50-55 if get to 25 years total service then, o/w 55.  Max 65</t>
  </si>
  <si>
    <t>sensible versus the PPS closure date? i.e. can't be a post 6/4/2006 joiner in PPS</t>
  </si>
  <si>
    <t>Reckonable service granted for TVIN</t>
  </si>
  <si>
    <t>Check versus age at joining scheme and time prior to this but after age 16</t>
  </si>
  <si>
    <t>min</t>
  </si>
  <si>
    <t>max</t>
  </si>
  <si>
    <t>Retirement age</t>
  </si>
  <si>
    <t>reach 55 years</t>
  </si>
  <si>
    <t>reach 30 years' PPS service</t>
  </si>
  <si>
    <t>reach 25 years' PPS service</t>
  </si>
  <si>
    <t>reach 50 years</t>
  </si>
  <si>
    <t>Retirement date</t>
  </si>
  <si>
    <t xml:space="preserve"> min when reach 30 years' PPS service, or 50-55 if get to 25 years total service then, o/w 55.  Max 65</t>
  </si>
  <si>
    <t>Do not delete - calculator validation</t>
  </si>
  <si>
    <t>Age in</t>
  </si>
  <si>
    <t>Included validation, basically message boxes to warn when entries may look incorrect.</t>
  </si>
  <si>
    <t xml:space="preserve">• As asked the checks mostly sequence down the list of inputs, but I still want the tool to reject inputs for the case of someone joining the PPS after 6/4/2006. Can you experiment further with putting this into either or both of the DJS and choice of scheme inputs. At the moment the validation allows you to select PPS except when your DoB implies you would have been too young to join earlier than or at 6/4/2006.
• I like your date precise calculations, but I think C64 should have 25 not 22 in the formula
• Please include transfer in service in your calculations of min PPS retirement age.
</t>
  </si>
  <si>
    <t>Pension calculator v0.08.xlsm</t>
  </si>
  <si>
    <t xml:space="preserve">Mara </t>
  </si>
  <si>
    <t>Amended in accordance with Brian's comments.</t>
  </si>
  <si>
    <t>DJS adjusted for TVIN service</t>
  </si>
  <si>
    <t>Checked changes and made following change:
used the date function to adjust DJS for TV in service to determine range of possible retirement ages</t>
  </si>
  <si>
    <t>Deferred pension decreases (CARE only)</t>
  </si>
  <si>
    <t>If under age 55</t>
  </si>
  <si>
    <t>If aged 55 or above</t>
  </si>
  <si>
    <t>Age next birthday at notional commencement of pension contributions under 1987 Regulations</t>
  </si>
  <si>
    <t>Number of years' qualifying service completed immediately before the date on which the transfer election takes effect</t>
  </si>
  <si>
    <t>Periods with full spouse benefit</t>
  </si>
  <si>
    <t>25 and below</t>
  </si>
  <si>
    <t>35 and above</t>
  </si>
  <si>
    <t>20 or fewer</t>
  </si>
  <si>
    <t>Uplift in service applicable to members who were in PPS but then joined NPPS (assumed to be on DJS or shortly afterwards)</t>
  </si>
  <si>
    <t>Service uplift applicable?</t>
  </si>
  <si>
    <t>Uplift to apply</t>
  </si>
  <si>
    <t>Special case</t>
  </si>
  <si>
    <t>Maximum service (years)</t>
  </si>
  <si>
    <t>Changed ERF and LRF factors to be the same, amended accrual formula in summary to take account of maximum service and added an uplift applicable to NPPS members who joined before the NPPS scheme started</t>
  </si>
  <si>
    <t>Value to reference</t>
  </si>
  <si>
    <t>Checked.
Agree ERF/LRF, summary, PPS max service changes
PPS-&gt;NPPS transfer uplift calcs need to reflect transfer assumed on 6/4/2006, cap on service lookup, correct service lookup column</t>
  </si>
  <si>
    <t>i.e. applicable to NPPS members who have a DJS of earlier than the NPPS start date</t>
  </si>
  <si>
    <t>NPPS start date</t>
  </si>
  <si>
    <t>Service at NPPS start date</t>
  </si>
  <si>
    <t>Service between NPPS start date and protection date</t>
  </si>
  <si>
    <t>K:\a2clients\Police Pensions\0140-00972 Home Office Police\Cost Ceiling\Pension estimator\[Pension calculator v0.10.xlsm]Version control</t>
  </si>
  <si>
    <t>K:\a2clients\Police Pensions\0140-00972 Home Office Police\Cost Ceiling\Pension estimator\[Pension calculator v0.09.xlsm]Version control</t>
  </si>
  <si>
    <t>Age category</t>
  </si>
  <si>
    <t>55 and over</t>
  </si>
  <si>
    <t>Under 55</t>
  </si>
  <si>
    <t>Amended uplift formula to take account of NPPS start date for service period, removed circular reference and added a new calc for PPS members choosing to retire before age 55 who want new scheme benefits at 55</t>
  </si>
  <si>
    <t>K:\a2clients\Police Pensions\0140-00972 Home Office Police\Cost Ceiling\Pension estimator\[Pension calculator v0.11.xlsm]Version control</t>
  </si>
  <si>
    <t>Amended years used to apply ERF, added another derefferd pension case for those under 55 and updated summary</t>
  </si>
  <si>
    <t>Checked and agreed the PPS-&gt;NPPS changes.
However the deferred at 55 CARE pension introduced for the HO Q&amp;A doc
SW: use a geometric method for deferred revaluation ie (1/1.0225)^durn</t>
  </si>
  <si>
    <t>K:\a2clients\Police Pensions\0140-00972 Home Office Police\Cost Ceiling\Pension estimator\[Pension calculator v0.12.xlsm]Version control</t>
  </si>
  <si>
    <t>Amended case of those PPS members retiring at 55 who want new scheme benefits at SPA so that LRF is not applied and changed wording used in inputs and outputs as per SW's e-mail on 29/8/12</t>
  </si>
  <si>
    <t>What will you get when you retire?</t>
  </si>
  <si>
    <t>K:\a2clients\Police Pensions\0140-00972 Home Office Police\Cost Ceiling\Pension estimator\[Pension calculator v0.13.xlsm]Version control</t>
  </si>
  <si>
    <t>Added better wording to ? cells in inputs, unlocked inputs, fixed drop down box to not show NPPS twice, changed chosen retirement age to be an integer only, amended expected retirement age so it is greater than current age, inserted new SPA limits and put in an error message for negative results</t>
  </si>
  <si>
    <t>K:\a2clients\Police Pensions\0140-00972 Home Office Police\Cost Ceiling\Pension estimator\[Pension calculator v0.14.xlsm]Version control</t>
  </si>
  <si>
    <t>Rounded results to nearest £100, made sure those joining scheme after protection date don't get protection and added ERF/LRF factors to new scheme benefits for NPPS members</t>
  </si>
  <si>
    <t>Agree change to application of deferred revaluation.
New deferred new scheme benefits at SPA for retirement at 55 incorrect, should be deferred revals to SPA only, no ERF.</t>
  </si>
  <si>
    <t>Deferred revaluation in cell 'CARE calcs'!E54 should be to SPA not 60.
SW email changes faithfully applied</t>
  </si>
  <si>
    <t>SW ? Comments applied accurately
Current date not age should be displayed at the bottom of the input output
Other changes to left done correctly.
Noticed that ERF/LRF are not being applied for NPPS member CARE benefits</t>
  </si>
  <si>
    <t>Checked - one issue: logic for protection for joiners post 1/4/2012 allows the age 45 protection. 
Otherwise ok including fix requested for benefits at SPA for those retiring 55 in my v11 comment above</t>
  </si>
  <si>
    <t>\\Gad-a2\a2data\a2clients\Police Pensions\0140-00972 Home Office Police\Cost Ceiling\Pension estimator\Pension calculator v0.15.xlsm</t>
  </si>
  <si>
    <t>Mara Aleixo</t>
  </si>
  <si>
    <t>age next birthday</t>
  </si>
  <si>
    <t>Understanding the results (Notes and Assumptions)</t>
  </si>
  <si>
    <t>Important information - please read this before you start</t>
  </si>
  <si>
    <t>- Please read the notes below the results for further details and limitations.</t>
  </si>
  <si>
    <t>Amended the protection for members who joinned after 1/4/2012. Amended the results for retirement at age 60 to show as zero if the member has already reached their 60th birthday.Changed the validation to prevent the user entering a retirement age less than their current age.  Hide the formulae in the inputs and outputs spreadsheet. Inserted the caveats and updated the "inputs and outputs" format.</t>
  </si>
  <si>
    <t>\\GAD-A2\A2DATA\a2clients\Police Pensions\0140-00972 Home Office Police\Cost Ceiling\Pension estimator\Pension calculator v0.16.xls</t>
  </si>
  <si>
    <t>Changed some excel functions in order it works in excel 2003. Saved in excel 2003 format.</t>
  </si>
  <si>
    <t>Detailed notes (which explain some of the details of the calculations)</t>
  </si>
  <si>
    <t>Factor used for ERF</t>
  </si>
  <si>
    <t>Factor used for  LRF</t>
  </si>
  <si>
    <t>\\GAD-A2\A2DATA\a2clients\Police Pensions\0140-00972 Home Office Police\Cost Ceiling\Pension estimator\Pension calculator v0.17.xls</t>
  </si>
  <si>
    <t>Set up different early and late retirement factors. Amended the reduced pension calculations in order to consider diferent factors.</t>
  </si>
  <si>
    <t>Checked and Agreed.</t>
  </si>
  <si>
    <t>more info</t>
  </si>
  <si>
    <t>- The results shown are only estimates, based on your inputs and other assumptions.</t>
  </si>
  <si>
    <t>B: Your benefits</t>
  </si>
  <si>
    <t>\\GAD-A2\A2DATA\a2clients\Police Pensions\0140-00972 Home Office Police\Cost Ceiling\Pension estimator\Pension calculator v0.18.xls</t>
  </si>
  <si>
    <t>Matt Wood</t>
  </si>
  <si>
    <t>Changes to the notes. No changes to calcs.</t>
  </si>
  <si>
    <t>Please enter the following details about yourself</t>
  </si>
  <si>
    <t>1. Your date of birth (dd/mm/yyyy)</t>
  </si>
  <si>
    <t>Checked inputs outputs only. Spell check ok. Corrected date to 4/9/2012 and removed link reference</t>
  </si>
  <si>
    <t>A: Your details</t>
  </si>
  <si>
    <t>not allowed after 2015 minus 19</t>
  </si>
  <si>
    <t>not allowed after DJS minus 18 years</t>
  </si>
  <si>
    <t>combination of the above</t>
  </si>
  <si>
    <t>Dob not before 65 years ago</t>
  </si>
  <si>
    <t>Including additional validation and changes to note requested by Sara Alderman (HO) 3.9.12. 
Changes are to 'Inputs and Outputs'  and 'Cover' only</t>
  </si>
  <si>
    <t>\\GAD-A2\A2DATA\a2clients\Police Pensions\0140-00972 Home Office Police\Cost Ceiling\Pension estimator\Pension calculator v0.19.xls</t>
  </si>
  <si>
    <t>K:\a2clients\Police Pensions\0140-00972 Home Office Police\Cost Ceiling\Pension estimator\[Pension calculator v0.20.xls]Version control</t>
  </si>
  <si>
    <t>Adjusted DJS</t>
  </si>
  <si>
    <t>Amendment protection calc to include TVin service for those get service taper by adjusting DJS, made some spelling / grammar corrections and put a ceiling of 65 on earliest age benefits can be taken</t>
  </si>
  <si>
    <t>K:\a2clients\Police Pensions\0140-00972 Home Office Police\Cost Ceiling\Pension estimator\[Pension calculator v0.21.xls]Version control</t>
  </si>
  <si>
    <t>See Matts email of 3/9/2012 at 15:48</t>
  </si>
  <si>
    <t>SW</t>
  </si>
  <si>
    <t>K:\a2clients\Police Pensions\0140-00972 Home Office Police\Cost Ceiling\Pension estimator\[Pension calculator v0.22.xls]Version control</t>
  </si>
  <si>
    <t>Full</t>
  </si>
  <si>
    <t>Tapered</t>
  </si>
  <si>
    <t>None</t>
  </si>
  <si>
    <t>Protection type</t>
  </si>
  <si>
    <t>Text to display</t>
  </si>
  <si>
    <t>years &amp; months</t>
  </si>
  <si>
    <t>Made amendment to corner tapering protection date calc to make it more precise and added protection message as output</t>
  </si>
  <si>
    <t>Checked - some formatting/text changes needed
the transferees PPS-&gt;NPPS protection status never uses DJS as these members are necessarily in the NPPS.</t>
  </si>
  <si>
    <t>K:\a2clients\Police Pensions\0140-00972 Home Office Police\Cost Ceiling\Pension estimator\[Pension calculator v0.23.xls]Version control</t>
  </si>
  <si>
    <t>Made some cell modifications and reworded protection messages</t>
  </si>
  <si>
    <t>Checked changes and however testing has identified a case which should be in the corner taper which are classed unprotected (PPS DOB: 01/11/1975 and scheme start date: 01/09/1994 no TVIN) - and vice versa (PPS DOB: 12/10/75 and start scheme: 12/09/94 no TVIN)</t>
  </si>
  <si>
    <t>K:\a2clients\Police Pensions\0140-00972 Home Office Police\Cost Ceiling\Pension estimator\[Pension calculator v0.24.xls]Version control</t>
  </si>
  <si>
    <t>Amended corner tapering calcs, changed message so as not to confuse readers and removed unnecessary cells</t>
  </si>
  <si>
    <t>Plus</t>
  </si>
  <si>
    <t>Amended output comments for SW email 28/9/2012 to Peter Spreadbury re MP comments (emphasis PPS LS by commutation and old and new benefits cumulative)
And other general SW comments of 28/09/2012 10:59</t>
  </si>
  <si>
    <r>
      <t xml:space="preserve">BA discussion today noted that the protection calcs for PPS-&gt;NPPS switchers will be looking up DJS rather than the adjusted DJS.  We should correct this if there is another release (and perhaps in any case) </t>
    </r>
    <r>
      <rPr>
        <sz val="10"/>
        <color indexed="40"/>
        <rFont val="Arial"/>
        <family val="2"/>
      </rPr>
      <t xml:space="preserve"> [SW] This comment is rubbish - there is no service taper for NPPS members.  No amends needed.</t>
    </r>
  </si>
  <si>
    <t>Sam Watts</t>
  </si>
  <si>
    <t>n/a</t>
  </si>
  <si>
    <t>Added "N/A" to F44 of PPS and NPPS calcs tab</t>
  </si>
  <si>
    <t>Checked and amended B47 in 'Inputs…' to reflect 2015 scheme LS always by commutation only</t>
  </si>
  <si>
    <t>K:\a2clients\Police Pensions\0140-00972 Home Office Police\Cost Ceiling\Pension estimator\[Pension calculator v0.25.xls]Version control</t>
  </si>
  <si>
    <t>Amended protection message, corrected bug for members for might choose retirement under 55 and switch from PPS to NPPS and made alignments in input boxes consistent</t>
  </si>
  <si>
    <t>Full-time</t>
  </si>
  <si>
    <t>Part-time</t>
  </si>
  <si>
    <t>Pension calculator v0.26.xls</t>
  </si>
  <si>
    <t>Dipak Hirani</t>
  </si>
  <si>
    <r>
      <t>Inputs and outputs</t>
    </r>
    <r>
      <rPr>
        <sz val="10"/>
        <rFont val="Arial"/>
        <family val="2"/>
      </rPr>
      <t xml:space="preserve"> - Section A now contains additional input detail sections 7-10, which are required for part time calculations
Formulae in rows 57, 58 have been amended to apply part-time proportion (I36) if member has selected part-time for input 7
Cell C157 contains the calculation for part-time factor
Formulae in rows 54, 55 have been amended to apply part-time factor (C157) if member has selected part-time for input 7</t>
    </r>
  </si>
  <si>
    <t>Table has been created in cells C155-E158 to create part-time factors dependent on retirement age
Formulae in rows 54, 55 have been amended to take account of this new table</t>
  </si>
  <si>
    <t>Louise Fletcher</t>
  </si>
  <si>
    <t>Pension calculator v0.27.xls</t>
  </si>
  <si>
    <t>Formatting changes</t>
  </si>
  <si>
    <t>Service at the benefit statement date on a full time basis</t>
  </si>
  <si>
    <t>Reckonable service for part time member cannot be greater than their full time equivalent service</t>
  </si>
  <si>
    <t>Benefit statement date cannot be greater than today's date</t>
  </si>
  <si>
    <t>Today</t>
  </si>
  <si>
    <t>Dave J</t>
  </si>
  <si>
    <t>Some slight changes needed to main interface. See printout for more details.</t>
  </si>
  <si>
    <t>\\Gad-a2\a2data\a2clients\Police Pensions\0140-00972 Home Office Police\Cost Ceiling\Pension estimator\[Pension calculator v0.28.xls]Version control</t>
  </si>
  <si>
    <t>If you have selected 'Part-time', please fill in the section below</t>
  </si>
  <si>
    <t>Added comment to 'employment status' to cover members who have worked part time in the past. Added new protection to 'current part time proportion'. Added commentary to part time inputs, re-worded the explanation of part time treatment.</t>
  </si>
  <si>
    <t>Pension calculator v0.29.xls</t>
  </si>
  <si>
    <t>maximum pension</t>
  </si>
  <si>
    <t>Maximum lump sum</t>
  </si>
  <si>
    <t>Original calculations</t>
  </si>
  <si>
    <t>Happy with these changes to the calculator</t>
  </si>
  <si>
    <t>Removed service cap from calculations, instead applied a cap to pension estimate output on the 'inputs and output' tab. This is so part time benefits aren't capped at a part time ratio</t>
  </si>
  <si>
    <t>Pension calculator v0.30.xls</t>
  </si>
  <si>
    <t>Where part time indicator has been selected, the service uplift has been removed. Maximum pension and lump sum amounts have been rounded.</t>
  </si>
  <si>
    <t xml:space="preserve">Happy with changes. Added 'more info' boxes for PPS-&gt;NPPS members with part time and transferred in service. </t>
  </si>
  <si>
    <t>\\Gad-a2\a2data\a2clients\Police Pensions\0140-00972 Home Office Police\Cost Ceiling\Pension estimator\[Pension calculator v0.31.xls]Version control</t>
  </si>
  <si>
    <t>Amended comments for transferred in service.</t>
  </si>
  <si>
    <t>CARE past service pension</t>
  </si>
  <si>
    <t>CARE future service pension</t>
  </si>
  <si>
    <t>Current Date</t>
  </si>
  <si>
    <t>Start Date of Year</t>
  </si>
  <si>
    <t>End Date of Year</t>
  </si>
  <si>
    <t>Accrued CARE benefit</t>
  </si>
  <si>
    <t>Revaluation Rate - CPI + 1.25%</t>
  </si>
  <si>
    <t>CPI (%)</t>
  </si>
  <si>
    <t>v0.1</t>
  </si>
  <si>
    <t>Pension calculator Updated v0.1.xls</t>
  </si>
  <si>
    <t>Ashara Peiris</t>
  </si>
  <si>
    <t>Past Service CARE Calcs</t>
  </si>
  <si>
    <t>&gt; Enter worksheet title here</t>
  </si>
  <si>
    <t>Pre 2015 Pension</t>
  </si>
  <si>
    <t>Lump Sum Commutation</t>
  </si>
  <si>
    <t>Max Lump Sum</t>
  </si>
  <si>
    <t>L:\FPT Clients\Police\Scotland\Factors\2016\1987 Scheme Commutation</t>
  </si>
  <si>
    <t>Years</t>
  </si>
  <si>
    <t>Complete months</t>
  </si>
  <si>
    <t>Exact</t>
  </si>
  <si>
    <t>Max Lump Sum Factor</t>
  </si>
  <si>
    <t>Age in years and completed months on day pension commences</t>
  </si>
  <si>
    <t>Below 48</t>
  </si>
  <si>
    <t>Age at DPC</t>
  </si>
  <si>
    <t>06 Scheme Inverse Commutation Figures</t>
  </si>
  <si>
    <t>CARE scheme Commutation Factor</t>
  </si>
  <si>
    <t>..\..\Factors\2014-15\Inverse commutation factors\Review 2025\Guidance\Final 30.03.15\Scottish Police Pension Schemes 2006 Inverse Commutation 30.03.15.xlsx</t>
  </si>
  <si>
    <r>
      <t xml:space="preserve">Inputs and outputs 
</t>
    </r>
    <r>
      <rPr>
        <sz val="10"/>
        <rFont val="Arial"/>
        <family val="2"/>
      </rPr>
      <t xml:space="preserve">- Added in question 11 giving the total accrued CARE benefit for each of the past scheme years
- Added in changes to outputs
- Amended cells H154:L155 by allowing it pull through commutable amounts
</t>
    </r>
    <r>
      <rPr>
        <b/>
        <sz val="10"/>
        <rFont val="Arial"/>
        <family val="2"/>
      </rPr>
      <t xml:space="preserve">Parameters </t>
    </r>
    <r>
      <rPr>
        <sz val="10"/>
        <rFont val="Arial"/>
        <family val="2"/>
      </rPr>
      <t xml:space="preserve">- Added in future CARE revaluation G74, but not sure of actual value to use here
</t>
    </r>
    <r>
      <rPr>
        <b/>
        <sz val="10"/>
        <rFont val="Arial"/>
        <family val="2"/>
      </rPr>
      <t xml:space="preserve">Past Service CARE Calcs </t>
    </r>
    <r>
      <rPr>
        <sz val="10"/>
        <rFont val="Arial"/>
        <family val="2"/>
      </rPr>
      <t xml:space="preserve">- Added tab which revalues the past service CARE pension to the start of the current scheme year
</t>
    </r>
    <r>
      <rPr>
        <b/>
        <sz val="10"/>
        <rFont val="Arial"/>
        <family val="2"/>
      </rPr>
      <t xml:space="preserve">CARE Calcs </t>
    </r>
    <r>
      <rPr>
        <sz val="10"/>
        <rFont val="Arial"/>
        <family val="2"/>
      </rPr>
      <t xml:space="preserve">- Added row 27, 35, 43 and 56 which pulls through the past service CARE pension. This pension is added onto the future service CARE pension (which is unchanged from the previous calculator's CARE pension)
</t>
    </r>
    <r>
      <rPr>
        <b/>
        <sz val="10"/>
        <rFont val="Arial"/>
        <family val="2"/>
      </rPr>
      <t>Lump Sum</t>
    </r>
    <r>
      <rPr>
        <sz val="10"/>
        <rFont val="Arial"/>
        <family val="2"/>
      </rPr>
      <t xml:space="preserve"> - calculates the lump sums and maximum amount commutable</t>
    </r>
  </si>
  <si>
    <t>CPI</t>
  </si>
  <si>
    <t>mjr:ok</t>
  </si>
  <si>
    <t>mjr: check this floor on cpi</t>
  </si>
  <si>
    <t>MRae</t>
  </si>
  <si>
    <t>mjr: this is salary increases minus cpi</t>
  </si>
  <si>
    <t>Parameters: changed to add a cpi assumption and a salary increase assumption. CARE calc:check if the ABS accrued CARE already includes revaluation as at the start of the new scheme year. Check if negative cpi is allowed in the CARE active revaluation (I think it is provided the final rate is &gt;= 0).CARE Csalcs - see comments, values have to be in current salary terms. so discounting at salary growth is to be added.</t>
  </si>
  <si>
    <t>Reckonable service</t>
  </si>
  <si>
    <t>Voluntary retirement age</t>
  </si>
  <si>
    <t>Inspector</t>
  </si>
  <si>
    <t>Constable</t>
  </si>
  <si>
    <t>Sergeant</t>
  </si>
  <si>
    <t>Other</t>
  </si>
  <si>
    <t>Ranks</t>
  </si>
  <si>
    <t>VRA</t>
  </si>
  <si>
    <t>Max Commutation</t>
  </si>
  <si>
    <t>Pre 2015</t>
  </si>
  <si>
    <t>Post 2015</t>
  </si>
  <si>
    <t>Commutation Factor</t>
  </si>
  <si>
    <t>Pre-Commutation Pension</t>
  </si>
  <si>
    <t>Post Commutation Pension</t>
  </si>
  <si>
    <t>Pre Commutation Pension</t>
  </si>
  <si>
    <t>Basis 1</t>
  </si>
  <si>
    <t>Basis 2</t>
  </si>
  <si>
    <t>Basis 3</t>
  </si>
  <si>
    <t>CPI + 0%</t>
  </si>
  <si>
    <t>CPI + 1%</t>
  </si>
  <si>
    <t>CPI + 2%</t>
  </si>
  <si>
    <t>Days of Protection</t>
  </si>
  <si>
    <t>Service Period Calcs</t>
  </si>
  <si>
    <t>Pre-2015 Calcs</t>
  </si>
  <si>
    <t>Service for Member</t>
  </si>
  <si>
    <t>Corner Tapering Calcs</t>
  </si>
  <si>
    <t>Current Salary</t>
  </si>
  <si>
    <t>Salary Calcs</t>
  </si>
  <si>
    <t>Projected Salary</t>
  </si>
  <si>
    <t>Discounted Project Salary</t>
  </si>
  <si>
    <t>No. Months</t>
  </si>
  <si>
    <t>Pre-2015 Schemes Service</t>
  </si>
  <si>
    <t>Retiring Without Any Scheme Reform</t>
  </si>
  <si>
    <t>Retiring Before Protection Ends Or Full Protection</t>
  </si>
  <si>
    <t>Retiring On Or After Protection Ends</t>
  </si>
  <si>
    <t>Retirement at</t>
  </si>
  <si>
    <t>Chosen retirement</t>
  </si>
  <si>
    <t>Post 2015 service at:</t>
  </si>
  <si>
    <t>Maximum Amount Commutable</t>
  </si>
  <si>
    <t>v0.5</t>
  </si>
  <si>
    <t>Pension calculator Updated v0.5.xls</t>
  </si>
  <si>
    <r>
      <t xml:space="preserve">Inputs and outputs
</t>
    </r>
    <r>
      <rPr>
        <sz val="10"/>
        <rFont val="Arial"/>
        <family val="2"/>
      </rPr>
      <t xml:space="preserve">- Added question 4 on rank
- Changed way that the outputs are presented, by offering three basis choices. Formulae in these are based on the previous ones, but there have been substantial changes
- Changed cells B138 and B139 to 48 and 65
- Amended formulae in cells C184 to 186
- Removed area below which had projection of results
- Added in ranks and the associated VRAs
</t>
    </r>
    <r>
      <rPr>
        <b/>
        <sz val="10"/>
        <rFont val="Arial"/>
        <family val="2"/>
      </rPr>
      <t xml:space="preserve">Parameters
</t>
    </r>
    <r>
      <rPr>
        <sz val="10"/>
        <rFont val="Arial"/>
        <family val="2"/>
      </rPr>
      <t xml:space="preserve">- Added in CPI assumptions and basis assumptions. If these need to be changed, make the change here.
</t>
    </r>
    <r>
      <rPr>
        <b/>
        <sz val="10"/>
        <rFont val="Arial"/>
        <family val="2"/>
      </rPr>
      <t xml:space="preserve">PPS and NPPS Calcs
</t>
    </r>
    <r>
      <rPr>
        <sz val="10"/>
        <rFont val="Arial"/>
        <family val="2"/>
      </rPr>
      <t xml:space="preserve">- Changed way that the calculations are laid out. Removed calculations for different ages and added in calculations for each of the separate bases
</t>
    </r>
    <r>
      <rPr>
        <b/>
        <sz val="10"/>
        <rFont val="Arial"/>
        <family val="2"/>
      </rPr>
      <t xml:space="preserve">Past service care calcs
</t>
    </r>
    <r>
      <rPr>
        <sz val="10"/>
        <rFont val="Arial"/>
        <family val="2"/>
      </rPr>
      <t xml:space="preserve">- Re-arranged tab and made minor formulae changes to row 16
</t>
    </r>
    <r>
      <rPr>
        <b/>
        <sz val="10"/>
        <rFont val="Arial"/>
        <family val="2"/>
      </rPr>
      <t xml:space="preserve">CARE calcs
</t>
    </r>
    <r>
      <rPr>
        <sz val="10"/>
        <rFont val="Arial"/>
        <family val="2"/>
      </rPr>
      <t xml:space="preserve">- Changed layout of tab
- Made tab only for one retirement age (and SPA for deferred benefits)
- Amended formule for the past service and future service pensions (to account for discounting of CPI)
</t>
    </r>
    <r>
      <rPr>
        <b/>
        <sz val="10"/>
        <rFont val="Arial"/>
        <family val="2"/>
      </rPr>
      <t xml:space="preserve">Lump sum
</t>
    </r>
    <r>
      <rPr>
        <sz val="10"/>
        <rFont val="Arial"/>
        <family val="2"/>
      </rPr>
      <t xml:space="preserve">- Amended tab layout
- Removed different ages and added three bases
- Changed formulae for pension and lump sums
- Updated commutation factors and max lump sum factors
</t>
    </r>
    <r>
      <rPr>
        <b/>
        <sz val="10"/>
        <rFont val="Arial"/>
        <family val="2"/>
      </rPr>
      <t xml:space="preserve">Summary
</t>
    </r>
    <r>
      <rPr>
        <sz val="10"/>
        <rFont val="Arial"/>
        <family val="2"/>
      </rPr>
      <t>- Amended tab layout and setup for three bases</t>
    </r>
  </si>
  <si>
    <t>1 April 2015</t>
  </si>
  <si>
    <t>CARE factor</t>
  </si>
  <si>
    <t>salary</t>
  </si>
  <si>
    <t>CARE Revaluation  CPI + 1.25%</t>
  </si>
  <si>
    <t>mjr ok</t>
  </si>
  <si>
    <t>Max Commuted</t>
  </si>
  <si>
    <t>mjr: ok</t>
  </si>
  <si>
    <t>mjr: ok, these are already discounted for cpi.</t>
  </si>
  <si>
    <t>Post 2015 at SPA</t>
  </si>
  <si>
    <t>Pre-2015 Calcs Used And Results</t>
  </si>
  <si>
    <t>Chosen ret age</t>
  </si>
  <si>
    <t>v0.6</t>
  </si>
  <si>
    <t>Pension calculator Updated v0.6.xls</t>
  </si>
  <si>
    <t>Michael Rae</t>
  </si>
  <si>
    <r>
      <t xml:space="preserve">Inputs and outputs
</t>
    </r>
    <r>
      <rPr>
        <sz val="10"/>
        <rFont val="Arial"/>
        <family val="2"/>
      </rPr>
      <t xml:space="preserve">- Made part time section disappear if full time
- changed formulae in benefits to pick up different numbers
</t>
    </r>
    <r>
      <rPr>
        <b/>
        <sz val="10"/>
        <rFont val="Arial"/>
        <family val="2"/>
      </rPr>
      <t xml:space="preserve">Parameters
</t>
    </r>
    <r>
      <rPr>
        <sz val="10"/>
        <rFont val="Arial"/>
        <family val="2"/>
      </rPr>
      <t xml:space="preserve">- Changed base CPI to 2%
</t>
    </r>
    <r>
      <rPr>
        <b/>
        <sz val="10"/>
        <rFont val="Arial"/>
        <family val="2"/>
      </rPr>
      <t xml:space="preserve">CARE calcs
</t>
    </r>
    <r>
      <rPr>
        <sz val="10"/>
        <rFont val="Arial"/>
        <family val="2"/>
      </rPr>
      <t>- updated calcs to use three different bases</t>
    </r>
  </si>
  <si>
    <t>v0.7</t>
  </si>
  <si>
    <t>Pension calculator Updated v0.7.xls</t>
  </si>
  <si>
    <t>N/A</t>
  </si>
  <si>
    <t>negative if joined after 06 date, ok</t>
  </si>
  <si>
    <r>
      <t xml:space="preserve">Inputs and outputs
</t>
    </r>
    <r>
      <rPr>
        <sz val="10"/>
        <rFont val="Arial"/>
        <family val="2"/>
      </rPr>
      <t xml:space="preserve">- Made DJS question second one and made scheme question third
- changed data validation on the scheme range
- changed formulae in cells B125:126 to show CARE, PPS or NPPS where relevant
- added in lump sums for deferred pension
- added in conditional formatting on outputs and inputs
</t>
    </r>
    <r>
      <rPr>
        <b/>
        <sz val="10"/>
        <rFont val="Arial"/>
        <family val="2"/>
      </rPr>
      <t xml:space="preserve">PPS and NPPS calcs
</t>
    </r>
    <r>
      <rPr>
        <sz val="10"/>
        <rFont val="Arial"/>
        <family val="2"/>
      </rPr>
      <t xml:space="preserve">- changed rows 31:33 and 36:53 to account for CARE only members
</t>
    </r>
    <r>
      <rPr>
        <b/>
        <sz val="10"/>
        <rFont val="Arial"/>
        <family val="2"/>
      </rPr>
      <t xml:space="preserve">CARE calcs
</t>
    </r>
    <r>
      <rPr>
        <sz val="10"/>
        <rFont val="Arial"/>
        <family val="2"/>
      </rPr>
      <t xml:space="preserve">- changed care factor in D8
- updated formulae in rows 18, 19, 24 and 25
</t>
    </r>
    <r>
      <rPr>
        <b/>
        <sz val="10"/>
        <rFont val="Arial"/>
        <family val="2"/>
      </rPr>
      <t xml:space="preserve">Lump sum
</t>
    </r>
    <r>
      <rPr>
        <sz val="10"/>
        <rFont val="Arial"/>
        <family val="2"/>
      </rPr>
      <t xml:space="preserve">- updated rows 26 to 33, so that they pull through the correct pension and lump sums
</t>
    </r>
    <r>
      <rPr>
        <b/>
        <sz val="10"/>
        <rFont val="Arial"/>
        <family val="2"/>
      </rPr>
      <t xml:space="preserve">Summary
</t>
    </r>
    <r>
      <rPr>
        <sz val="10"/>
        <rFont val="Arial"/>
        <family val="2"/>
      </rPr>
      <t>- added in section on pension deferred to SPA</t>
    </r>
  </si>
  <si>
    <t>Corrected the discounting period used throughout to allow for the final fraction as well as the integral years.</t>
  </si>
  <si>
    <t>Amended the future CARE accumulation present value to use the factor (1+s)/(1+revaluation), and to change the discounting from salary to cpi</t>
  </si>
  <si>
    <t>Added the CARE projection on the mid and high salary growth bases</t>
  </si>
  <si>
    <t>Started to amend the results to include lump sum when we defer the CARE benfits to SPA. This requires further work to complete.</t>
  </si>
  <si>
    <t>Note the deferred benefits after dicounting are the same as the benefits at the date of withdrawal because the deferred revaluation rate is simply cpi. I decided to include as a separate calculation to allow for this to change in future.</t>
  </si>
  <si>
    <t>Removed the comments about transition date from the results screen. This is only of interest totapered members who have still to transfer to CARE.</t>
  </si>
  <si>
    <t>Retirement to SPA</t>
  </si>
  <si>
    <t>Post 2015 pension results</t>
  </si>
  <si>
    <t>Service to Retirement</t>
  </si>
  <si>
    <t>v0.8</t>
  </si>
  <si>
    <t>Pension calculator Updated v0.8.xls</t>
  </si>
  <si>
    <t>Discount factor (1+s)</t>
  </si>
  <si>
    <t>Protection Status</t>
  </si>
  <si>
    <t>Protection End Date</t>
  </si>
  <si>
    <r>
      <t xml:space="preserve">Inputs and outputs
</t>
    </r>
    <r>
      <rPr>
        <sz val="10"/>
        <rFont val="Arial"/>
        <family val="2"/>
      </rPr>
      <t xml:space="preserve">- amended rows 60:71 by making the deferred numbers appear if the retirement age is under 55 and the non-deferred numbers appear if the retirement age is &gt;=55
- added conditional formatting so that 2015 scheme outputs disappear if member is not eligible for them (i.e. don't enter care scheme due to protection)
</t>
    </r>
    <r>
      <rPr>
        <b/>
        <sz val="10"/>
        <rFont val="Arial"/>
        <family val="2"/>
      </rPr>
      <t xml:space="preserve">PPS and NPPS Calcs
</t>
    </r>
    <r>
      <rPr>
        <sz val="10"/>
        <rFont val="Arial"/>
        <family val="2"/>
      </rPr>
      <t xml:space="preserve">- added in service to retirement (row 34) and amended formulae in rows 37:39 so that it uses this number to project the salary
- deleted no reform calcs
- capped pre 2015 scheme service (row 33) at 30 years for PPS and 35 years for NPPS
- capped retiring without any scheme reform (row 35) at 30 years for PPS and 35 years for NPPS
</t>
    </r>
    <r>
      <rPr>
        <b/>
        <sz val="10"/>
        <rFont val="Arial"/>
        <family val="2"/>
      </rPr>
      <t xml:space="preserve">CARE calcs
</t>
    </r>
    <r>
      <rPr>
        <sz val="10"/>
        <rFont val="Arial"/>
        <family val="2"/>
      </rPr>
      <t xml:space="preserve">-  the deferred until SPA section changed to account for deferred period
- changed formulae for the CARE future service pension in rows 22, 30 and 31
- added in protection status and protection end date (rows 6 and 7) and use these in setting the amount of post 15 service to chosen retirement and SPA (D17 and D18)
- added in if condition in case post 15 service is 0 to rows 19 and 27
</t>
    </r>
    <r>
      <rPr>
        <b/>
        <sz val="10"/>
        <rFont val="Arial"/>
        <family val="2"/>
      </rPr>
      <t xml:space="preserve">Lump sum
</t>
    </r>
    <r>
      <rPr>
        <sz val="10"/>
        <rFont val="Arial"/>
        <family val="2"/>
      </rPr>
      <t xml:space="preserve">- amended formulae in rows 26:33. Sets chosen retirement numbers to 0 if chosen retirement age &lt;55 and sets deferred numbers to 0 if ret age &gt;=55
-amended formula in D12 so that it calculates the reckonable service if the member is full-time, and pulls it from the inputs tab if it is part-time
</t>
    </r>
    <r>
      <rPr>
        <b/>
        <sz val="10"/>
        <rFont val="Arial"/>
        <family val="2"/>
      </rPr>
      <t xml:space="preserve">Summary
</t>
    </r>
    <r>
      <rPr>
        <sz val="10"/>
        <rFont val="Arial"/>
        <family val="2"/>
      </rPr>
      <t>- added additional table which chooses the either the deferred or non-deferred pension amounts based on their chosen retirement age
- deleted no reform results</t>
    </r>
  </si>
  <si>
    <t>v0.9</t>
  </si>
  <si>
    <t>Pension calculator Updated v0.9.xls</t>
  </si>
  <si>
    <t>Exact Age (at start of scheme year)</t>
  </si>
  <si>
    <t>Age Last Birthday (at start of scheme year)</t>
  </si>
  <si>
    <t>4/11 mjr: agree</t>
  </si>
  <si>
    <t>4/11 mjr: agree this starts from later of end of protection and date joined scheme.</t>
  </si>
  <si>
    <t>checked inputs and outputs changes - ok. Protected members still showing 2015 scheme pension of zero, so ok. Not conditional formatted. PPS and NPPS Calcs: Service to retirement ok. Agree salary caps, as given in valuation report benefit summary. CARE. Deferred to SPA period ok, but move the cqalcs in rows 111  - 112 of the input/output sheet. Agree the allowance for the protection end date in 2015 service. Agree the projection period for deferred to SPA. Agree CARE is being discounted back to today. Agree the service for tapered cases starts from protection end date. CARE accumulation formula is ok, but could be clearer - the effective discount rate is (1+sal)/(1+care_reval)-1. Need to change the max lump sum calcs to use service up to leaving the old schemes.</t>
  </si>
  <si>
    <r>
      <t xml:space="preserve">All sheets
</t>
    </r>
    <r>
      <rPr>
        <sz val="10"/>
        <rFont val="Arial"/>
        <family val="2"/>
      </rPr>
      <t>- Changed previous references to today() to now refer to the start of the scheme year</t>
    </r>
    <r>
      <rPr>
        <b/>
        <sz val="10"/>
        <rFont val="Arial"/>
        <family val="2"/>
      </rPr>
      <t xml:space="preserve">
CARE calcs
</t>
    </r>
    <r>
      <rPr>
        <sz val="10"/>
        <rFont val="Arial"/>
        <family val="2"/>
      </rPr>
      <t xml:space="preserve">- added in extra calculations to account for taper period. Defer their entry into the CARE scheme (but still discount by appropriate amount).
- added if statement to row 22 so that if member is tapered their future service pension is set to 0
- added in tapered calcs for deferred until SPA members (row 35-39)
- added in *(1+cpi)^((today()-DoStartSchYear)/DOY) to rows 22, 26, 34 and 38
</t>
    </r>
    <r>
      <rPr>
        <b/>
        <sz val="10"/>
        <rFont val="Arial"/>
        <family val="2"/>
      </rPr>
      <t xml:space="preserve">PPS and NPPS Calcs
</t>
    </r>
    <r>
      <rPr>
        <sz val="10"/>
        <rFont val="Arial"/>
        <family val="2"/>
      </rPr>
      <t xml:space="preserve">- added in *(1+cpi)^((today()-DoStartSchYear)/DOY) to cells D40:E42
</t>
    </r>
    <r>
      <rPr>
        <b/>
        <sz val="10"/>
        <rFont val="Arial"/>
        <family val="2"/>
      </rPr>
      <t xml:space="preserve">Lump sum
</t>
    </r>
    <r>
      <rPr>
        <sz val="10"/>
        <rFont val="Arial"/>
        <family val="2"/>
      </rPr>
      <t>- D12 changed to look at the correct range. Also accounts for part time service</t>
    </r>
  </si>
  <si>
    <t>agree the changes to use start of scheme year. I agree the allowance for tapering in the service calculations.Agree the lump sum calculations.</t>
  </si>
  <si>
    <t>Due to the complexity and number of the changes we have made to the workbook, sign -ff depends on the satisfactory completion of testing via a testpack with indpendent checks.</t>
  </si>
  <si>
    <t>Salary factor</t>
  </si>
  <si>
    <t>Discounted pension</t>
  </si>
  <si>
    <t>Start of Scheme Year</t>
  </si>
  <si>
    <t>CARE Information</t>
  </si>
  <si>
    <t>Non-Tapered Members</t>
  </si>
  <si>
    <t>Tapered Members</t>
  </si>
  <si>
    <t>v0.10</t>
  </si>
  <si>
    <t>Pension calculator Updated v0.10.xls</t>
  </si>
  <si>
    <t>Service from Today to Chosen DoR</t>
  </si>
  <si>
    <t>CARE revalued to date of retirement</t>
  </si>
  <si>
    <t>Post-Commutation Pension</t>
  </si>
  <si>
    <t>Apply ERF and LRF</t>
  </si>
  <si>
    <t>Final Pension (includes PTP)</t>
  </si>
  <si>
    <t>Voluntary retirement ages</t>
  </si>
  <si>
    <r>
      <rPr>
        <b/>
        <sz val="10"/>
        <rFont val="Arial"/>
        <family val="2"/>
      </rPr>
      <t>Parameters</t>
    </r>
    <r>
      <rPr>
        <sz val="10"/>
        <rFont val="Arial"/>
        <family val="2"/>
      </rPr>
      <t xml:space="preserve">
- moved start of scheme year to this tab
- added in a date for current date
- moved VRAs to this tab, corrected the ages and extended the list of possible ranks
</t>
    </r>
    <r>
      <rPr>
        <b/>
        <sz val="10"/>
        <rFont val="Arial"/>
        <family val="2"/>
      </rPr>
      <t xml:space="preserve">Inputs and outputs
</t>
    </r>
    <r>
      <rPr>
        <sz val="10"/>
        <rFont val="Arial"/>
        <family val="2"/>
      </rPr>
      <t xml:space="preserve">- Added formula to cells B46 and B48 so that they are blank if the member is not tapered
- Added conditional formatting to rows 62-64 and 70-71 so that they disappear when the member is fully protected.
- Changed cell B117 which affects minimum DOB and data validation text on DOB changed.
- Changed C125 to be the current date
- Cell B136 changed to 68 and data validation text on retirement age changed
- Updated cells H,J,K 60,63,68 and 71 to pull from summary rather than doing calculations on summary page
</t>
    </r>
    <r>
      <rPr>
        <b/>
        <sz val="10"/>
        <rFont val="Arial"/>
        <family val="2"/>
      </rPr>
      <t xml:space="preserve">PPS and NPPS calcs
</t>
    </r>
    <r>
      <rPr>
        <sz val="10"/>
        <rFont val="Arial"/>
        <family val="2"/>
      </rPr>
      <t xml:space="preserve">- Added in rows 46:48 which apply the past service part time proportion to PPS and NPPS pensions.
- NPPS lump sum calcs then pull through these figures which have the PTP applied (E49:51)
</t>
    </r>
    <r>
      <rPr>
        <b/>
        <sz val="10"/>
        <rFont val="Arial"/>
        <family val="2"/>
      </rPr>
      <t xml:space="preserve">Past service care calcs
</t>
    </r>
    <r>
      <rPr>
        <sz val="10"/>
        <rFont val="Arial"/>
        <family val="2"/>
      </rPr>
      <t xml:space="preserve">- added in row 17 which fully projects the past service CARE benefit to the DoR (uses row 16 which realues it to the start of scheme year)
</t>
    </r>
    <r>
      <rPr>
        <b/>
        <sz val="10"/>
        <rFont val="Arial"/>
        <family val="2"/>
      </rPr>
      <t xml:space="preserve">CARE calcs
</t>
    </r>
    <r>
      <rPr>
        <sz val="10"/>
        <rFont val="Arial"/>
        <family val="2"/>
      </rPr>
      <t xml:space="preserve">- added in row 18 which has the service from the current date to DoR
- method of calculation has been changed significantly
- pension is accrued each year and revalued, but discounting is only applied at the date of first receiving the pension
- no longer need separate calculation methods for &lt;55 and &gt;=55 members
- D30:F30 changed to use SPA
- Row 31 added which applies the future/current PTP to the discounted pension
</t>
    </r>
    <r>
      <rPr>
        <b/>
        <sz val="10"/>
        <rFont val="Arial"/>
        <family val="2"/>
      </rPr>
      <t xml:space="preserve">Lump sum
</t>
    </r>
    <r>
      <rPr>
        <sz val="10"/>
        <rFont val="Arial"/>
        <family val="2"/>
      </rPr>
      <t xml:space="preserve">- D19:F19, D21:F21, D26:F26 and D28:F28 amended so that they pull through the pension with the part time proportion applied to it
</t>
    </r>
    <r>
      <rPr>
        <b/>
        <sz val="10"/>
        <rFont val="Arial"/>
        <family val="2"/>
      </rPr>
      <t xml:space="preserve">Summary
</t>
    </r>
    <r>
      <rPr>
        <sz val="10"/>
        <rFont val="Arial"/>
        <family val="2"/>
      </rPr>
      <t xml:space="preserve">- Post 2015 results have been condensed into a single table
- pre-commutation and post-commutation pension in rows 17, 20, 26 and 29 pull through results from the PTP calcs in the </t>
    </r>
    <r>
      <rPr>
        <b/>
        <sz val="10"/>
        <rFont val="Arial"/>
        <family val="2"/>
      </rPr>
      <t xml:space="preserve">Lump sum </t>
    </r>
    <r>
      <rPr>
        <sz val="10"/>
        <rFont val="Arial"/>
        <family val="2"/>
      </rPr>
      <t>sheet</t>
    </r>
  </si>
  <si>
    <t xml:space="preserve">- This calculator is for guidance purposes only and is an estimate only. It is not intended to provide you with financial advice. If you require financial advice, you should contact an independent financial adviser. </t>
  </si>
  <si>
    <t>- If future experience differs from the assumptions used, the pension you will receive at retirement will be different from those shown above.</t>
  </si>
  <si>
    <t>- The 2015 scheme is a Career Average Revalued Earnings (CARE) scheme with an accrual rate of 1/56.1 and revaluation for active members before retirement in line with the change in the Consumer Prices Index (CPI) plus 1.25% a year.</t>
  </si>
  <si>
    <t>- Transitional and tapered protection have been allowed for in the results.</t>
  </si>
  <si>
    <t>v0.11</t>
  </si>
  <si>
    <t>\\Gad-fpt\fpt\NEW DATA\FPT Clients\Police\Scotland\General\Benefits Projection Calculator\Pension calculator Updated v0.11.xls</t>
  </si>
  <si>
    <r>
      <t xml:space="preserve">Checked - one issue: NPPS protection status calc cell applied check on DJS vs protection date in wrong direction. Corrected in this version. </t>
    </r>
    <r>
      <rPr>
        <sz val="10"/>
        <color indexed="10"/>
        <rFont val="Arial"/>
        <family val="2"/>
      </rPr>
      <t xml:space="preserve"> [SAM] This cell is now ok</t>
    </r>
    <r>
      <rPr>
        <sz val="10"/>
        <rFont val="Arial"/>
        <family val="2"/>
      </rPr>
      <t xml:space="preserve">
I have re-run a selection of the PPS and NPPS tests on the calculator successfully.</t>
    </r>
  </si>
  <si>
    <r>
      <t xml:space="preserve">Slightly amended the wording i.r.o lump sum for the PPS members and also added it below the new scheme pension benefits.  Otherwise agreed.
</t>
    </r>
    <r>
      <rPr>
        <sz val="10"/>
        <color indexed="10"/>
        <rFont val="Arial"/>
        <family val="2"/>
      </rPr>
      <t>NPPS cases have problems re the message appearing due to F44 being blank</t>
    </r>
  </si>
  <si>
    <r>
      <t xml:space="preserve">Parameters
</t>
    </r>
    <r>
      <rPr>
        <sz val="10"/>
        <rFont val="Arial"/>
        <family val="2"/>
      </rPr>
      <t>- amended CARE parameter</t>
    </r>
    <r>
      <rPr>
        <b/>
        <sz val="10"/>
        <rFont val="Arial"/>
        <family val="2"/>
      </rPr>
      <t xml:space="preserve">
Past service CARE Calcs
</t>
    </r>
    <r>
      <rPr>
        <sz val="10"/>
        <rFont val="Arial"/>
        <family val="2"/>
      </rPr>
      <t xml:space="preserve">- amended formulae in row 14, to remove one year of revaluation
</t>
    </r>
    <r>
      <rPr>
        <b/>
        <sz val="10"/>
        <rFont val="Arial"/>
        <family val="2"/>
      </rPr>
      <t xml:space="preserve">CARE calcs
</t>
    </r>
    <r>
      <rPr>
        <sz val="10"/>
        <rFont val="Arial"/>
        <family val="2"/>
      </rPr>
      <t xml:space="preserve">- reduced n in row 20 and 24 by one
- added D21*D11^D21 term to the future service pension (row 23)
- added in row 25
- amended rows 26 and 29 to account for the change in methodology
</t>
    </r>
    <r>
      <rPr>
        <b/>
        <sz val="10"/>
        <rFont val="Arial"/>
        <family val="2"/>
      </rPr>
      <t xml:space="preserve">Lump sum
</t>
    </r>
    <r>
      <rPr>
        <sz val="10"/>
        <rFont val="Arial"/>
        <family val="2"/>
      </rPr>
      <t>- amended formula in D15 so that it compares the VRA to the retirement age</t>
    </r>
  </si>
  <si>
    <t>v0.12</t>
  </si>
  <si>
    <t>\\Gad-fpt\fpt\NEW DATA\FPT Clients\Police\Scotland\General\Benefits Projection Calculator\Pension calculator Updated v0.12.xls</t>
  </si>
  <si>
    <t>Integer period to retirement (from DoC)</t>
  </si>
  <si>
    <t>Remainder of period to retirement (from DoC)</t>
  </si>
  <si>
    <t>Integer period to retirement (from protection end)</t>
  </si>
  <si>
    <t>Remainder of period to retirement (from protection end)</t>
  </si>
  <si>
    <t>Pension over entire period (including tapered time)</t>
  </si>
  <si>
    <t>Length of future taper period</t>
  </si>
  <si>
    <t>Revalued pension missed in taper period</t>
  </si>
  <si>
    <t>Taper service</t>
  </si>
  <si>
    <t>Service from DoC to Protection End Date</t>
  </si>
  <si>
    <t>mjr</t>
  </si>
  <si>
    <t>All changes checked and agreed.</t>
  </si>
  <si>
    <r>
      <t xml:space="preserve">PPS and NPPS calcs
</t>
    </r>
    <r>
      <rPr>
        <sz val="10"/>
        <rFont val="Arial"/>
        <family val="2"/>
      </rPr>
      <t>- amended service calcs in rows 31-33 and 35 so that if member is part time then their service is dependent on the reckonable service inputted.
- removed rows 46-48 which multiplied the pension by the PTP (as the part time service is now dealt with separately)</t>
    </r>
    <r>
      <rPr>
        <b/>
        <sz val="10"/>
        <rFont val="Arial"/>
        <family val="2"/>
      </rPr>
      <t xml:space="preserve">
Past service CARE Calcs
</t>
    </r>
    <r>
      <rPr>
        <sz val="10"/>
        <rFont val="Arial"/>
        <family val="2"/>
      </rPr>
      <t xml:space="preserve">- Removed rows giving years of revaluation and CARE revalued to start year (as the past service benefits will already be revalued to this date, previously row 14 and 16)
- amended formula in row 16 so that it applies the revaluation directly to the accrued CARE benefit (row 15)
</t>
    </r>
    <r>
      <rPr>
        <b/>
        <sz val="10"/>
        <rFont val="Arial"/>
        <family val="2"/>
      </rPr>
      <t xml:space="preserve">CARE calcs
</t>
    </r>
    <r>
      <rPr>
        <sz val="10"/>
        <rFont val="Arial"/>
        <family val="2"/>
      </rPr>
      <t xml:space="preserve">- added in row 19 which gives the service between start of scheme year and the protection end date
- adjusted calculation in row 29 to included additional deduction of pension in tapered period
- adjusted past service pension by dividing D23 through by the PTP to prevent the PTP from being applied twice
</t>
    </r>
    <r>
      <rPr>
        <b/>
        <sz val="10"/>
        <rFont val="Arial"/>
        <family val="2"/>
      </rPr>
      <t xml:space="preserve">Lump sum
</t>
    </r>
    <r>
      <rPr>
        <sz val="10"/>
        <rFont val="Arial"/>
        <family val="2"/>
      </rPr>
      <t>- amended D12 to pull through the reckonable service if member is PT</t>
    </r>
  </si>
  <si>
    <t>- This calculator will provide an illustration of your pension at a chosen retirement age.</t>
  </si>
  <si>
    <t>v0.13</t>
  </si>
  <si>
    <t>\\Gad-fpt\fpt\NEW DATA\FPT Clients\Police\Scotland\General\Benefits Projection Calculator\Pension calculator Updated v0.13.xlsm</t>
  </si>
  <si>
    <r>
      <t>Inputs and outputs</t>
    </r>
    <r>
      <rPr>
        <sz val="10"/>
        <rFont val="Arial"/>
        <family val="2"/>
      </rPr>
      <t xml:space="preserve">
- amended wording in rows 54 and 55 to make it clear that salary increases are wrt CPI
- amended formulae in rows 60, 63, 70 and 73 so that they have a "pa" concatenated to the end of the number
- in row 66,67,75 and 76 added together the lump sums and the pension amounts if the member has a retirement age &gt;=55. Has conditional formatting to make boxes disappear if they are &lt;55.</t>
    </r>
  </si>
  <si>
    <t>Annual Salary Increase Assumptions</t>
  </si>
  <si>
    <t>3% (CPI + 1% )</t>
  </si>
  <si>
    <t>4% (CPI + 2% )</t>
  </si>
  <si>
    <t>v1.0</t>
  </si>
  <si>
    <t>\\Gad-fpt\fpt\NEW DATA\FPT Clients\Police\Scotland\General\Benefits Projection Calculator\Pension calculator Updated v1.0.xlsm</t>
  </si>
  <si>
    <t>1987 Scheme</t>
  </si>
  <si>
    <t>2015 Scheme</t>
  </si>
  <si>
    <t>2006 Scheme</t>
  </si>
  <si>
    <t>Scheme Conversion</t>
  </si>
  <si>
    <t>Changes agreed from</t>
  </si>
  <si>
    <t>\\Gad-fpt\fpt\NEW DATA\FPT Clients\Police\Scotland\General\Benefits Projection Calculator\161201SPPACalculatorAgreedChanges.docx</t>
  </si>
  <si>
    <t>Retirement Date</t>
  </si>
  <si>
    <t>Ret Age</t>
  </si>
  <si>
    <t>1. Assuming maximum commutation of pension</t>
  </si>
  <si>
    <t>2. Assuming no commutation of pension</t>
  </si>
  <si>
    <t>Total pension</t>
  </si>
  <si>
    <t>Pension Calcs</t>
  </si>
  <si>
    <t>ABS Projection</t>
  </si>
  <si>
    <t>ABS Projection to 60</t>
  </si>
  <si>
    <t>CARE pension</t>
  </si>
  <si>
    <t>Post-15 Pension</t>
  </si>
  <si>
    <t>Pre-15 Pension</t>
  </si>
  <si>
    <t>Total Pension</t>
  </si>
  <si>
    <r>
      <t xml:space="preserve">Inputs and outputs
</t>
    </r>
    <r>
      <rPr>
        <sz val="10"/>
        <rFont val="Arial"/>
        <family val="2"/>
      </rPr>
      <t xml:space="preserve">- Changed data validation in I18 so that it doesn't get affected if new rows are entered or deleted on the page
- Changed validation terms to be 1987 scheme, 2006 scheme and 2015 scheme
- "CurrentScheme" variable moved to the </t>
    </r>
    <r>
      <rPr>
        <b/>
        <sz val="10"/>
        <rFont val="Arial"/>
        <family val="2"/>
      </rPr>
      <t xml:space="preserve">Parameters </t>
    </r>
    <r>
      <rPr>
        <sz val="10"/>
        <rFont val="Arial"/>
        <family val="2"/>
      </rPr>
      <t xml:space="preserve">tab
- Updated the comment box for the TV in section
- Minor wording changes in line with document below
- Changed retirement age to be chosen retirement date. This retirement date is then converted into a retirement age on the </t>
    </r>
    <r>
      <rPr>
        <b/>
        <sz val="10"/>
        <rFont val="Arial"/>
        <family val="2"/>
      </rPr>
      <t xml:space="preserve">Paramaters </t>
    </r>
    <r>
      <rPr>
        <sz val="10"/>
        <rFont val="Arial"/>
        <family val="2"/>
      </rPr>
      <t xml:space="preserve">tab
- Wording in benefits section reduced and colour scheme changed to differentiate between the different sections (and conditional formatting updated)
- Added current salary (H49)
- Added in section 3 which recreates the pension at age 60 from the ABS (80:85)
</t>
    </r>
    <r>
      <rPr>
        <b/>
        <sz val="10"/>
        <rFont val="Arial"/>
        <family val="2"/>
      </rPr>
      <t xml:space="preserve">Parameters
</t>
    </r>
    <r>
      <rPr>
        <sz val="10"/>
        <rFont val="Arial"/>
        <family val="2"/>
      </rPr>
      <t xml:space="preserve">- Reordered the ranks into seniority order, and only retained 5 of the ranks (rows 88:89)
- Reassign the current scheme on rows 91:97
- Calculate the chosen retirement age based on the retirement date
- Calculate retirement age based on the retirement date (B99:B102)
</t>
    </r>
    <r>
      <rPr>
        <b/>
        <sz val="10"/>
        <rFont val="Arial"/>
        <family val="2"/>
      </rPr>
      <t xml:space="preserve">PPS and NPPS Calcs
</t>
    </r>
    <r>
      <rPr>
        <sz val="10"/>
        <rFont val="Arial"/>
        <family val="2"/>
      </rPr>
      <t xml:space="preserve">- added in abs projection to 60 (53:69) which works in same way as normal PPS calcs except no discounting or revaluation and projecting to age 60
</t>
    </r>
    <r>
      <rPr>
        <b/>
        <sz val="10"/>
        <rFont val="Arial"/>
        <family val="2"/>
      </rPr>
      <t xml:space="preserve">CARE Calcs ABS
</t>
    </r>
    <r>
      <rPr>
        <sz val="10"/>
        <rFont val="Arial"/>
        <family val="2"/>
      </rPr>
      <t>- added in tab to calculate the projection to 60 without salary increases or revaluation or discounting.</t>
    </r>
  </si>
  <si>
    <t>- The results sections (1) and (2) are in current money terms (after adjusting for assumed future inflation).</t>
  </si>
  <si>
    <t>-The results sections (1) and (2) allow for salary increases, inflation and revaluation of CARE benefits on three different sets of assumptions. The assumed salary increases do not allow for any future promotional salary increases you may receive.</t>
  </si>
  <si>
    <t>- The calculator does not show pension from other sources, for example the state pension or other private arrangements you may have.</t>
  </si>
  <si>
    <t>Your projected benefits under different salary increase assumptions, in current money terms (after adjusting for assumed future inflation).</t>
  </si>
  <si>
    <t>- For service in the 2006 scheme, pension and lump sum benefits are shown. At retirement, you will have the option to convert your lump sum into additional pension. There is no option to commute pension to provide an additional lump sum in the 2006 scheme.</t>
  </si>
  <si>
    <t>checked all changes. Agreed, subject to testing the ABS projection when we receive test cases from SPPA (today hopefully).</t>
  </si>
  <si>
    <t>v1.1</t>
  </si>
  <si>
    <t>\\Gad-fpt\fpt\NEW DATA\FPT Clients\Police\Scotland\General\Benefits Projection Calculator\Pension calculator Updated v1.1.xlsm</t>
  </si>
  <si>
    <t>Months</t>
  </si>
  <si>
    <t>Days</t>
  </si>
  <si>
    <t>Projected full time salary at retirement</t>
  </si>
  <si>
    <t>NPPS Lump Sum</t>
  </si>
  <si>
    <t>Period to NPA (in years and complete months)</t>
  </si>
  <si>
    <t>Age last birthday</t>
  </si>
  <si>
    <t>Males and females</t>
  </si>
  <si>
    <t>ERF and LRF</t>
  </si>
  <si>
    <t>Cumulative</t>
  </si>
  <si>
    <t>Factor</t>
  </si>
  <si>
    <r>
      <t xml:space="preserve">Inputs and outputs 
</t>
    </r>
    <r>
      <rPr>
        <sz val="10"/>
        <rFont val="Arial"/>
        <family val="2"/>
      </rPr>
      <t>- Remove rows between current salary and projected salary at retirement</t>
    </r>
    <r>
      <rPr>
        <b/>
        <sz val="10"/>
        <rFont val="Arial"/>
        <family val="2"/>
      </rPr>
      <t xml:space="preserve">
</t>
    </r>
    <r>
      <rPr>
        <sz val="10"/>
        <rFont val="Arial"/>
        <family val="2"/>
      </rPr>
      <t xml:space="preserve">- Changed conditional formatting in row 76:77 and 82:84
- Deleted the date of benefit statement as not used in the calculations
- Labelled I27 as DoR
- added in NPPS lump sum to the ABS projection
</t>
    </r>
    <r>
      <rPr>
        <b/>
        <sz val="10"/>
        <rFont val="Arial"/>
        <family val="2"/>
      </rPr>
      <t xml:space="preserve">Parameters
</t>
    </r>
    <r>
      <rPr>
        <sz val="10"/>
        <rFont val="Arial"/>
        <family val="2"/>
      </rPr>
      <t xml:space="preserve">- Amended calculation of chosenra so that it is more precise (rows 101:104)
</t>
    </r>
    <r>
      <rPr>
        <b/>
        <sz val="10"/>
        <rFont val="Arial"/>
        <family val="2"/>
      </rPr>
      <t xml:space="preserve">ERF and LRF
</t>
    </r>
    <r>
      <rPr>
        <sz val="10"/>
        <rFont val="Arial"/>
        <family val="2"/>
      </rPr>
      <t xml:space="preserve">- added in the 2015 scheme ERF and LRF
</t>
    </r>
    <r>
      <rPr>
        <b/>
        <sz val="10"/>
        <rFont val="Arial"/>
        <family val="2"/>
      </rPr>
      <t xml:space="preserve">PPS and NPPS calcs
</t>
    </r>
    <r>
      <rPr>
        <sz val="10"/>
        <rFont val="Arial"/>
        <family val="2"/>
      </rPr>
      <t xml:space="preserve">- Changed row 23 to pick up the DoR from the inputs page
- D67 and E67 have had references to DoR changed to D55 and E55 respectively
</t>
    </r>
    <r>
      <rPr>
        <b/>
        <sz val="10"/>
        <rFont val="Arial"/>
        <family val="2"/>
      </rPr>
      <t xml:space="preserve">CARE calcs
</t>
    </r>
    <r>
      <rPr>
        <sz val="10"/>
        <rFont val="Arial"/>
        <family val="2"/>
      </rPr>
      <t xml:space="preserve">- D15, D25 and D26 had references to chosenra removed and replaced with the DoR
- Updated the ERF and LRF calcs using the actual factors (D32:F32)
</t>
    </r>
    <r>
      <rPr>
        <b/>
        <sz val="10"/>
        <rFont val="Arial"/>
        <family val="2"/>
      </rPr>
      <t xml:space="preserve">Summary
</t>
    </r>
    <r>
      <rPr>
        <sz val="10"/>
        <rFont val="Arial"/>
        <family val="2"/>
      </rPr>
      <t>- added in NPPS lump sum to the ABS projection</t>
    </r>
  </si>
  <si>
    <t>For ERF lookup function</t>
  </si>
  <si>
    <t>month, rounded up so period early is in complete months</t>
  </si>
  <si>
    <t>Exact age</t>
  </si>
  <si>
    <t>Complete years</t>
  </si>
  <si>
    <t>fraction of year</t>
  </si>
  <si>
    <t>Date turned 60</t>
  </si>
  <si>
    <t>LRF at Chosen Retirement Age</t>
  </si>
  <si>
    <t>Weighted LRF</t>
  </si>
  <si>
    <t>ERF</t>
  </si>
  <si>
    <t>Early and Late Retirement Factors</t>
  </si>
  <si>
    <t>Additional proportion of year Pre 60</t>
  </si>
  <si>
    <t>Additional proportion of year chosen RA</t>
  </si>
  <si>
    <t>v1.2</t>
  </si>
  <si>
    <t>Pension calculator Updated v1.2.xlsm</t>
  </si>
  <si>
    <r>
      <t xml:space="preserve">CARE calcs
</t>
    </r>
    <r>
      <rPr>
        <sz val="10"/>
        <rFont val="Arial"/>
        <family val="2"/>
      </rPr>
      <t>- added in additional proportion of year calc to D21:D22. This is used to weight up the last year of the LRF
- amended formulae in D23:24</t>
    </r>
  </si>
  <si>
    <t>LRF for Pre 60 accrual</t>
  </si>
  <si>
    <t>Weight for Pre 60 accrual LRF</t>
  </si>
  <si>
    <t>Weight for Chosen Retirement Age LRF</t>
  </si>
  <si>
    <t>checked and agreed changes, after amending the LRF factor calc for the final fraction of age.</t>
  </si>
  <si>
    <t>v1.3</t>
  </si>
  <si>
    <t>Pension calculator Updated v1.3.xlsm</t>
  </si>
  <si>
    <r>
      <rPr>
        <b/>
        <sz val="10"/>
        <rFont val="Arial"/>
        <family val="2"/>
      </rPr>
      <t xml:space="preserve">MJR change
CARE calcs
</t>
    </r>
    <r>
      <rPr>
        <sz val="10"/>
        <rFont val="Arial"/>
        <family val="2"/>
      </rPr>
      <t xml:space="preserve">- amended LRF calc
</t>
    </r>
    <r>
      <rPr>
        <b/>
        <sz val="10"/>
        <rFont val="Arial"/>
        <family val="2"/>
      </rPr>
      <t xml:space="preserve">AP change:
CARE calcs ABS
</t>
    </r>
    <r>
      <rPr>
        <sz val="10"/>
        <rFont val="Arial"/>
        <family val="2"/>
      </rPr>
      <t>- changed D7 to look at date60 if member is fully protected</t>
    </r>
  </si>
  <si>
    <t>Superintendent</t>
  </si>
  <si>
    <t>changed cells d23 and 24 in CARE Calcs sheet to use condition '&lt;=60' rather than '&lt;60' to prevent a lookup error. Also removed '-1' from the expression to avoid entering the table at age 59 in error.</t>
  </si>
  <si>
    <t>Agree with changes to calculation</t>
  </si>
  <si>
    <t>v1.4</t>
  </si>
  <si>
    <t>\\Gad-fpt\fpt\NEW DATA\FPT Clients\Police\Scotland\General\Benefits Projection Calculator\Pension calculator Updated v1.4.xlsx</t>
  </si>
  <si>
    <r>
      <t xml:space="preserve">Parameters
</t>
    </r>
    <r>
      <rPr>
        <sz val="10"/>
        <rFont val="Arial"/>
        <family val="2"/>
      </rPr>
      <t>D102 changed so that there is no longer an issue with calculating the number of days past the DoR for edge cases</t>
    </r>
  </si>
  <si>
    <t>Agree</t>
  </si>
  <si>
    <t>Rounded figures</t>
  </si>
  <si>
    <t>Current salary</t>
  </si>
  <si>
    <t>1987 Scheme pension</t>
  </si>
  <si>
    <t>2015 Scheme pension</t>
  </si>
  <si>
    <t>Total lump sum</t>
  </si>
  <si>
    <t>Assuming max commutation</t>
  </si>
  <si>
    <t>Assuming no commutation</t>
  </si>
  <si>
    <t>v1.5</t>
  </si>
  <si>
    <t>\\Gad-fpt\fpt\NEW DATA\FPT Clients\Police\Scotland\General\Benefits Projection Calculator\Pension calculator Updated v1.5.xlsx</t>
  </si>
  <si>
    <t>Lump sum</t>
  </si>
  <si>
    <t>Scottish Factor</t>
  </si>
  <si>
    <t>English Factor</t>
  </si>
  <si>
    <t>DoR &lt;= 31/03/2022</t>
  </si>
  <si>
    <t>Lump sum underpin date</t>
  </si>
  <si>
    <t>Pre 87 Commutation Factors (Scotland)</t>
  </si>
  <si>
    <t>Pre 87 Commutation Factors (E&amp;W)</t>
  </si>
  <si>
    <t>1987 Commutation Factor</t>
  </si>
  <si>
    <r>
      <t xml:space="preserve">Inputs and outputs
</t>
    </r>
    <r>
      <rPr>
        <sz val="10"/>
        <rFont val="Arial"/>
        <family val="2"/>
      </rPr>
      <t xml:space="preserve">- updated output fields H47:L81 by pulling through from the summary tab
</t>
    </r>
    <r>
      <rPr>
        <b/>
        <sz val="10"/>
        <rFont val="Arial"/>
        <family val="2"/>
      </rPr>
      <t xml:space="preserve">Parameters
</t>
    </r>
    <r>
      <rPr>
        <sz val="10"/>
        <rFont val="Arial"/>
        <family val="2"/>
      </rPr>
      <t xml:space="preserve">- added lump sum underpin date to B109
</t>
    </r>
    <r>
      <rPr>
        <b/>
        <sz val="10"/>
        <rFont val="Arial"/>
        <family val="2"/>
      </rPr>
      <t xml:space="preserve">Commutation factors
</t>
    </r>
    <r>
      <rPr>
        <sz val="10"/>
        <rFont val="Arial"/>
        <family val="2"/>
      </rPr>
      <t>- added the pre 87 E&amp;W comm factors</t>
    </r>
    <r>
      <rPr>
        <b/>
        <sz val="10"/>
        <rFont val="Arial"/>
        <family val="2"/>
      </rPr>
      <t xml:space="preserve">
CARE calcs
</t>
    </r>
    <r>
      <rPr>
        <sz val="10"/>
        <rFont val="Arial"/>
        <family val="2"/>
      </rPr>
      <t xml:space="preserve">- amended row 39 so that if a member is tapered and their protection end date is after their retirement date then the CARE pension is 0
</t>
    </r>
    <r>
      <rPr>
        <b/>
        <sz val="10"/>
        <rFont val="Arial"/>
        <family val="2"/>
      </rPr>
      <t xml:space="preserve">Lump sum
</t>
    </r>
    <r>
      <rPr>
        <sz val="10"/>
        <rFont val="Arial"/>
        <family val="2"/>
      </rPr>
      <t xml:space="preserve">- calculating underpin of pre 87 commutation factor (D12:D15)
</t>
    </r>
    <r>
      <rPr>
        <b/>
        <sz val="10"/>
        <rFont val="Arial"/>
        <family val="2"/>
      </rPr>
      <t xml:space="preserve">Summary
</t>
    </r>
    <r>
      <rPr>
        <sz val="10"/>
        <rFont val="Arial"/>
        <family val="2"/>
      </rPr>
      <t>- added table of rounded figures (which are pulled through to the inputs/outputs tabs)</t>
    </r>
  </si>
  <si>
    <t>agree changes</t>
  </si>
  <si>
    <t>Full time</t>
  </si>
  <si>
    <t>removed projected salary from inputs and outputs</t>
  </si>
  <si>
    <t>removed results section C from inputs and outputs</t>
  </si>
  <si>
    <t>Changed pre-2015 lump sum calculation to use total service from djs to dor, rather than total pre-2015 scheme service. In lump sum sheet.</t>
  </si>
  <si>
    <t>Here we calculate all service between djs and DoR.</t>
  </si>
  <si>
    <t>Ignoring any part-time service</t>
  </si>
  <si>
    <t>Pooja V</t>
  </si>
  <si>
    <t>OK</t>
  </si>
  <si>
    <t xml:space="preserve">This has been amended </t>
  </si>
  <si>
    <t>Section 3 deleted ok
Checked that if member retires over age 55 then the total pension and lumpsum figs are shown in section 1 and 2</t>
  </si>
  <si>
    <t>v1.6</t>
  </si>
  <si>
    <t>changed cell d27 in CARE calcs sheet to chosen RA&lt;=60, instead of &lt;60. This prevents a divide by zero error at chosenRA=60</t>
  </si>
  <si>
    <t>changed calculation in F18 of Lump Sum sheet to add on any transferred-in service to the reckonable service.</t>
  </si>
  <si>
    <t>changed all rounding in summary sheet for output to nearest pound, rather than hundred.</t>
  </si>
  <si>
    <t>changed the calculation of reckonable service in cell f18 of the lump sum calcs sheet to use the day before ChosenRA. SPPA feedback said this is what the schemes do - 30 years reckonable service is achieved on ret the day after raching 30 years.</t>
  </si>
  <si>
    <t>Past service from ABS?</t>
  </si>
  <si>
    <t>v1.7</t>
  </si>
  <si>
    <t>changed the inputs sheet to include a check box to indicate whether to approximate past CARE and hide the inputs, or to use the inputs. The past service care calcs sheet was changed to include an if function to select the input or the approximation. The appproximation appears only if the scheme year is prior to the start of current scheme year.</t>
  </si>
  <si>
    <t>Check box ok. Amended conditional formatting so colour matches</t>
  </si>
  <si>
    <t>3. The date you joined the scheme (dd/mm/yyyy)</t>
  </si>
  <si>
    <t>5. Rank at retirement</t>
  </si>
  <si>
    <t>6. How much service you have been granted for transfer in (final salary scheme only)</t>
  </si>
  <si>
    <t>7. Your pensionable earnings (full time equivalent at the start of the current scheme year)</t>
  </si>
  <si>
    <r>
      <t xml:space="preserve">Most figures ok. ABS projection didn't have this applied (not important as section C on </t>
    </r>
    <r>
      <rPr>
        <b/>
        <sz val="10"/>
        <rFont val="Arial"/>
        <family val="2"/>
      </rPr>
      <t xml:space="preserve">Inputs and outputs </t>
    </r>
    <r>
      <rPr>
        <sz val="10"/>
        <rFont val="Arial"/>
        <family val="2"/>
      </rPr>
      <t>tab has been deleted.</t>
    </r>
  </si>
  <si>
    <t>OK, but need rounding on D18</t>
  </si>
  <si>
    <t>2. Your name (first name and surname)</t>
  </si>
  <si>
    <t>v1.8</t>
  </si>
  <si>
    <r>
      <rPr>
        <b/>
        <sz val="10"/>
        <rFont val="Arial"/>
        <family val="2"/>
      </rPr>
      <t xml:space="preserve">Inputs and outputs
</t>
    </r>
    <r>
      <rPr>
        <sz val="10"/>
        <rFont val="Arial"/>
        <family val="2"/>
      </rPr>
      <t xml:space="preserve">Amended conditional formatting related to checkbox so that colour matches the surrounding area. Added in 'Name' as an input option. 
</t>
    </r>
    <r>
      <rPr>
        <b/>
        <sz val="10"/>
        <rFont val="Arial"/>
        <family val="2"/>
      </rPr>
      <t>Lump sum</t>
    </r>
    <r>
      <rPr>
        <sz val="10"/>
        <rFont val="Arial"/>
        <family val="2"/>
      </rPr>
      <t xml:space="preserve">
Round D18 so that numbers which are essentially full years can be rounded.</t>
    </r>
  </si>
  <si>
    <t>Data filled in</t>
  </si>
  <si>
    <t>Police Pension Scheme (Scotland)</t>
  </si>
  <si>
    <t>Illustration of pension benefits for retirement at</t>
  </si>
  <si>
    <t>Name</t>
  </si>
  <si>
    <t>Date of joining the scheme</t>
  </si>
  <si>
    <t xml:space="preserve">Pensionable Earnings  </t>
  </si>
  <si>
    <t>Automatic Lump Sum</t>
  </si>
  <si>
    <t>The Police Pension Scheme allow for part of your pension to be exchanged for a lump sum at retirement. This is called commutation.</t>
  </si>
  <si>
    <t>Amounts following maximum commutation:</t>
  </si>
  <si>
    <t>Lump Sum</t>
  </si>
  <si>
    <t xml:space="preserve">This calculator is for guidance purposes only. It is an estimate only and is not a guarantee of future benefits. It is not intended to provide you with financial advice. If you require financial advice, you should contact an independent financial adviser. </t>
  </si>
  <si>
    <t xml:space="preserve">This projection should be read along with the accompanying notes. </t>
  </si>
  <si>
    <t>Pension</t>
  </si>
  <si>
    <t>v1.9</t>
  </si>
  <si>
    <r>
      <t xml:space="preserve">Printable Estimates
</t>
    </r>
    <r>
      <rPr>
        <sz val="10"/>
        <rFont val="Arial"/>
        <family val="2"/>
      </rPr>
      <t>- updated wording in projected benefits to align with Iain Coltman's email
- updated formulae in B27:G52
- updated conditional formatting in B27:G52
- moved some of the wording and caveats around on page
- set a print area</t>
    </r>
  </si>
  <si>
    <t>Tejas</t>
  </si>
  <si>
    <t>Happy with changes.</t>
  </si>
  <si>
    <t>user input says past service CARE not known we have to estimate it</t>
  </si>
  <si>
    <t>For 15-16</t>
  </si>
  <si>
    <t>if the start of the current year is greater than or equal to 1/4/16</t>
  </si>
  <si>
    <t>AND the protection end date is before 1/4/15</t>
  </si>
  <si>
    <t>THEN calculate accrual for 2015/16</t>
  </si>
  <si>
    <t>For 16-17</t>
  </si>
  <si>
    <t>if the start of the current year is greater than or equal to 1/4/17</t>
  </si>
  <si>
    <t>AND the protection end date is before 1/4/16</t>
  </si>
  <si>
    <t>THEN calculate accrual for 2016/17</t>
  </si>
  <si>
    <t>and so on for 17/18 and 18/19</t>
  </si>
  <si>
    <t>Michael rae</t>
  </si>
  <si>
    <t>We assume the DoR is the first day of retirement. So for an integral number of years reckonable service, it has to be the anniversary of joining</t>
  </si>
  <si>
    <t>Changed the reckonable service to always be an integral number of years if the dor is an anniversary of the djs. Else use yearfrac minus .00001 for the period to ensure notintegral in  any other case. Excel does not have an exact function returning the required period here.</t>
  </si>
  <si>
    <t>Short-term adjustment</t>
  </si>
  <si>
    <t>2015 scheme start</t>
  </si>
  <si>
    <t>is today greater than the end of year?</t>
  </si>
  <si>
    <t>did 2015 scheme service startbefore the end of the year?</t>
  </si>
  <si>
    <t>service during year part 1</t>
  </si>
  <si>
    <t>service during year part 2</t>
  </si>
  <si>
    <t>Changed the past service CARE calculations to use the actual service rather than full scheme year</t>
  </si>
  <si>
    <t>Changed the low salary growth assumption to be 1% if the retirement date is before 1/4/2020. also made the note referring to assumptions dynamic.</t>
  </si>
  <si>
    <t>Changed CARE calcs to prevent negative service. Changed CARE Calcs cell d15 to be no less than zero.</t>
  </si>
  <si>
    <t>v2.0</t>
  </si>
  <si>
    <t>v2.1</t>
  </si>
  <si>
    <t>Changes to past service CARE calculations made (row 16)</t>
  </si>
  <si>
    <t>Assumptions are now 2%, 3%, 4% or 1%, 3%, 4%
OK</t>
  </si>
  <si>
    <t>Formulae mostly ok but should be set to 1 if DOR&gt;= end of scheme year.</t>
  </si>
  <si>
    <t>MJR: no, doing that would always give a full year, regardless of when service started. I backed out this change.</t>
  </si>
  <si>
    <t>changed row 18 of past service care calcs to pick up the input past service CARE if the box in input section 9 is ticked</t>
  </si>
  <si>
    <t>v2.2</t>
  </si>
  <si>
    <t>if the check box on the input screen is ticked and any of the past CARE input cells is blank, replace with the estimated value for that year.</t>
  </si>
  <si>
    <t>if the check box on the input screen is ticked and any of the past CARE input cells is blank, replace with the estimated value for that year. Amended row 18 in the past service CARE calcs sheet.</t>
  </si>
  <si>
    <t>v2.3</t>
  </si>
  <si>
    <t>Adjusted for any career break to determine protection</t>
  </si>
  <si>
    <t>This cell is used only to determine the protection, after adjusting for a career break</t>
  </si>
  <si>
    <t>- The amount of pension you may receive depends on when you retire.</t>
  </si>
  <si>
    <t>- It is assumed that you will remain in active service until your selected retirement date, and that you will retire on normal terms (i.e. you are not retiring in ill-health).</t>
  </si>
  <si>
    <t>- Benefits accrued in the 1987 and 2006 schemes are shown by firstly including the maximum amount of lump sum by commutation of pension allowed under the scheme rules, and secondly assuming no commutation of pension. At retirement you will be able to choose how much pension to commute for a lump sum (within limits). This projection has used the commutation factors currently in effect. However, commutation factors are reviewed periodically and the amount of lump sum available at your actual retirement will depend on the commutation factors in effect at that time.</t>
  </si>
  <si>
    <t>- The results do not include any money purchase Additional Voluntary Contributions (AVCs) benefits, added 60ths or added pension which you may have purchased, pension debits or other special arrangements within the  schemes . If your 2015 pension includes transferred-in benefits, for simplicity this projection has revalued them at the same rate as Police scheme benefits. A different rate of revaluation may apply to transferred-in benefits in practice.</t>
  </si>
  <si>
    <t>- If you previously moved from the 1987 scheme to the 2006 scheme as part of the options exercise in 2007, an approximate allowance has been made  for the service that you would have been granted in the 2006 scheme.  It is assumed that you transferred your service to the 2006 scheme on 6 April 2006 and that any transferred-in service that you have input above was granted before 6 April 2006.</t>
  </si>
  <si>
    <t>- The illustrations do not allow for taxation. Your benefits will be subject to the various tax rates and limits in force when you retire. Further information on taxation is available on the SPPA website. You may wish to seek specialist advice if you think you could be affected.</t>
  </si>
  <si>
    <t>- The results produced are not formal statement of your entitlements.</t>
  </si>
  <si>
    <t>- This calculator only applies to the scheme in Scotland</t>
  </si>
  <si>
    <t>- The results shown above are estimated, using a given set of assumptions.  Using different assumptions in the calculations could produce different results.</t>
  </si>
  <si>
    <t>- The calculations of the lump sum by commutation, and any adjustments for early or late retirement, use factors currently in effect. These factors are reviewed periodically. When you actually retire, the scheme factors in force at the time will be used, if appropriate. This may produce different results, other things being equal, to those illustrated here.</t>
  </si>
  <si>
    <t>- Allowing for promotional salary increases would increase the projected benefits.</t>
  </si>
  <si>
    <t>- If you wish to seek financial advice, please contact an authorised independent financial adviser. The results above are not to be considered as financial advice.  SPPA does not accept responsibility for the accuracy of results produced.</t>
  </si>
  <si>
    <t>Annual benefit statement years for drop down</t>
  </si>
  <si>
    <t>Added an input section 13 for career break if it ended before 1 April 2015. The career break period is used in determining protection in the 1987 scheme under the service criterion. The career break is deducted from the service before calculating the protection.</t>
  </si>
  <si>
    <t>Amended the calculation of DoStartSchYear. If part-time, then 1 april in the year of the ABS date.</t>
  </si>
  <si>
    <t>Pre-15 service used to calculate FS pension</t>
  </si>
  <si>
    <t>Added an output to show the number of years' service used in calculating the final salary benefits</t>
  </si>
  <si>
    <t>Scottish Police Pension Calculator</t>
  </si>
  <si>
    <r>
      <t xml:space="preserve">- </t>
    </r>
    <r>
      <rPr>
        <b/>
        <sz val="10"/>
        <rFont val="Arial"/>
        <family val="2"/>
      </rPr>
      <t>This calculator is solely for guidance purposes and is an estimate only</t>
    </r>
    <r>
      <rPr>
        <sz val="10"/>
        <rFont val="Arial"/>
        <family val="2"/>
      </rPr>
      <t xml:space="preserve">. It is not intended to provide you with financial advice. If you require financial advice, you should contact an independent financial adviser. </t>
    </r>
  </si>
  <si>
    <t xml:space="preserve"> 31 March</t>
  </si>
  <si>
    <t>11. Your current part-time proportion (entered as percentage e.g. 50%)</t>
  </si>
  <si>
    <t>12. The end date of your current annual benefit statement</t>
  </si>
  <si>
    <t>14. If you had a career break that ended before 1 April 2015, how long was it?</t>
  </si>
  <si>
    <t xml:space="preserve">8. Retirement date (ie first day of retirement) for illustration (dd/mm/yyyy). </t>
  </si>
  <si>
    <t xml:space="preserve">generated on </t>
  </si>
  <si>
    <t>- Your scheme provides survivor benefits payable in the event of your death. These are not shown here. See your scheme guide for details.</t>
  </si>
  <si>
    <t>- Where retirement age is not age 60, the amount of 2015 scheme pension shown includes actuarial adjustments for the earlier or later start of payments than the 2015 scheme normal retirement age of 60. These actuarial adjustments are those currently in effect. However, they will be reviewed periodically, and may increase or decrease. Your benefits at retirement will depend on the actuarial adjustment factors in effect at that time.</t>
  </si>
  <si>
    <t>- If you are a 1987 scheme member, you may be entitled to retire before age 55. Results for retirement at ages before 55 show the amount of any 2015 scheme pension you have built up at your State Pension Age (SPA) as this is the earliest age you would be entitled to take these benefits without reduction if you leave active service before age 60.  Alternatively, you could choose to receive your new scheme benefits from age 55, with actuarial reduction to allow for the start of payments occurring earlier than your SPA.</t>
  </si>
  <si>
    <t>- A simplified approach has been taken to calculate your SPA. This includes the increase of SPA to 67 by 2028 which is subject to review by the UK Government.</t>
  </si>
  <si>
    <t>Warnings (continued over)</t>
  </si>
  <si>
    <t>Scottish Police Pension Scheme Calculator</t>
  </si>
  <si>
    <t>2015 Microsite</t>
  </si>
  <si>
    <t>link to FAQs</t>
  </si>
  <si>
    <t>Scheme Guides</t>
  </si>
  <si>
    <t>Number of years service used in calculating final salary benefits</t>
  </si>
  <si>
    <t>Amended adjusted DJS in d24 of sheet PPS and NPPS calcs to increase the DJS by any career break</t>
  </si>
  <si>
    <t>OK - can have issues if text values entered (but not material enough to change - add iferror in future)</t>
  </si>
  <si>
    <t>Added an input section 12 to capture the end date of the user's current ABS for part-time members. This date is used to determine the start of current scheme year for calculating future accrual. It is used in the parameters sheet, in cell DOStartSchYear</t>
  </si>
  <si>
    <t>OK
Link to FAQs doesn't work</t>
  </si>
  <si>
    <t>Amended so that if ABSend date is blank then it defaults to calculated value. Otherwise OK</t>
  </si>
  <si>
    <t>Your projected benefits in current money terms (after adjusting for assumed salary growth and future inflation*)</t>
  </si>
  <si>
    <t>The end date of your current annual benefit statement</t>
  </si>
  <si>
    <t>End of protection</t>
  </si>
  <si>
    <t>djs</t>
  </si>
  <si>
    <t>Date started in 2015 scheme</t>
  </si>
  <si>
    <t>No years to wind back current salary</t>
  </si>
  <si>
    <t>Wound back salary</t>
  </si>
  <si>
    <t xml:space="preserve">Sum </t>
  </si>
  <si>
    <t>Input accrued CARE</t>
  </si>
  <si>
    <t>As at date</t>
  </si>
  <si>
    <t>Accrued Care from ABS?</t>
  </si>
  <si>
    <t>revalued to date of ret</t>
  </si>
  <si>
    <t>accrued benefit to use</t>
  </si>
  <si>
    <t>mjr: here we are ignoring any part-time past service</t>
  </si>
  <si>
    <t>CARE start date</t>
  </si>
  <si>
    <t>Future CARE projection start</t>
  </si>
  <si>
    <t>Period to discount for inflation</t>
  </si>
  <si>
    <t>member of scheme before 1/4/2012?</t>
  </si>
  <si>
    <t>Added a check on djs so no protection if joined after 31/3/2012.</t>
  </si>
  <si>
    <t>JJ: I don’t think these are used -suggest we remove if you agree</t>
  </si>
  <si>
    <t>Updated Oct 2018 factors</t>
  </si>
  <si>
    <t>Email_ Police 1987 - Commutation update (Oct 18).pdf</t>
  </si>
  <si>
    <t>Jeanette Johnson</t>
  </si>
  <si>
    <t>Updated with the post Oct 2018 comm factors</t>
  </si>
  <si>
    <t>v5.1</t>
  </si>
  <si>
    <t>\\gad-psps\PSPS\Police_S\General\Benefit projection calculator\[20190108 Pension calculator Updated v5.1 (Oct 18 comm, ERF &amp; LRF).xlsx]Version control</t>
  </si>
  <si>
    <t>Oscar castro</t>
  </si>
  <si>
    <t>Updated the LRF and ERF</t>
  </si>
  <si>
    <t>Retirement from active service before NPA - Retirement earned pension</t>
  </si>
  <si>
    <t>Table 401</t>
  </si>
  <si>
    <t>P:\Police_S\Factors\2018\2016 Factor review\Consolidated Factor Spreadsheet\190107PoliceFactorsConsolidated.xlsm</t>
  </si>
  <si>
    <t>Age addition factors for pensions with a CPI +1.25% pa revaluation rate</t>
  </si>
  <si>
    <t>Table 404</t>
  </si>
  <si>
    <t>- The calculator assumes that generallong-term pay increases by (i) 0.0%, (ii) 1.0% and (iii) 2.0% more than CPI  each year. CPI has been assumed to be 2.0% a year. However, if the selected retirement date is before 1/4/2021, the calculator will assume 0% pay increase to reflect the 2018 pay award.</t>
  </si>
  <si>
    <t>Iain Coltman SPPA</t>
  </si>
  <si>
    <t xml:space="preserve">9. If relevant, do you know your CARE pension to date (as shown on your annual benefit statement)? </t>
  </si>
  <si>
    <t xml:space="preserve">10. Have you had any periods of part-time service (including a career break)? </t>
  </si>
  <si>
    <t>13. The reckonable service on your annual benefit statement</t>
  </si>
  <si>
    <t>(see more info)</t>
  </si>
  <si>
    <t>Agreed with IC at SPPA. Updated H74 in Parameters sheet to limit pay increase to 0% to 1/4/2021, in line with Police Scotland 2018 pay award. Guidance note updated to reflect this. 
IC Updated FAQ link</t>
  </si>
  <si>
    <t>tested and confirmed working</t>
  </si>
  <si>
    <t>\\Gad-psps\psps\Police_S\General\Benefit projection calculator\[20190319PensionCalculatorv5.3.xlsx]Version control</t>
  </si>
  <si>
    <t>Updated the calculator, so that the accrual rate is determined usibg the FT service and not the PT - cell D36 in the “PPS and NPPS calcs” worksheet</t>
  </si>
  <si>
    <t>Oscar Castro</t>
  </si>
  <si>
    <t>Rob F</t>
  </si>
  <si>
    <t>Small update to cell D36 - working fine</t>
  </si>
  <si>
    <t>JF 23/10/2020: Adjusted to remove PTP being applied to entire pension</t>
  </si>
  <si>
    <t xml:space="preserve">JF 23/10/20: changed to sum future service once PTP has been applied. </t>
  </si>
  <si>
    <t>Jo Foster</t>
  </si>
  <si>
    <t xml:space="preserve">Updated the CARE calcs sheet so that the PTP is applied to future service only. PTP is applied prior to discounting now. </t>
  </si>
  <si>
    <t>v5.4</t>
  </si>
  <si>
    <t xml:space="preserve">\\GAD-AST\AST\Development_Tools\Benefit projection calculators\Modified calculators (corrected)\20201023PensionCalculatorv5.4.xlsx </t>
  </si>
  <si>
    <t>CARE future service pension (with PTP applied)</t>
  </si>
  <si>
    <t>JF 23/10/2020: Added this line to adjust future service for PTP for non-tapered members</t>
  </si>
  <si>
    <t>JF 23/10/2020: Added this line to adjust future service for PTP for tapered members</t>
  </si>
  <si>
    <t>D Hirani</t>
  </si>
  <si>
    <t>- If you indicated you have worked part time, the calculator has allowed for part-time hours worked up to your most recent benefit statement. It has also assumed you have worked your current part-time hours since then and will continue to do so until retirement. If you do not have your benefit statement, the calculator will assume you have worked full-time up until the start of the scheme year and will then assume you work your current part-time hours until retirement.</t>
  </si>
  <si>
    <r>
      <t xml:space="preserve">Okay checked after NHS_S, FIRE_S. 
Guidance tab added: </t>
    </r>
    <r>
      <rPr>
        <i/>
        <sz val="10"/>
        <rFont val="Arial"/>
        <family val="2"/>
      </rPr>
      <t>If you do not have your benefit statement, the calculator will assume you have worked full-time up until the start of the scheme year and will then assume you work your current part-time hours until retirement.</t>
    </r>
  </si>
  <si>
    <t>- This calculator makes no allowance for HM Treasury's proposed remedy to remove the unlawful discrimination arising from the transitional protection awarded to members as part of the reform of the public sector pension schemes in 2015, known as the McCloud and Sargeant cases. Therefore, for members who are eligible for remedy (those who joined the scheme on or before 31 March 2012 and remained in service on or after 31 March 2015), this calculator may not provide a correct benefit projection. In particular, the benefits accrued during the proposed remedy period of 1 April 2015 to 31 March 2022, may not be based on the scheme benefit structure you ultimately receive at your retirement. 
For members who are not in scope for remedy, the calculator will continue to produce suitable estimates based on the current benefits in the Scottish Police Pension Scheme.</t>
  </si>
  <si>
    <r>
      <t xml:space="preserve">- If you indicated you have periods of </t>
    </r>
    <r>
      <rPr>
        <b/>
        <sz val="10"/>
        <rFont val="Arial"/>
        <family val="2"/>
      </rPr>
      <t>part time working</t>
    </r>
    <r>
      <rPr>
        <sz val="10"/>
        <rFont val="Arial"/>
        <family val="2"/>
      </rPr>
      <t xml:space="preserve">, and you have input your accrued CARE benefit from your annual benefit statement, the total benefits quoted at retirement in this calculator will:
      - allow for your actual part-time hours up to your most recent benefit statement 
      - assume you have worked your current part-time hours since the date of your most recent benefit statement to the current date
      - assume that you will continue to work your current part-time hours from the current date until retirement. 
- If you indicated you have periods of part time working but you have not input your accrued CARE benefit from your annual benefit statement, the benefits quoted at retirement in this calculator will:
      - assume you have worked full-time up until the start of the current scheme year
      - assume that you will work your current part-time hours until retirement.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</si>
</sst>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
    <numFmt numFmtId="165" formatCode="_-[$£-809]* #,##0_-;\-[$£-809]* #,##0_-;_-[$£-809]* &quot;-&quot;??_-;_-@_-"/>
    <numFmt numFmtId="166" formatCode="0.000"/>
    <numFmt numFmtId="167" formatCode="0.0000"/>
    <numFmt numFmtId="168" formatCode="0.0%"/>
    <numFmt numFmtId="169" formatCode="_-* #,##0_-;\-* #,##0_-;_-* &quot;-&quot;??_-;_-@_-"/>
    <numFmt numFmtId="170" formatCode="#,##0.000"/>
    <numFmt numFmtId="171" formatCode="[$-809]dd\ mmmm\ yyyy;@"/>
    <numFmt numFmtId="172" formatCode="#,##0.0000"/>
    <numFmt numFmtId="173" formatCode="0.0"/>
    <numFmt numFmtId="174" formatCode="0.0000000"/>
    <numFmt numFmtId="175" formatCode="0.00000000"/>
    <numFmt numFmtId="176" formatCode="_-* #,##0.000_-;\-* #,##0.000_-;_-* &quot;-&quot;??_-;_-@_-"/>
    <numFmt numFmtId="177" formatCode="[$-F800]dddd\,\ mmmm\ dd\,\ yyyy"/>
    <numFmt numFmtId="178" formatCode="dd/mm/yyyy;@"/>
  </numFmts>
  <fonts count="62" x14ac:knownFonts="1">
    <font>
      <sz val="10"/>
      <name val="Arial"/>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10"/>
      <color indexed="14"/>
      <name val="Arial"/>
      <family val="2"/>
    </font>
    <font>
      <sz val="10"/>
      <color indexed="23"/>
      <name val="Arial"/>
      <family val="2"/>
    </font>
    <font>
      <sz val="10"/>
      <color indexed="17"/>
      <name val="Arial"/>
      <family val="2"/>
    </font>
    <font>
      <sz val="10"/>
      <color indexed="10"/>
      <name val="Arial"/>
      <family val="2"/>
    </font>
    <font>
      <sz val="10"/>
      <name val="Arial"/>
      <family val="2"/>
    </font>
    <font>
      <sz val="11"/>
      <name val="Calibri"/>
      <family val="2"/>
    </font>
    <font>
      <b/>
      <u/>
      <sz val="11.5"/>
      <name val="Arial"/>
      <family val="2"/>
    </font>
    <font>
      <sz val="9"/>
      <color indexed="81"/>
      <name val="Tahoma"/>
      <family val="2"/>
    </font>
    <font>
      <b/>
      <sz val="9"/>
      <color indexed="81"/>
      <name val="Tahoma"/>
      <family val="2"/>
    </font>
    <font>
      <b/>
      <i/>
      <sz val="10"/>
      <name val="Arial"/>
      <family val="2"/>
    </font>
    <font>
      <sz val="10"/>
      <name val="Arial"/>
      <family val="2"/>
    </font>
    <font>
      <sz val="10"/>
      <name val="Arial"/>
      <family val="2"/>
    </font>
    <font>
      <sz val="10"/>
      <name val="Arial"/>
      <family val="2"/>
    </font>
    <font>
      <sz val="10"/>
      <color indexed="14"/>
      <name val="Arial"/>
      <family val="2"/>
    </font>
    <font>
      <sz val="10"/>
      <color indexed="8"/>
      <name val="Arial"/>
      <family val="2"/>
    </font>
    <font>
      <sz val="6.5"/>
      <color indexed="8"/>
      <name val="Arial"/>
      <family val="2"/>
    </font>
    <font>
      <sz val="10"/>
      <color indexed="12"/>
      <name val="Arial"/>
      <family val="2"/>
    </font>
    <font>
      <sz val="10"/>
      <color indexed="23"/>
      <name val="Arial"/>
      <family val="2"/>
    </font>
    <font>
      <sz val="11"/>
      <color indexed="12"/>
      <name val="Calibri"/>
      <family val="2"/>
    </font>
    <font>
      <b/>
      <sz val="10"/>
      <color indexed="23"/>
      <name val="Arial"/>
      <family val="2"/>
    </font>
    <font>
      <sz val="11"/>
      <name val="Calibri"/>
      <family val="2"/>
    </font>
    <font>
      <b/>
      <sz val="11"/>
      <name val="Calibri"/>
      <family val="2"/>
    </font>
    <font>
      <sz val="8"/>
      <name val="Arial"/>
      <family val="2"/>
    </font>
    <font>
      <sz val="10"/>
      <color indexed="40"/>
      <name val="Arial"/>
      <family val="2"/>
    </font>
    <font>
      <u/>
      <sz val="10"/>
      <color theme="10"/>
      <name val="Arial"/>
      <family val="2"/>
    </font>
    <font>
      <sz val="10"/>
      <color rgb="FFFF00FF"/>
      <name val="Arial"/>
      <family val="2"/>
    </font>
    <font>
      <b/>
      <sz val="12"/>
      <color theme="0"/>
      <name val="Arial"/>
      <family val="2"/>
    </font>
    <font>
      <sz val="10"/>
      <color rgb="FF0000FF"/>
      <name val="Arial"/>
      <family val="2"/>
    </font>
    <font>
      <sz val="10"/>
      <color rgb="FF000000"/>
      <name val="Arial"/>
      <family val="2"/>
    </font>
    <font>
      <b/>
      <sz val="10"/>
      <color rgb="FF000000"/>
      <name val="Arial"/>
      <family val="2"/>
    </font>
    <font>
      <sz val="10"/>
      <color rgb="FFFF33CC"/>
      <name val="Arial"/>
      <family val="2"/>
    </font>
    <font>
      <sz val="10"/>
      <color rgb="FFFF0000"/>
      <name val="Arial"/>
      <family val="2"/>
    </font>
    <font>
      <sz val="10"/>
      <color rgb="FF00B050"/>
      <name val="Arial"/>
      <family val="2"/>
    </font>
    <font>
      <b/>
      <sz val="10"/>
      <color rgb="FFFF0000"/>
      <name val="Arial"/>
      <family val="2"/>
    </font>
    <font>
      <sz val="11"/>
      <name val="Arial"/>
      <family val="2"/>
    </font>
    <font>
      <b/>
      <sz val="16"/>
      <color rgb="FF002060"/>
      <name val="Arial"/>
      <family val="2"/>
    </font>
    <font>
      <sz val="16"/>
      <color rgb="FF002060"/>
      <name val="Arial"/>
      <family val="2"/>
    </font>
    <font>
      <sz val="10"/>
      <color rgb="FF002060"/>
      <name val="Arial"/>
      <family val="2"/>
    </font>
    <font>
      <sz val="12"/>
      <color rgb="FF002060"/>
      <name val="Arial"/>
      <family val="2"/>
    </font>
    <font>
      <b/>
      <sz val="12"/>
      <color rgb="FF002060"/>
      <name val="Arial"/>
      <family val="2"/>
    </font>
    <font>
      <b/>
      <sz val="11"/>
      <color rgb="FF002060"/>
      <name val="Arial"/>
      <family val="2"/>
    </font>
    <font>
      <b/>
      <sz val="10"/>
      <color rgb="FF002060"/>
      <name val="Arial"/>
      <family val="2"/>
    </font>
    <font>
      <b/>
      <sz val="12"/>
      <color rgb="FFFF0000"/>
      <name val="Arial"/>
      <family val="2"/>
    </font>
    <font>
      <b/>
      <u/>
      <sz val="18"/>
      <name val="Arial"/>
      <family val="2"/>
    </font>
    <font>
      <b/>
      <sz val="11"/>
      <name val="Arial"/>
      <family val="2"/>
    </font>
    <font>
      <b/>
      <sz val="18"/>
      <name val="Arial"/>
      <family val="2"/>
    </font>
    <font>
      <sz val="14"/>
      <name val="Arial"/>
      <family val="2"/>
    </font>
    <font>
      <sz val="13"/>
      <name val="Arial"/>
      <family val="2"/>
    </font>
    <font>
      <sz val="11"/>
      <color theme="0"/>
      <name val="Arial"/>
      <family val="2"/>
    </font>
    <font>
      <b/>
      <sz val="16"/>
      <name val="Arial"/>
      <family val="2"/>
    </font>
    <font>
      <b/>
      <u/>
      <sz val="18"/>
      <color theme="0"/>
      <name val="Arial"/>
      <family val="2"/>
    </font>
    <font>
      <u/>
      <sz val="10"/>
      <color indexed="12"/>
      <name val="Arial"/>
      <family val="2"/>
    </font>
    <font>
      <sz val="10"/>
      <color rgb="FF0070C0"/>
      <name val="Arial"/>
      <family val="2"/>
    </font>
    <font>
      <b/>
      <u/>
      <sz val="16"/>
      <color theme="0"/>
      <name val="Arial"/>
      <family val="2"/>
    </font>
    <font>
      <i/>
      <sz val="10"/>
      <name val="Arial"/>
      <family val="2"/>
    </font>
  </fonts>
  <fills count="14">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indexed="53"/>
        <bgColor indexed="64"/>
      </patternFill>
    </fill>
    <fill>
      <patternFill patternType="solid">
        <fgColor indexed="15"/>
        <bgColor indexed="64"/>
      </patternFill>
    </fill>
    <fill>
      <patternFill patternType="solid">
        <fgColor indexed="22"/>
        <bgColor indexed="64"/>
      </patternFill>
    </fill>
    <fill>
      <patternFill patternType="lightDown">
        <bgColor theme="0" tint="-0.34998626667073579"/>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0"/>
        <bgColor theme="0"/>
      </patternFill>
    </fill>
    <fill>
      <patternFill patternType="lightGray"/>
    </fill>
  </fills>
  <borders count="55">
    <border>
      <left/>
      <right/>
      <top/>
      <bottom/>
      <diagonal/>
    </border>
    <border>
      <left/>
      <right/>
      <top/>
      <bottom style="thin">
        <color indexed="9"/>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8"/>
      </right>
      <top style="medium">
        <color indexed="64"/>
      </top>
      <bottom/>
      <diagonal/>
    </border>
    <border>
      <left/>
      <right style="medium">
        <color indexed="8"/>
      </right>
      <top/>
      <bottom style="medium">
        <color indexed="64"/>
      </bottom>
      <diagonal/>
    </border>
    <border>
      <left style="medium">
        <color indexed="8"/>
      </left>
      <right/>
      <top style="medium">
        <color indexed="64"/>
      </top>
      <bottom/>
      <diagonal/>
    </border>
    <border>
      <left style="medium">
        <color indexed="8"/>
      </left>
      <right/>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style="medium">
        <color indexed="64"/>
      </bottom>
      <diagonal/>
    </border>
    <border>
      <left style="medium">
        <color indexed="64"/>
      </left>
      <right style="medium">
        <color indexed="64"/>
      </right>
      <top/>
      <bottom style="medium">
        <color indexed="8"/>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indexed="64"/>
      </right>
      <top/>
      <bottom style="medium">
        <color indexed="8"/>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10">
    <xf numFmtId="0" fontId="0" fillId="0" borderId="0"/>
    <xf numFmtId="43" fontId="17" fillId="0" borderId="0" applyFont="0" applyFill="0" applyBorder="0" applyAlignment="0" applyProtection="0"/>
    <xf numFmtId="44" fontId="18" fillId="0" borderId="0" applyFont="0" applyFill="0" applyBorder="0" applyAlignment="0" applyProtection="0"/>
    <xf numFmtId="0" fontId="31" fillId="0" borderId="0" applyNumberFormat="0" applyFill="0" applyBorder="0" applyAlignment="0" applyProtection="0">
      <alignment vertical="top"/>
      <protection locked="0"/>
    </xf>
    <xf numFmtId="9" fontId="19"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690">
    <xf numFmtId="0" fontId="0" fillId="0" borderId="0" xfId="0"/>
    <xf numFmtId="0" fontId="3" fillId="0" borderId="0" xfId="0" applyFont="1"/>
    <xf numFmtId="0" fontId="1" fillId="0" borderId="0" xfId="0" applyFont="1" applyAlignment="1">
      <alignment vertical="top" wrapText="1"/>
    </xf>
    <xf numFmtId="0" fontId="0" fillId="0" borderId="0" xfId="0" applyAlignment="1">
      <alignment vertical="top"/>
    </xf>
    <xf numFmtId="0" fontId="4" fillId="2" borderId="1" xfId="0" applyFont="1" applyFill="1" applyBorder="1" applyAlignment="1" applyProtection="1"/>
    <xf numFmtId="0" fontId="5" fillId="3" borderId="2" xfId="0" applyFont="1" applyFill="1" applyBorder="1" applyAlignment="1" applyProtection="1"/>
    <xf numFmtId="0" fontId="6" fillId="3" borderId="0" xfId="0" applyFont="1" applyFill="1" applyAlignment="1" applyProtection="1"/>
    <xf numFmtId="0" fontId="2" fillId="0" borderId="0" xfId="0" applyFont="1"/>
    <xf numFmtId="14" fontId="0" fillId="0" borderId="0" xfId="0" applyNumberFormat="1"/>
    <xf numFmtId="0" fontId="0" fillId="0" borderId="0" xfId="0" applyBorder="1"/>
    <xf numFmtId="0" fontId="3" fillId="0" borderId="0" xfId="0" applyFont="1" applyAlignment="1">
      <alignment horizontal="center" wrapText="1"/>
    </xf>
    <xf numFmtId="0" fontId="0" fillId="3" borderId="0" xfId="0" applyFill="1"/>
    <xf numFmtId="0" fontId="0" fillId="2" borderId="1" xfId="0" applyFill="1" applyBorder="1"/>
    <xf numFmtId="0" fontId="4" fillId="2" borderId="1" xfId="0" applyFont="1" applyFill="1" applyBorder="1"/>
    <xf numFmtId="0" fontId="6" fillId="3" borderId="0" xfId="0" applyFont="1" applyFill="1"/>
    <xf numFmtId="0" fontId="3" fillId="0" borderId="0" xfId="0" applyFont="1" applyAlignment="1">
      <alignment vertical="top" wrapText="1"/>
    </xf>
    <xf numFmtId="0" fontId="3" fillId="0" borderId="0" xfId="0" applyFont="1" applyBorder="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 fillId="0" borderId="0" xfId="0" applyFont="1" applyFill="1" applyAlignment="1">
      <alignment vertical="top"/>
    </xf>
    <xf numFmtId="0" fontId="11" fillId="0" borderId="0" xfId="0" applyFont="1" applyAlignment="1">
      <alignment vertical="top"/>
    </xf>
    <xf numFmtId="0" fontId="11" fillId="4" borderId="0" xfId="0" applyFont="1" applyFill="1" applyAlignment="1">
      <alignment vertical="top"/>
    </xf>
    <xf numFmtId="0" fontId="11" fillId="5" borderId="0" xfId="0" applyFont="1" applyFill="1" applyAlignment="1">
      <alignment vertical="top"/>
    </xf>
    <xf numFmtId="0" fontId="1" fillId="0" borderId="0" xfId="0" applyFont="1" applyBorder="1"/>
    <xf numFmtId="0" fontId="1" fillId="0" borderId="0" xfId="0" applyFont="1" applyFill="1" applyBorder="1"/>
    <xf numFmtId="0" fontId="5" fillId="3" borderId="0" xfId="0" applyFont="1" applyFill="1"/>
    <xf numFmtId="14" fontId="1" fillId="0" borderId="0" xfId="0" applyNumberFormat="1" applyFont="1" applyAlignment="1">
      <alignment vertical="top" wrapText="1"/>
    </xf>
    <xf numFmtId="0" fontId="1" fillId="0" borderId="0" xfId="0" applyFont="1"/>
    <xf numFmtId="0" fontId="1" fillId="0" borderId="3" xfId="0" applyFont="1" applyBorder="1"/>
    <xf numFmtId="0" fontId="3" fillId="2" borderId="1" xfId="0" applyFont="1" applyFill="1" applyBorder="1"/>
    <xf numFmtId="0" fontId="3" fillId="3" borderId="0" xfId="0" applyFont="1" applyFill="1"/>
    <xf numFmtId="0" fontId="20" fillId="0" borderId="0" xfId="0" applyFont="1"/>
    <xf numFmtId="14" fontId="20" fillId="0" borderId="0" xfId="0" applyNumberFormat="1" applyFont="1"/>
    <xf numFmtId="0" fontId="1" fillId="6" borderId="4" xfId="0" applyFont="1" applyFill="1" applyBorder="1" applyAlignment="1">
      <alignment horizontal="center" wrapText="1"/>
    </xf>
    <xf numFmtId="0" fontId="1" fillId="6" borderId="5" xfId="0" applyFont="1" applyFill="1" applyBorder="1" applyAlignment="1">
      <alignment horizontal="center" wrapText="1"/>
    </xf>
    <xf numFmtId="0" fontId="1" fillId="6" borderId="5" xfId="0" applyFont="1" applyFill="1" applyBorder="1" applyAlignment="1">
      <alignment wrapText="1"/>
    </xf>
    <xf numFmtId="14" fontId="21" fillId="0" borderId="4" xfId="0" applyNumberFormat="1" applyFont="1" applyBorder="1" applyAlignment="1">
      <alignment horizontal="right" wrapText="1"/>
    </xf>
    <xf numFmtId="14" fontId="21" fillId="0" borderId="5" xfId="0" applyNumberFormat="1" applyFont="1" applyBorder="1" applyAlignment="1">
      <alignment horizontal="right" wrapText="1"/>
    </xf>
    <xf numFmtId="0" fontId="1" fillId="0" borderId="5" xfId="0" applyFont="1" applyBorder="1" applyAlignment="1">
      <alignment horizontal="center"/>
    </xf>
    <xf numFmtId="0" fontId="21" fillId="0" borderId="5" xfId="0" applyFont="1" applyBorder="1" applyAlignment="1">
      <alignment horizontal="center"/>
    </xf>
    <xf numFmtId="0" fontId="1" fillId="0" borderId="5" xfId="0" applyFont="1" applyBorder="1" applyAlignment="1">
      <alignment horizontal="center" wrapText="1"/>
    </xf>
    <xf numFmtId="14" fontId="1" fillId="0" borderId="5" xfId="0" applyNumberFormat="1" applyFont="1" applyBorder="1" applyAlignment="1">
      <alignment horizontal="center"/>
    </xf>
    <xf numFmtId="0" fontId="13" fillId="0" borderId="0" xfId="0" applyFont="1"/>
    <xf numFmtId="0" fontId="21" fillId="6" borderId="6" xfId="0" applyFont="1" applyFill="1" applyBorder="1" applyAlignment="1">
      <alignment horizontal="center" wrapText="1"/>
    </xf>
    <xf numFmtId="0" fontId="21" fillId="6" borderId="7" xfId="0" applyFont="1" applyFill="1" applyBorder="1" applyAlignment="1">
      <alignment horizontal="center" wrapText="1"/>
    </xf>
    <xf numFmtId="0" fontId="21" fillId="6" borderId="4" xfId="0" applyFont="1" applyFill="1" applyBorder="1" applyAlignment="1">
      <alignment horizontal="center" wrapText="1"/>
    </xf>
    <xf numFmtId="0" fontId="21" fillId="6" borderId="5" xfId="0" applyFont="1" applyFill="1" applyBorder="1" applyAlignment="1">
      <alignment horizontal="center" wrapText="1"/>
    </xf>
    <xf numFmtId="0" fontId="12" fillId="6" borderId="5" xfId="0" applyFont="1" applyFill="1" applyBorder="1" applyAlignment="1">
      <alignment wrapText="1"/>
    </xf>
    <xf numFmtId="0" fontId="21" fillId="6" borderId="5" xfId="0" applyFont="1" applyFill="1" applyBorder="1" applyAlignment="1">
      <alignment wrapText="1"/>
    </xf>
    <xf numFmtId="14" fontId="21" fillId="0" borderId="4" xfId="0" applyNumberFormat="1" applyFont="1" applyBorder="1" applyAlignment="1">
      <alignment horizontal="right" vertical="top" wrapText="1"/>
    </xf>
    <xf numFmtId="14" fontId="21" fillId="0" borderId="5" xfId="0" applyNumberFormat="1" applyFont="1" applyBorder="1" applyAlignment="1">
      <alignment horizontal="right" vertical="top" wrapText="1"/>
    </xf>
    <xf numFmtId="0" fontId="21" fillId="0" borderId="5" xfId="0" applyFont="1" applyBorder="1" applyAlignment="1">
      <alignment horizontal="center" vertical="top"/>
    </xf>
    <xf numFmtId="14" fontId="21" fillId="0" borderId="5" xfId="0" applyNumberFormat="1" applyFont="1" applyBorder="1" applyAlignment="1">
      <alignment horizontal="center" vertical="top"/>
    </xf>
    <xf numFmtId="14" fontId="21" fillId="0" borderId="8" xfId="0" applyNumberFormat="1" applyFont="1" applyBorder="1" applyAlignment="1">
      <alignment horizontal="right" wrapText="1"/>
    </xf>
    <xf numFmtId="14" fontId="21" fillId="0" borderId="9" xfId="0" applyNumberFormat="1" applyFont="1" applyBorder="1" applyAlignment="1">
      <alignment horizontal="right" wrapText="1"/>
    </xf>
    <xf numFmtId="0" fontId="1" fillId="0" borderId="9" xfId="0" applyFont="1" applyBorder="1" applyAlignment="1">
      <alignment horizontal="center"/>
    </xf>
    <xf numFmtId="0" fontId="21" fillId="0" borderId="9" xfId="0" applyFont="1" applyBorder="1" applyAlignment="1">
      <alignment horizontal="center"/>
    </xf>
    <xf numFmtId="0" fontId="1" fillId="0" borderId="9" xfId="0" applyFont="1" applyBorder="1" applyAlignment="1">
      <alignment horizontal="center" wrapText="1"/>
    </xf>
    <xf numFmtId="14" fontId="1" fillId="0" borderId="9" xfId="0" applyNumberFormat="1" applyFont="1" applyBorder="1" applyAlignment="1">
      <alignment horizontal="center"/>
    </xf>
    <xf numFmtId="14" fontId="21" fillId="0" borderId="8" xfId="0" applyNumberFormat="1" applyFont="1" applyBorder="1" applyAlignment="1">
      <alignment horizontal="right" vertical="top" wrapText="1"/>
    </xf>
    <xf numFmtId="14" fontId="21" fillId="0" borderId="9" xfId="0" applyNumberFormat="1" applyFont="1" applyBorder="1" applyAlignment="1">
      <alignment horizontal="right" vertical="top" wrapText="1"/>
    </xf>
    <xf numFmtId="0" fontId="21" fillId="0" borderId="9" xfId="0" applyFont="1" applyBorder="1" applyAlignment="1">
      <alignment horizontal="center" vertical="top"/>
    </xf>
    <xf numFmtId="14" fontId="21" fillId="0" borderId="9" xfId="0" applyNumberFormat="1" applyFont="1" applyBorder="1" applyAlignment="1">
      <alignment horizontal="center" vertical="top"/>
    </xf>
    <xf numFmtId="0" fontId="21" fillId="0" borderId="5" xfId="0" applyFont="1" applyBorder="1" applyAlignment="1">
      <alignment horizontal="center" vertical="top" wrapText="1"/>
    </xf>
    <xf numFmtId="0" fontId="22" fillId="0" borderId="0" xfId="0" applyFont="1" applyAlignment="1">
      <alignment wrapText="1"/>
    </xf>
    <xf numFmtId="0" fontId="22" fillId="0" borderId="8" xfId="0" applyFont="1" applyBorder="1" applyAlignment="1">
      <alignment textRotation="180"/>
    </xf>
    <xf numFmtId="0" fontId="22" fillId="0" borderId="9" xfId="0" applyFont="1" applyBorder="1" applyAlignment="1">
      <alignment textRotation="180"/>
    </xf>
    <xf numFmtId="0" fontId="22" fillId="0" borderId="10" xfId="0" applyFont="1" applyBorder="1" applyAlignment="1">
      <alignment textRotation="180"/>
    </xf>
    <xf numFmtId="0" fontId="22" fillId="0" borderId="11" xfId="0" applyFont="1" applyBorder="1"/>
    <xf numFmtId="0" fontId="22" fillId="0" borderId="4" xfId="0" applyFont="1" applyBorder="1" applyAlignment="1">
      <alignment horizontal="right" vertical="top"/>
    </xf>
    <xf numFmtId="0" fontId="22" fillId="0" borderId="5" xfId="0" applyFont="1" applyBorder="1" applyAlignment="1">
      <alignment horizontal="right" vertical="top"/>
    </xf>
    <xf numFmtId="0" fontId="22" fillId="0" borderId="7" xfId="0" applyFont="1" applyBorder="1"/>
    <xf numFmtId="0" fontId="1" fillId="0" borderId="0" xfId="0" applyFont="1" applyAlignment="1">
      <alignment vertical="top"/>
    </xf>
    <xf numFmtId="0" fontId="22" fillId="0" borderId="4" xfId="0" applyFont="1" applyBorder="1"/>
    <xf numFmtId="0" fontId="22" fillId="0" borderId="12" xfId="0" applyFont="1" applyBorder="1"/>
    <xf numFmtId="0" fontId="22" fillId="0" borderId="8" xfId="0" applyFont="1" applyBorder="1"/>
    <xf numFmtId="0" fontId="31" fillId="0" borderId="0" xfId="3" applyAlignment="1" applyProtection="1"/>
    <xf numFmtId="0" fontId="20" fillId="0" borderId="0" xfId="0" applyNumberFormat="1" applyFont="1"/>
    <xf numFmtId="0" fontId="0" fillId="0" borderId="0" xfId="0" applyNumberFormat="1"/>
    <xf numFmtId="44" fontId="0" fillId="0" borderId="0" xfId="0" applyNumberFormat="1"/>
    <xf numFmtId="0" fontId="0" fillId="0" borderId="13" xfId="0" applyBorder="1"/>
    <xf numFmtId="0" fontId="0" fillId="0" borderId="14" xfId="0" applyBorder="1"/>
    <xf numFmtId="10" fontId="20" fillId="0" borderId="0" xfId="0" applyNumberFormat="1" applyFont="1"/>
    <xf numFmtId="0" fontId="0" fillId="0" borderId="15" xfId="0" applyBorder="1"/>
    <xf numFmtId="0" fontId="0" fillId="0" borderId="16" xfId="0" applyBorder="1"/>
    <xf numFmtId="0" fontId="0" fillId="0" borderId="17" xfId="0" applyBorder="1"/>
    <xf numFmtId="0" fontId="0" fillId="0" borderId="18" xfId="0" applyBorder="1"/>
    <xf numFmtId="0" fontId="23" fillId="0" borderId="19" xfId="0" applyFont="1" applyBorder="1"/>
    <xf numFmtId="0" fontId="23" fillId="0" borderId="0" xfId="0" applyFont="1" applyBorder="1"/>
    <xf numFmtId="0" fontId="23" fillId="0" borderId="20" xfId="0" applyFont="1" applyBorder="1"/>
    <xf numFmtId="0" fontId="24" fillId="0" borderId="0" xfId="0" applyFont="1"/>
    <xf numFmtId="0" fontId="31" fillId="0" borderId="0" xfId="3" applyAlignment="1" applyProtection="1">
      <alignment vertical="top" wrapText="1"/>
    </xf>
    <xf numFmtId="0" fontId="0" fillId="0" borderId="0" xfId="0" applyAlignment="1">
      <alignment wrapText="1"/>
    </xf>
    <xf numFmtId="0" fontId="25" fillId="0" borderId="8" xfId="0" applyFont="1" applyBorder="1" applyAlignment="1">
      <alignment vertical="top"/>
    </xf>
    <xf numFmtId="0" fontId="3" fillId="0" borderId="0" xfId="0" applyFont="1" applyAlignment="1">
      <alignment wrapText="1"/>
    </xf>
    <xf numFmtId="0" fontId="25" fillId="0" borderId="4" xfId="0" applyFont="1" applyBorder="1" applyAlignment="1">
      <alignment vertical="top" wrapText="1"/>
    </xf>
    <xf numFmtId="0" fontId="25" fillId="0" borderId="5" xfId="0" applyFont="1" applyBorder="1" applyAlignment="1">
      <alignment vertical="top" wrapText="1"/>
    </xf>
    <xf numFmtId="0" fontId="25" fillId="0" borderId="4" xfId="0" applyFont="1" applyBorder="1" applyAlignment="1">
      <alignment horizontal="left" vertical="top"/>
    </xf>
    <xf numFmtId="0" fontId="25" fillId="0" borderId="5" xfId="0" applyFont="1" applyBorder="1" applyAlignment="1">
      <alignment horizontal="left" vertical="top"/>
    </xf>
    <xf numFmtId="9" fontId="25" fillId="0" borderId="5" xfId="0" applyNumberFormat="1" applyFont="1" applyBorder="1" applyAlignment="1">
      <alignment horizontal="left" vertical="top"/>
    </xf>
    <xf numFmtId="10" fontId="25" fillId="0" borderId="5" xfId="0" applyNumberFormat="1" applyFont="1" applyBorder="1" applyAlignment="1">
      <alignment horizontal="left" vertical="top"/>
    </xf>
    <xf numFmtId="14" fontId="0" fillId="0" borderId="15" xfId="0" applyNumberFormat="1" applyBorder="1"/>
    <xf numFmtId="14" fontId="0" fillId="0" borderId="17" xfId="0" applyNumberFormat="1" applyBorder="1"/>
    <xf numFmtId="14" fontId="0" fillId="0" borderId="18" xfId="0" applyNumberFormat="1" applyBorder="1"/>
    <xf numFmtId="14" fontId="1" fillId="0" borderId="21" xfId="0" applyNumberFormat="1" applyFont="1" applyBorder="1"/>
    <xf numFmtId="14" fontId="0" fillId="0" borderId="22" xfId="0" applyNumberFormat="1" applyBorder="1"/>
    <xf numFmtId="0" fontId="0" fillId="0" borderId="23" xfId="0" applyBorder="1"/>
    <xf numFmtId="0" fontId="0" fillId="0" borderId="0" xfId="0" applyProtection="1">
      <protection hidden="1"/>
    </xf>
    <xf numFmtId="0" fontId="1" fillId="0" borderId="0" xfId="0" applyFont="1" applyProtection="1">
      <protection hidden="1"/>
    </xf>
    <xf numFmtId="14" fontId="1" fillId="0" borderId="0" xfId="0" applyNumberFormat="1" applyFont="1" applyProtection="1">
      <protection hidden="1"/>
    </xf>
    <xf numFmtId="2" fontId="1" fillId="0" borderId="0" xfId="0" applyNumberFormat="1" applyFont="1" applyProtection="1">
      <protection hidden="1"/>
    </xf>
    <xf numFmtId="0" fontId="22" fillId="0" borderId="24" xfId="0" applyFont="1" applyFill="1" applyBorder="1" applyAlignment="1">
      <alignment horizontal="right" vertical="top"/>
    </xf>
    <xf numFmtId="0" fontId="22" fillId="0" borderId="0" xfId="0" applyFont="1" applyFill="1" applyBorder="1" applyAlignment="1">
      <alignment horizontal="right" vertical="top"/>
    </xf>
    <xf numFmtId="0" fontId="22" fillId="0" borderId="6" xfId="0" applyFont="1" applyBorder="1" applyAlignment="1">
      <alignment horizontal="right" vertical="top"/>
    </xf>
    <xf numFmtId="14" fontId="1" fillId="0" borderId="0" xfId="0" applyNumberFormat="1" applyFont="1"/>
    <xf numFmtId="0" fontId="31" fillId="0" borderId="0" xfId="3" applyAlignment="1" applyProtection="1">
      <alignment wrapText="1"/>
    </xf>
    <xf numFmtId="14" fontId="32" fillId="0" borderId="0" xfId="0" applyNumberFormat="1" applyFont="1"/>
    <xf numFmtId="2" fontId="0" fillId="0" borderId="0" xfId="0" applyNumberFormat="1"/>
    <xf numFmtId="167" fontId="0" fillId="0" borderId="0" xfId="0" applyNumberFormat="1"/>
    <xf numFmtId="0" fontId="1" fillId="0" borderId="19" xfId="0" applyFont="1" applyBorder="1"/>
    <xf numFmtId="0" fontId="0" fillId="0" borderId="19" xfId="0" applyBorder="1"/>
    <xf numFmtId="0" fontId="31" fillId="0" borderId="19" xfId="3" applyBorder="1" applyAlignment="1" applyProtection="1"/>
    <xf numFmtId="14" fontId="0" fillId="0" borderId="19" xfId="0" applyNumberFormat="1" applyBorder="1"/>
    <xf numFmtId="0" fontId="3" fillId="0" borderId="19" xfId="0" applyFont="1" applyBorder="1" applyAlignment="1">
      <alignment wrapText="1"/>
    </xf>
    <xf numFmtId="0" fontId="33" fillId="3" borderId="0" xfId="0" applyFont="1" applyFill="1"/>
    <xf numFmtId="0" fontId="33" fillId="3" borderId="0" xfId="0" applyFont="1" applyFill="1" applyAlignment="1" applyProtection="1"/>
    <xf numFmtId="0" fontId="34" fillId="0" borderId="0" xfId="0" applyFont="1" applyAlignment="1">
      <alignment vertical="top"/>
    </xf>
    <xf numFmtId="3" fontId="0" fillId="0" borderId="0" xfId="0" applyNumberFormat="1"/>
    <xf numFmtId="0" fontId="32" fillId="0" borderId="0" xfId="0" applyFont="1"/>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1" fillId="0" borderId="4" xfId="0" applyFont="1" applyBorder="1" applyAlignment="1">
      <alignment horizontal="center" vertical="center"/>
    </xf>
    <xf numFmtId="2" fontId="0" fillId="0" borderId="0" xfId="0" applyNumberFormat="1" applyBorder="1"/>
    <xf numFmtId="2" fontId="0" fillId="0" borderId="25" xfId="0" applyNumberFormat="1" applyBorder="1"/>
    <xf numFmtId="0" fontId="36" fillId="0" borderId="11" xfId="0" applyFont="1" applyBorder="1" applyAlignment="1">
      <alignment horizontal="center" vertical="center"/>
    </xf>
    <xf numFmtId="0" fontId="36" fillId="0" borderId="10" xfId="0" applyFont="1" applyBorder="1" applyAlignment="1">
      <alignment horizontal="center" vertical="center"/>
    </xf>
    <xf numFmtId="0" fontId="36" fillId="0" borderId="10" xfId="0" applyFont="1" applyBorder="1" applyAlignment="1">
      <alignment horizontal="center" vertical="center" wrapText="1"/>
    </xf>
    <xf numFmtId="0" fontId="36" fillId="0" borderId="9" xfId="0" applyFont="1" applyBorder="1" applyAlignment="1">
      <alignment horizontal="center" vertical="center"/>
    </xf>
    <xf numFmtId="0" fontId="36" fillId="0" borderId="12" xfId="0" applyFont="1" applyBorder="1" applyAlignment="1">
      <alignment horizontal="center" vertical="center"/>
    </xf>
    <xf numFmtId="0" fontId="36" fillId="0" borderId="4" xfId="0" applyFont="1" applyBorder="1" applyAlignment="1">
      <alignment horizontal="center" vertical="center"/>
    </xf>
    <xf numFmtId="0" fontId="37" fillId="0" borderId="0" xfId="0" applyFont="1"/>
    <xf numFmtId="0" fontId="38" fillId="0" borderId="0" xfId="0" applyFont="1"/>
    <xf numFmtId="0" fontId="1" fillId="0" borderId="19" xfId="0" applyFont="1" applyBorder="1" applyAlignment="1">
      <alignment vertical="top" wrapText="1"/>
    </xf>
    <xf numFmtId="0" fontId="1" fillId="0" borderId="19" xfId="0" applyFont="1" applyBorder="1" applyAlignment="1">
      <alignment vertical="top"/>
    </xf>
    <xf numFmtId="14" fontId="0" fillId="0" borderId="19" xfId="0" applyNumberFormat="1" applyBorder="1" applyAlignment="1">
      <alignment vertical="top"/>
    </xf>
    <xf numFmtId="169" fontId="1" fillId="0" borderId="0" xfId="1" applyNumberFormat="1" applyFont="1"/>
    <xf numFmtId="169" fontId="0" fillId="0" borderId="0" xfId="0" applyNumberFormat="1"/>
    <xf numFmtId="1" fontId="0" fillId="0" borderId="0" xfId="0" applyNumberFormat="1" applyProtection="1">
      <protection hidden="1"/>
    </xf>
    <xf numFmtId="4" fontId="0" fillId="0" borderId="0" xfId="0" applyNumberFormat="1"/>
    <xf numFmtId="4" fontId="0" fillId="0" borderId="0" xfId="0" applyNumberFormat="1" applyAlignment="1">
      <alignment horizontal="right"/>
    </xf>
    <xf numFmtId="4" fontId="24" fillId="0" borderId="0" xfId="0" applyNumberFormat="1" applyFont="1"/>
    <xf numFmtId="0" fontId="3" fillId="0" borderId="24" xfId="0" applyFont="1" applyBorder="1"/>
    <xf numFmtId="3" fontId="0" fillId="0" borderId="25" xfId="0" applyNumberFormat="1" applyBorder="1"/>
    <xf numFmtId="4" fontId="0" fillId="0" borderId="25" xfId="0" applyNumberFormat="1" applyBorder="1"/>
    <xf numFmtId="4" fontId="0" fillId="0" borderId="5" xfId="0" applyNumberFormat="1" applyBorder="1"/>
    <xf numFmtId="0" fontId="3" fillId="0" borderId="30" xfId="0" applyFont="1" applyBorder="1"/>
    <xf numFmtId="0" fontId="3" fillId="0" borderId="12" xfId="0" applyFont="1" applyBorder="1"/>
    <xf numFmtId="0" fontId="3" fillId="0" borderId="4" xfId="0" applyFont="1" applyBorder="1"/>
    <xf numFmtId="2" fontId="0" fillId="0" borderId="30" xfId="0" applyNumberFormat="1" applyBorder="1"/>
    <xf numFmtId="2" fontId="0" fillId="0" borderId="12" xfId="0" applyNumberFormat="1" applyBorder="1"/>
    <xf numFmtId="0" fontId="0" fillId="0" borderId="4" xfId="0" applyBorder="1"/>
    <xf numFmtId="0" fontId="3" fillId="0" borderId="0" xfId="0" applyFont="1" applyFill="1" applyBorder="1"/>
    <xf numFmtId="0" fontId="3" fillId="0" borderId="31" xfId="0" applyFont="1" applyBorder="1"/>
    <xf numFmtId="0" fontId="3" fillId="0" borderId="32" xfId="0" applyFont="1" applyBorder="1"/>
    <xf numFmtId="0" fontId="1" fillId="7" borderId="25" xfId="0" applyFont="1" applyFill="1" applyBorder="1"/>
    <xf numFmtId="0" fontId="0" fillId="0" borderId="25" xfId="0" applyBorder="1"/>
    <xf numFmtId="2" fontId="0" fillId="0" borderId="6" xfId="0" applyNumberFormat="1" applyBorder="1"/>
    <xf numFmtId="0" fontId="0" fillId="0" borderId="5" xfId="0" applyBorder="1"/>
    <xf numFmtId="0" fontId="3" fillId="0" borderId="12" xfId="0" applyFont="1" applyFill="1" applyBorder="1"/>
    <xf numFmtId="0" fontId="3" fillId="0" borderId="4" xfId="0" applyFont="1" applyFill="1" applyBorder="1"/>
    <xf numFmtId="0" fontId="0" fillId="0" borderId="30" xfId="0" applyBorder="1"/>
    <xf numFmtId="3" fontId="0" fillId="0" borderId="0" xfId="0" applyNumberFormat="1" applyBorder="1"/>
    <xf numFmtId="3" fontId="1" fillId="0" borderId="0" xfId="0" applyNumberFormat="1" applyFont="1" applyBorder="1"/>
    <xf numFmtId="0" fontId="0" fillId="0" borderId="8" xfId="0" applyBorder="1"/>
    <xf numFmtId="0" fontId="3" fillId="0" borderId="10" xfId="0" applyFont="1" applyBorder="1"/>
    <xf numFmtId="0" fontId="3" fillId="0" borderId="9" xfId="0" applyFont="1" applyBorder="1"/>
    <xf numFmtId="0" fontId="3" fillId="0" borderId="8" xfId="0" applyFont="1" applyBorder="1"/>
    <xf numFmtId="3" fontId="0" fillId="0" borderId="33" xfId="0" applyNumberFormat="1" applyBorder="1"/>
    <xf numFmtId="4" fontId="0" fillId="0" borderId="7" xfId="0" applyNumberFormat="1" applyBorder="1"/>
    <xf numFmtId="3" fontId="0" fillId="0" borderId="6" xfId="0" applyNumberFormat="1" applyBorder="1"/>
    <xf numFmtId="0" fontId="3" fillId="0" borderId="11" xfId="0" applyFont="1" applyBorder="1"/>
    <xf numFmtId="3" fontId="1" fillId="0" borderId="33" xfId="0" applyNumberFormat="1" applyFont="1" applyBorder="1"/>
    <xf numFmtId="3" fontId="1" fillId="0" borderId="7" xfId="0" applyNumberFormat="1" applyFont="1" applyBorder="1"/>
    <xf numFmtId="0" fontId="0" fillId="0" borderId="6" xfId="0" applyBorder="1"/>
    <xf numFmtId="0" fontId="0" fillId="0" borderId="31" xfId="0" applyBorder="1"/>
    <xf numFmtId="0" fontId="3" fillId="0" borderId="6" xfId="0" applyFont="1" applyBorder="1"/>
    <xf numFmtId="10" fontId="37" fillId="0" borderId="0" xfId="0" applyNumberFormat="1" applyFont="1"/>
    <xf numFmtId="168" fontId="37" fillId="0" borderId="0" xfId="4" applyNumberFormat="1" applyFont="1"/>
    <xf numFmtId="14" fontId="0" fillId="0" borderId="32" xfId="0" applyNumberFormat="1" applyBorder="1"/>
    <xf numFmtId="0" fontId="0" fillId="0" borderId="31" xfId="0" applyBorder="1" applyAlignment="1">
      <alignment horizontal="right"/>
    </xf>
    <xf numFmtId="0" fontId="0" fillId="0" borderId="32" xfId="0" applyBorder="1" applyAlignment="1">
      <alignment horizontal="right"/>
    </xf>
    <xf numFmtId="0" fontId="0" fillId="0" borderId="0" xfId="0" applyBorder="1" applyAlignment="1">
      <alignment horizontal="right"/>
    </xf>
    <xf numFmtId="0" fontId="0" fillId="0" borderId="25" xfId="0" applyBorder="1" applyAlignment="1">
      <alignment horizontal="right"/>
    </xf>
    <xf numFmtId="0" fontId="1" fillId="0" borderId="6" xfId="0" applyFont="1" applyBorder="1"/>
    <xf numFmtId="0" fontId="0" fillId="0" borderId="5" xfId="0" applyBorder="1" applyAlignment="1">
      <alignment horizontal="right"/>
    </xf>
    <xf numFmtId="14" fontId="0" fillId="0" borderId="10" xfId="0" applyNumberFormat="1" applyBorder="1"/>
    <xf numFmtId="14" fontId="0" fillId="0" borderId="9" xfId="0" applyNumberFormat="1" applyBorder="1"/>
    <xf numFmtId="0" fontId="3" fillId="0" borderId="32" xfId="0" applyNumberFormat="1" applyFont="1" applyBorder="1"/>
    <xf numFmtId="14" fontId="0" fillId="0" borderId="11" xfId="0" applyNumberFormat="1" applyBorder="1"/>
    <xf numFmtId="14" fontId="0" fillId="0" borderId="24" xfId="0" applyNumberFormat="1" applyBorder="1"/>
    <xf numFmtId="0" fontId="0" fillId="0" borderId="33" xfId="0" applyBorder="1"/>
    <xf numFmtId="0" fontId="0" fillId="0" borderId="7" xfId="0" applyBorder="1"/>
    <xf numFmtId="0" fontId="0" fillId="0" borderId="24" xfId="0" applyBorder="1" applyAlignment="1">
      <alignment horizontal="right"/>
    </xf>
    <xf numFmtId="0" fontId="0" fillId="0" borderId="33" xfId="0" applyBorder="1" applyAlignment="1">
      <alignment horizontal="right"/>
    </xf>
    <xf numFmtId="0" fontId="0" fillId="0" borderId="7" xfId="0" applyBorder="1" applyAlignment="1">
      <alignment horizontal="right"/>
    </xf>
    <xf numFmtId="167" fontId="0" fillId="0" borderId="33" xfId="0" applyNumberFormat="1" applyBorder="1"/>
    <xf numFmtId="167" fontId="0" fillId="0" borderId="0" xfId="0" applyNumberFormat="1" applyBorder="1"/>
    <xf numFmtId="167" fontId="0" fillId="0" borderId="25" xfId="0" applyNumberFormat="1" applyBorder="1"/>
    <xf numFmtId="4" fontId="0" fillId="0" borderId="33" xfId="0" applyNumberFormat="1" applyBorder="1" applyAlignment="1">
      <alignment horizontal="right"/>
    </xf>
    <xf numFmtId="4" fontId="0" fillId="0" borderId="0" xfId="0" applyNumberFormat="1" applyBorder="1" applyAlignment="1">
      <alignment horizontal="right"/>
    </xf>
    <xf numFmtId="4" fontId="0" fillId="0" borderId="33" xfId="0" applyNumberFormat="1" applyBorder="1"/>
    <xf numFmtId="4" fontId="0" fillId="0" borderId="0" xfId="0" applyNumberFormat="1" applyBorder="1"/>
    <xf numFmtId="4" fontId="0" fillId="0" borderId="6" xfId="0" applyNumberFormat="1" applyBorder="1" applyAlignment="1">
      <alignment horizontal="right"/>
    </xf>
    <xf numFmtId="0" fontId="3" fillId="0" borderId="25" xfId="0" applyFont="1" applyBorder="1"/>
    <xf numFmtId="0" fontId="3" fillId="0" borderId="5" xfId="0" applyFont="1" applyBorder="1"/>
    <xf numFmtId="167" fontId="0" fillId="0" borderId="7" xfId="0" applyNumberFormat="1" applyBorder="1"/>
    <xf numFmtId="167" fontId="0" fillId="0" borderId="6" xfId="0" applyNumberFormat="1" applyBorder="1"/>
    <xf numFmtId="167" fontId="0" fillId="0" borderId="5" xfId="0" applyNumberFormat="1" applyBorder="1"/>
    <xf numFmtId="4" fontId="0" fillId="0" borderId="7" xfId="0" applyNumberFormat="1" applyBorder="1" applyAlignment="1">
      <alignment horizontal="right"/>
    </xf>
    <xf numFmtId="4" fontId="0" fillId="0" borderId="24" xfId="0" applyNumberFormat="1" applyBorder="1"/>
    <xf numFmtId="4" fontId="0" fillId="0" borderId="31" xfId="0" applyNumberFormat="1" applyBorder="1"/>
    <xf numFmtId="4" fontId="0" fillId="0" borderId="32" xfId="0" applyNumberFormat="1" applyBorder="1"/>
    <xf numFmtId="4" fontId="0" fillId="0" borderId="6" xfId="0" applyNumberFormat="1" applyBorder="1"/>
    <xf numFmtId="0" fontId="3" fillId="0" borderId="34" xfId="0" applyFont="1" applyBorder="1"/>
    <xf numFmtId="4" fontId="0" fillId="0" borderId="35" xfId="0" applyNumberFormat="1" applyBorder="1"/>
    <xf numFmtId="4" fontId="0" fillId="0" borderId="19" xfId="0" applyNumberFormat="1" applyBorder="1"/>
    <xf numFmtId="4" fontId="0" fillId="0" borderId="36" xfId="0" applyNumberFormat="1" applyBorder="1"/>
    <xf numFmtId="0" fontId="3" fillId="0" borderId="37" xfId="0" applyFont="1" applyBorder="1"/>
    <xf numFmtId="4" fontId="0" fillId="0" borderId="38" xfId="0" applyNumberFormat="1" applyBorder="1"/>
    <xf numFmtId="4" fontId="0" fillId="0" borderId="20" xfId="0" applyNumberFormat="1" applyBorder="1"/>
    <xf numFmtId="4" fontId="0" fillId="0" borderId="39" xfId="0" applyNumberFormat="1" applyBorder="1"/>
    <xf numFmtId="4" fontId="0" fillId="0" borderId="24" xfId="0" applyNumberFormat="1" applyBorder="1" applyAlignment="1">
      <alignment horizontal="right"/>
    </xf>
    <xf numFmtId="4" fontId="0" fillId="0" borderId="31" xfId="0" applyNumberFormat="1" applyBorder="1" applyAlignment="1">
      <alignment horizontal="right"/>
    </xf>
    <xf numFmtId="3" fontId="0" fillId="0" borderId="5" xfId="0" applyNumberFormat="1" applyBorder="1"/>
    <xf numFmtId="0" fontId="0" fillId="0" borderId="6" xfId="0" applyBorder="1" applyAlignment="1">
      <alignment horizontal="right"/>
    </xf>
    <xf numFmtId="0" fontId="1" fillId="0" borderId="12" xfId="0" applyFont="1" applyBorder="1"/>
    <xf numFmtId="0" fontId="1" fillId="0" borderId="4" xfId="0" applyFont="1" applyBorder="1"/>
    <xf numFmtId="0" fontId="3" fillId="0" borderId="10" xfId="0" applyFont="1" applyBorder="1" applyAlignment="1">
      <alignment horizontal="right"/>
    </xf>
    <xf numFmtId="0" fontId="3" fillId="0" borderId="9" xfId="0" applyFont="1" applyBorder="1" applyAlignment="1">
      <alignment horizontal="right"/>
    </xf>
    <xf numFmtId="166" fontId="0" fillId="0" borderId="32" xfId="0" applyNumberFormat="1" applyBorder="1"/>
    <xf numFmtId="166" fontId="0" fillId="0" borderId="25" xfId="0" applyNumberFormat="1" applyBorder="1"/>
    <xf numFmtId="166" fontId="0" fillId="0" borderId="25" xfId="0" applyNumberFormat="1" applyBorder="1" applyAlignment="1">
      <alignment horizontal="right"/>
    </xf>
    <xf numFmtId="0" fontId="1" fillId="0" borderId="30" xfId="0" applyFont="1" applyBorder="1"/>
    <xf numFmtId="0" fontId="1" fillId="0" borderId="8" xfId="0" applyFont="1" applyBorder="1"/>
    <xf numFmtId="14" fontId="0" fillId="0" borderId="30" xfId="0" applyNumberFormat="1" applyBorder="1"/>
    <xf numFmtId="10" fontId="1" fillId="0" borderId="12" xfId="4" applyNumberFormat="1" applyFont="1" applyBorder="1"/>
    <xf numFmtId="10" fontId="0" fillId="0" borderId="4" xfId="4" applyNumberFormat="1" applyFont="1" applyBorder="1"/>
    <xf numFmtId="14" fontId="0" fillId="0" borderId="0" xfId="0" applyNumberFormat="1" applyBorder="1"/>
    <xf numFmtId="14" fontId="0" fillId="0" borderId="25" xfId="0" applyNumberFormat="1" applyBorder="1"/>
    <xf numFmtId="44" fontId="0" fillId="0" borderId="0" xfId="0" applyNumberFormat="1" applyBorder="1"/>
    <xf numFmtId="44" fontId="0" fillId="0" borderId="25" xfId="0" applyNumberFormat="1" applyBorder="1"/>
    <xf numFmtId="44" fontId="0" fillId="0" borderId="6" xfId="0" applyNumberFormat="1" applyBorder="1"/>
    <xf numFmtId="44" fontId="0" fillId="0" borderId="5" xfId="0" applyNumberFormat="1" applyBorder="1"/>
    <xf numFmtId="167" fontId="0" fillId="0" borderId="0" xfId="0" applyNumberFormat="1" applyBorder="1" applyAlignment="1">
      <alignment horizontal="right"/>
    </xf>
    <xf numFmtId="3" fontId="0" fillId="0" borderId="12" xfId="0" applyNumberFormat="1" applyBorder="1"/>
    <xf numFmtId="3" fontId="1" fillId="0" borderId="4" xfId="0" applyNumberFormat="1" applyFont="1" applyBorder="1"/>
    <xf numFmtId="3" fontId="1" fillId="0" borderId="12" xfId="0" applyNumberFormat="1" applyFont="1" applyBorder="1"/>
    <xf numFmtId="44" fontId="0" fillId="0" borderId="31" xfId="0" applyNumberFormat="1" applyBorder="1"/>
    <xf numFmtId="44" fontId="0" fillId="0" borderId="32" xfId="0" applyNumberFormat="1" applyBorder="1"/>
    <xf numFmtId="44" fontId="1" fillId="0" borderId="0" xfId="0" applyNumberFormat="1" applyFont="1" applyBorder="1"/>
    <xf numFmtId="44" fontId="1" fillId="0" borderId="25" xfId="0" applyNumberFormat="1" applyFont="1" applyBorder="1"/>
    <xf numFmtId="0" fontId="0" fillId="0" borderId="0" xfId="0" applyNumberFormat="1" applyBorder="1"/>
    <xf numFmtId="0" fontId="0" fillId="0" borderId="25" xfId="0" applyNumberFormat="1" applyBorder="1"/>
    <xf numFmtId="0" fontId="1" fillId="0" borderId="6" xfId="0" applyNumberFormat="1" applyFont="1" applyBorder="1"/>
    <xf numFmtId="0" fontId="1" fillId="0" borderId="5" xfId="0" applyNumberFormat="1" applyFont="1" applyBorder="1"/>
    <xf numFmtId="14" fontId="0" fillId="0" borderId="0" xfId="0" applyNumberFormat="1" applyAlignment="1">
      <alignment vertical="top"/>
    </xf>
    <xf numFmtId="0" fontId="39" fillId="0" borderId="0" xfId="0" applyFont="1"/>
    <xf numFmtId="0" fontId="40" fillId="0" borderId="0" xfId="0" applyFont="1" applyFill="1" applyBorder="1"/>
    <xf numFmtId="167" fontId="0" fillId="0" borderId="31" xfId="0" applyNumberFormat="1" applyBorder="1"/>
    <xf numFmtId="167" fontId="0" fillId="0" borderId="33" xfId="0" applyNumberFormat="1" applyBorder="1" applyAlignment="1">
      <alignment horizontal="right"/>
    </xf>
    <xf numFmtId="167" fontId="1" fillId="0" borderId="30" xfId="0" applyNumberFormat="1" applyFont="1" applyBorder="1"/>
    <xf numFmtId="167" fontId="0" fillId="0" borderId="4" xfId="0" applyNumberFormat="1" applyBorder="1"/>
    <xf numFmtId="44" fontId="0" fillId="0" borderId="33" xfId="0" applyNumberFormat="1" applyBorder="1"/>
    <xf numFmtId="44" fontId="0" fillId="0" borderId="7" xfId="0" applyNumberFormat="1" applyBorder="1"/>
    <xf numFmtId="0" fontId="3" fillId="0" borderId="30" xfId="0" applyFont="1" applyFill="1" applyBorder="1"/>
    <xf numFmtId="1" fontId="0" fillId="0" borderId="24" xfId="0" applyNumberFormat="1" applyBorder="1"/>
    <xf numFmtId="1" fontId="0" fillId="0" borderId="31" xfId="0" applyNumberFormat="1" applyBorder="1"/>
    <xf numFmtId="1" fontId="0" fillId="0" borderId="32" xfId="0" applyNumberFormat="1" applyBorder="1"/>
    <xf numFmtId="0" fontId="16" fillId="0" borderId="0" xfId="0" applyFont="1" applyBorder="1" applyAlignment="1">
      <alignment horizontal="center" vertical="center" wrapText="1"/>
    </xf>
    <xf numFmtId="167" fontId="0" fillId="0" borderId="12" xfId="0" applyNumberFormat="1" applyBorder="1"/>
    <xf numFmtId="0" fontId="3" fillId="0" borderId="4" xfId="0" applyFont="1" applyBorder="1" applyAlignment="1">
      <alignment horizontal="left"/>
    </xf>
    <xf numFmtId="3" fontId="1" fillId="0" borderId="30" xfId="0" applyNumberFormat="1" applyFont="1" applyBorder="1"/>
    <xf numFmtId="4" fontId="1" fillId="0" borderId="33" xfId="0" applyNumberFormat="1" applyFont="1" applyBorder="1" applyAlignment="1">
      <alignment horizontal="right"/>
    </xf>
    <xf numFmtId="4" fontId="1" fillId="0" borderId="0" xfId="0" applyNumberFormat="1" applyFont="1" applyBorder="1"/>
    <xf numFmtId="4" fontId="1" fillId="0" borderId="0" xfId="0" applyNumberFormat="1" applyFont="1" applyBorder="1" applyAlignment="1">
      <alignment horizontal="right"/>
    </xf>
    <xf numFmtId="4" fontId="1" fillId="0" borderId="25" xfId="0" applyNumberFormat="1" applyFont="1" applyBorder="1" applyAlignment="1">
      <alignment horizontal="right"/>
    </xf>
    <xf numFmtId="0" fontId="1" fillId="0" borderId="31" xfId="0" applyFont="1" applyBorder="1"/>
    <xf numFmtId="0" fontId="0" fillId="0" borderId="32" xfId="0" applyBorder="1"/>
    <xf numFmtId="0" fontId="1" fillId="0" borderId="25" xfId="0" applyFont="1" applyBorder="1"/>
    <xf numFmtId="0" fontId="1" fillId="0" borderId="5" xfId="0" applyFont="1" applyBorder="1"/>
    <xf numFmtId="14" fontId="0" fillId="0" borderId="4" xfId="0" applyNumberFormat="1" applyBorder="1"/>
    <xf numFmtId="14" fontId="38" fillId="0" borderId="0" xfId="0" applyNumberFormat="1" applyFont="1"/>
    <xf numFmtId="0" fontId="1" fillId="0" borderId="0" xfId="0" applyFont="1" applyAlignment="1">
      <alignment wrapText="1"/>
    </xf>
    <xf numFmtId="14" fontId="38" fillId="0" borderId="0" xfId="0" applyNumberFormat="1" applyFont="1" applyProtection="1">
      <protection hidden="1"/>
    </xf>
    <xf numFmtId="14" fontId="37" fillId="0" borderId="0" xfId="0" applyNumberFormat="1" applyFont="1"/>
    <xf numFmtId="0" fontId="3" fillId="0" borderId="0" xfId="0" applyFont="1" applyBorder="1" applyAlignment="1">
      <alignment horizontal="center" vertical="center" wrapText="1"/>
    </xf>
    <xf numFmtId="1" fontId="0" fillId="0" borderId="0" xfId="0" applyNumberFormat="1" applyBorder="1"/>
    <xf numFmtId="0" fontId="0" fillId="0" borderId="24" xfId="0" applyBorder="1"/>
    <xf numFmtId="3" fontId="1" fillId="0" borderId="33" xfId="0" applyNumberFormat="1" applyFont="1" applyBorder="1" applyAlignment="1">
      <alignment horizontal="right"/>
    </xf>
    <xf numFmtId="1" fontId="0" fillId="0" borderId="25" xfId="0" applyNumberFormat="1" applyBorder="1"/>
    <xf numFmtId="1" fontId="0" fillId="0" borderId="33" xfId="0" applyNumberFormat="1" applyBorder="1"/>
    <xf numFmtId="0" fontId="32" fillId="0" borderId="5" xfId="0" applyFont="1" applyBorder="1"/>
    <xf numFmtId="4" fontId="0" fillId="0" borderId="35" xfId="0" applyNumberFormat="1" applyBorder="1" applyAlignment="1">
      <alignment horizontal="right"/>
    </xf>
    <xf numFmtId="0" fontId="32" fillId="0" borderId="25" xfId="0" applyFont="1" applyBorder="1"/>
    <xf numFmtId="170" fontId="0" fillId="0" borderId="0" xfId="0" applyNumberFormat="1"/>
    <xf numFmtId="172" fontId="1" fillId="0" borderId="33" xfId="0" applyNumberFormat="1" applyFont="1" applyBorder="1" applyAlignment="1">
      <alignment horizontal="right"/>
    </xf>
    <xf numFmtId="1" fontId="0" fillId="0" borderId="0" xfId="0" applyNumberFormat="1"/>
    <xf numFmtId="167" fontId="0" fillId="0" borderId="30" xfId="0" applyNumberFormat="1" applyBorder="1"/>
    <xf numFmtId="0" fontId="3" fillId="0" borderId="30" xfId="0" applyFont="1" applyBorder="1" applyAlignment="1">
      <alignment horizontal="left"/>
    </xf>
    <xf numFmtId="0" fontId="3" fillId="0" borderId="30" xfId="0" applyFont="1" applyBorder="1" applyAlignment="1">
      <alignment horizontal="center" vertical="center" wrapText="1"/>
    </xf>
    <xf numFmtId="0" fontId="3" fillId="0" borderId="0" xfId="0" applyFont="1" applyBorder="1" applyAlignment="1">
      <alignment horizontal="center" vertical="center" wrapText="1"/>
    </xf>
    <xf numFmtId="0" fontId="34" fillId="0" borderId="0" xfId="0" applyFont="1" applyProtection="1">
      <protection hidden="1"/>
    </xf>
    <xf numFmtId="0" fontId="34" fillId="0" borderId="0" xfId="0" applyFont="1"/>
    <xf numFmtId="14" fontId="3" fillId="0" borderId="0" xfId="0" applyNumberFormat="1" applyFont="1" applyProtection="1">
      <protection hidden="1"/>
    </xf>
    <xf numFmtId="0" fontId="0" fillId="0" borderId="0" xfId="0" applyBorder="1" applyProtection="1">
      <protection hidden="1"/>
    </xf>
    <xf numFmtId="167" fontId="0" fillId="0" borderId="12" xfId="0" applyNumberFormat="1" applyBorder="1" applyAlignment="1">
      <alignment horizontal="right"/>
    </xf>
    <xf numFmtId="4" fontId="1" fillId="0" borderId="12" xfId="0" applyNumberFormat="1" applyFont="1" applyBorder="1" applyAlignment="1">
      <alignment horizontal="right"/>
    </xf>
    <xf numFmtId="4" fontId="1" fillId="0" borderId="8" xfId="0" applyNumberFormat="1" applyFont="1" applyBorder="1" applyAlignment="1">
      <alignment horizontal="right"/>
    </xf>
    <xf numFmtId="3" fontId="1" fillId="0" borderId="12" xfId="0" applyNumberFormat="1" applyFont="1" applyBorder="1" applyAlignment="1">
      <alignment horizontal="right"/>
    </xf>
    <xf numFmtId="172" fontId="1" fillId="0" borderId="12" xfId="0" applyNumberFormat="1" applyFont="1" applyBorder="1" applyAlignment="1">
      <alignment horizontal="right"/>
    </xf>
    <xf numFmtId="4" fontId="0" fillId="0" borderId="30" xfId="0" applyNumberFormat="1" applyBorder="1"/>
    <xf numFmtId="4" fontId="0" fillId="0" borderId="4" xfId="0" applyNumberFormat="1" applyBorder="1"/>
    <xf numFmtId="0" fontId="1" fillId="0" borderId="32" xfId="0" applyFont="1" applyBorder="1"/>
    <xf numFmtId="0" fontId="0" fillId="0" borderId="5" xfId="0" applyNumberFormat="1" applyBorder="1"/>
    <xf numFmtId="0" fontId="3" fillId="0" borderId="0" xfId="0" applyFont="1" applyFill="1" applyBorder="1" applyAlignment="1">
      <alignment wrapText="1"/>
    </xf>
    <xf numFmtId="173" fontId="0" fillId="0" borderId="0" xfId="0" applyNumberFormat="1" applyBorder="1"/>
    <xf numFmtId="173" fontId="0" fillId="0" borderId="25" xfId="0" applyNumberFormat="1" applyBorder="1"/>
    <xf numFmtId="0" fontId="3" fillId="0" borderId="4" xfId="0" applyFont="1" applyBorder="1" applyAlignment="1">
      <alignment horizontal="center" vertical="center"/>
    </xf>
    <xf numFmtId="4" fontId="0" fillId="0" borderId="12" xfId="0" applyNumberFormat="1" applyBorder="1"/>
    <xf numFmtId="0" fontId="1" fillId="0" borderId="8" xfId="0" applyFont="1" applyBorder="1" applyAlignment="1">
      <alignment horizontal="center" vertical="center"/>
    </xf>
    <xf numFmtId="0" fontId="3" fillId="0" borderId="5" xfId="0" applyFont="1" applyBorder="1" applyAlignment="1">
      <alignment horizontal="center" vertical="center"/>
    </xf>
    <xf numFmtId="166" fontId="1" fillId="0" borderId="5" xfId="0" applyNumberFormat="1" applyFont="1" applyBorder="1" applyAlignment="1">
      <alignment horizontal="center" vertical="center"/>
    </xf>
    <xf numFmtId="0" fontId="41" fillId="0" borderId="0" xfId="0" applyFont="1" applyAlignment="1">
      <alignment vertical="center" wrapText="1"/>
    </xf>
    <xf numFmtId="0" fontId="1" fillId="0" borderId="9" xfId="0" applyFont="1" applyBorder="1"/>
    <xf numFmtId="0" fontId="3" fillId="0" borderId="0" xfId="0" applyFont="1" applyBorder="1" applyAlignment="1">
      <alignment horizontal="center" vertical="center" wrapText="1"/>
    </xf>
    <xf numFmtId="0" fontId="3" fillId="0" borderId="0" xfId="0" applyFont="1" applyBorder="1" applyAlignment="1">
      <alignment horizontal="left"/>
    </xf>
    <xf numFmtId="167" fontId="3" fillId="0" borderId="30" xfId="0" applyNumberFormat="1" applyFont="1" applyBorder="1"/>
    <xf numFmtId="0" fontId="3" fillId="0" borderId="12" xfId="0" applyFont="1" applyBorder="1" applyAlignment="1">
      <alignment horizontal="left"/>
    </xf>
    <xf numFmtId="166" fontId="0" fillId="0" borderId="30" xfId="0" applyNumberFormat="1" applyBorder="1"/>
    <xf numFmtId="166" fontId="0" fillId="0" borderId="12" xfId="0" applyNumberFormat="1" applyBorder="1"/>
    <xf numFmtId="167" fontId="0" fillId="0" borderId="32" xfId="0" applyNumberFormat="1" applyBorder="1"/>
    <xf numFmtId="167" fontId="1" fillId="0" borderId="5" xfId="0" applyNumberFormat="1" applyFont="1" applyBorder="1"/>
    <xf numFmtId="166" fontId="0" fillId="0" borderId="0" xfId="0" applyNumberFormat="1"/>
    <xf numFmtId="166" fontId="0" fillId="0" borderId="0" xfId="0" applyNumberFormat="1" applyBorder="1"/>
    <xf numFmtId="167" fontId="3" fillId="0" borderId="12" xfId="0" applyNumberFormat="1" applyFont="1" applyBorder="1"/>
    <xf numFmtId="2" fontId="0" fillId="0" borderId="4" xfId="0" applyNumberFormat="1" applyBorder="1"/>
    <xf numFmtId="166" fontId="38" fillId="0" borderId="0" xfId="0" applyNumberFormat="1" applyFont="1"/>
    <xf numFmtId="2" fontId="1" fillId="0" borderId="0" xfId="0" applyNumberFormat="1" applyFont="1"/>
    <xf numFmtId="2" fontId="1" fillId="0" borderId="30" xfId="0" applyNumberFormat="1" applyFont="1" applyBorder="1"/>
    <xf numFmtId="2" fontId="1" fillId="0" borderId="4" xfId="0" applyNumberFormat="1" applyFont="1" applyBorder="1"/>
    <xf numFmtId="0" fontId="3" fillId="0" borderId="9" xfId="0" applyFont="1" applyBorder="1" applyAlignment="1">
      <alignment horizontal="center" vertical="center"/>
    </xf>
    <xf numFmtId="174" fontId="1" fillId="0" borderId="0" xfId="0" applyNumberFormat="1" applyFont="1" applyProtection="1">
      <protection hidden="1"/>
    </xf>
    <xf numFmtId="175" fontId="1" fillId="0" borderId="0" xfId="0" applyNumberFormat="1" applyFont="1" applyProtection="1">
      <protection hidden="1"/>
    </xf>
    <xf numFmtId="3" fontId="0" fillId="0" borderId="31" xfId="0" applyNumberFormat="1" applyBorder="1"/>
    <xf numFmtId="3" fontId="0" fillId="0" borderId="32" xfId="0" applyNumberFormat="1" applyBorder="1"/>
    <xf numFmtId="3" fontId="0" fillId="0" borderId="24" xfId="0" applyNumberFormat="1" applyBorder="1"/>
    <xf numFmtId="0" fontId="1" fillId="7" borderId="31" xfId="0" applyFont="1" applyFill="1" applyBorder="1"/>
    <xf numFmtId="0" fontId="0" fillId="0" borderId="3" xfId="0" applyBorder="1"/>
    <xf numFmtId="0" fontId="3" fillId="0" borderId="21" xfId="0" applyFont="1" applyBorder="1"/>
    <xf numFmtId="0" fontId="1" fillId="0" borderId="21" xfId="0" applyFont="1" applyBorder="1"/>
    <xf numFmtId="167" fontId="1" fillId="0" borderId="31" xfId="0" applyNumberFormat="1" applyFont="1" applyBorder="1"/>
    <xf numFmtId="14" fontId="0" fillId="0" borderId="8" xfId="0" applyNumberFormat="1" applyBorder="1"/>
    <xf numFmtId="0" fontId="1" fillId="8" borderId="0" xfId="5" applyFill="1"/>
    <xf numFmtId="0" fontId="44" fillId="8" borderId="0" xfId="5" applyFont="1" applyFill="1"/>
    <xf numFmtId="0" fontId="44" fillId="8" borderId="24" xfId="5" applyFont="1" applyFill="1" applyBorder="1"/>
    <xf numFmtId="0" fontId="44" fillId="8" borderId="31" xfId="5" applyFont="1" applyFill="1" applyBorder="1"/>
    <xf numFmtId="0" fontId="44" fillId="8" borderId="32" xfId="5" applyFont="1" applyFill="1" applyBorder="1"/>
    <xf numFmtId="0" fontId="44" fillId="8" borderId="33" xfId="5" applyFont="1" applyFill="1" applyBorder="1"/>
    <xf numFmtId="0" fontId="45" fillId="8" borderId="0" xfId="5" applyFont="1" applyFill="1" applyBorder="1"/>
    <xf numFmtId="0" fontId="44" fillId="8" borderId="25" xfId="5" applyFont="1" applyFill="1" applyBorder="1"/>
    <xf numFmtId="14" fontId="45" fillId="8" borderId="0" xfId="5" applyNumberFormat="1" applyFont="1" applyFill="1" applyBorder="1"/>
    <xf numFmtId="0" fontId="44" fillId="0" borderId="25" xfId="5" applyFont="1" applyBorder="1" applyAlignment="1"/>
    <xf numFmtId="0" fontId="45" fillId="8" borderId="0" xfId="5" applyFont="1" applyFill="1" applyBorder="1" applyAlignment="1"/>
    <xf numFmtId="0" fontId="44" fillId="8" borderId="7" xfId="5" applyFont="1" applyFill="1" applyBorder="1"/>
    <xf numFmtId="0" fontId="45" fillId="8" borderId="6" xfId="5" applyFont="1" applyFill="1" applyBorder="1"/>
    <xf numFmtId="164" fontId="45" fillId="8" borderId="6" xfId="5" applyNumberFormat="1" applyFont="1" applyFill="1" applyBorder="1"/>
    <xf numFmtId="0" fontId="44" fillId="8" borderId="5" xfId="5" applyFont="1" applyFill="1" applyBorder="1"/>
    <xf numFmtId="164" fontId="45" fillId="8" borderId="0" xfId="5" applyNumberFormat="1" applyFont="1" applyFill="1" applyBorder="1"/>
    <xf numFmtId="0" fontId="44" fillId="8" borderId="0" xfId="5" applyFont="1" applyFill="1" applyBorder="1"/>
    <xf numFmtId="0" fontId="45" fillId="8" borderId="0" xfId="5" applyFont="1" applyFill="1"/>
    <xf numFmtId="0" fontId="45" fillId="8" borderId="0" xfId="5" applyFont="1" applyFill="1" applyAlignment="1"/>
    <xf numFmtId="0" fontId="47" fillId="8" borderId="31" xfId="5" applyFont="1" applyFill="1" applyBorder="1" applyAlignment="1" applyProtection="1">
      <alignment vertical="center"/>
      <protection hidden="1"/>
    </xf>
    <xf numFmtId="0" fontId="45" fillId="8" borderId="31" xfId="5" applyFont="1" applyFill="1" applyBorder="1"/>
    <xf numFmtId="0" fontId="46" fillId="8" borderId="0" xfId="5" applyFont="1" applyFill="1" applyBorder="1"/>
    <xf numFmtId="0" fontId="44" fillId="8" borderId="6" xfId="5" applyFont="1" applyFill="1" applyBorder="1"/>
    <xf numFmtId="14" fontId="44" fillId="8" borderId="0" xfId="5" applyNumberFormat="1" applyFont="1" applyFill="1"/>
    <xf numFmtId="0" fontId="48" fillId="8" borderId="0" xfId="5" applyFont="1" applyFill="1"/>
    <xf numFmtId="14" fontId="45" fillId="8" borderId="3" xfId="5" applyNumberFormat="1" applyFont="1" applyFill="1" applyBorder="1"/>
    <xf numFmtId="164" fontId="45" fillId="8" borderId="3" xfId="5" applyNumberFormat="1" applyFont="1" applyFill="1" applyBorder="1" applyAlignment="1">
      <alignment horizontal="right"/>
    </xf>
    <xf numFmtId="0" fontId="46" fillId="8" borderId="0" xfId="5" applyFont="1" applyFill="1" applyBorder="1" applyAlignment="1" applyProtection="1">
      <alignment vertical="center" wrapText="1"/>
      <protection hidden="1"/>
    </xf>
    <xf numFmtId="0" fontId="45" fillId="8" borderId="0" xfId="5" applyFont="1" applyFill="1" applyAlignment="1"/>
    <xf numFmtId="0" fontId="44" fillId="0" borderId="0" xfId="5" applyFont="1" applyAlignment="1"/>
    <xf numFmtId="0" fontId="45" fillId="8" borderId="3" xfId="5" applyFont="1" applyFill="1" applyBorder="1" applyAlignment="1">
      <alignment horizontal="right"/>
    </xf>
    <xf numFmtId="0" fontId="45" fillId="8" borderId="0" xfId="5" applyFont="1" applyFill="1" applyBorder="1" applyAlignment="1">
      <alignment horizontal="right"/>
    </xf>
    <xf numFmtId="164" fontId="45" fillId="8" borderId="0" xfId="5" applyNumberFormat="1" applyFont="1" applyFill="1" applyBorder="1" applyAlignment="1">
      <alignment horizontal="right"/>
    </xf>
    <xf numFmtId="0" fontId="46" fillId="8" borderId="0" xfId="5" applyFont="1" applyFill="1" applyBorder="1" applyAlignment="1">
      <alignment wrapText="1"/>
    </xf>
    <xf numFmtId="0" fontId="46" fillId="8" borderId="6" xfId="5" applyFont="1" applyFill="1" applyBorder="1"/>
    <xf numFmtId="164" fontId="45" fillId="8" borderId="6" xfId="5" applyNumberFormat="1" applyFont="1" applyFill="1" applyBorder="1" applyAlignment="1">
      <alignment horizontal="right"/>
    </xf>
    <xf numFmtId="0" fontId="44" fillId="8" borderId="0" xfId="5" applyFont="1" applyFill="1" applyBorder="1" applyAlignment="1" applyProtection="1">
      <alignment vertical="center" wrapText="1"/>
      <protection hidden="1"/>
    </xf>
    <xf numFmtId="49" fontId="48" fillId="8" borderId="0" xfId="5" quotePrefix="1" applyNumberFormat="1" applyFont="1" applyFill="1" applyBorder="1" applyAlignment="1">
      <alignment horizontal="left" vertical="center" wrapText="1"/>
    </xf>
    <xf numFmtId="0" fontId="49" fillId="8" borderId="0" xfId="5" applyFont="1" applyFill="1"/>
    <xf numFmtId="176" fontId="0" fillId="0" borderId="0" xfId="1" applyNumberFormat="1" applyFont="1"/>
    <xf numFmtId="0" fontId="1" fillId="0" borderId="15" xfId="0" applyFont="1" applyBorder="1"/>
    <xf numFmtId="0" fontId="1" fillId="0" borderId="17" xfId="0" applyFont="1" applyFill="1" applyBorder="1"/>
    <xf numFmtId="2" fontId="1" fillId="0" borderId="17" xfId="0" applyNumberFormat="1" applyFont="1" applyBorder="1"/>
    <xf numFmtId="0" fontId="0" fillId="0" borderId="20" xfId="0" applyBorder="1"/>
    <xf numFmtId="44" fontId="0" fillId="0" borderId="31" xfId="0" applyNumberFormat="1" applyFill="1" applyBorder="1"/>
    <xf numFmtId="0" fontId="1" fillId="0" borderId="4" xfId="0" applyFont="1" applyFill="1" applyBorder="1"/>
    <xf numFmtId="0" fontId="1" fillId="0" borderId="12" xfId="0" applyFont="1" applyFill="1" applyBorder="1"/>
    <xf numFmtId="0" fontId="0" fillId="0" borderId="0" xfId="0" applyAlignment="1"/>
    <xf numFmtId="0" fontId="3" fillId="0" borderId="33" xfId="0" applyFont="1" applyBorder="1"/>
    <xf numFmtId="0" fontId="1" fillId="0" borderId="24" xfId="0" applyFont="1" applyBorder="1"/>
    <xf numFmtId="0" fontId="1" fillId="0" borderId="7" xfId="0" applyFont="1" applyBorder="1"/>
    <xf numFmtId="0" fontId="0" fillId="0" borderId="30" xfId="0" applyNumberFormat="1" applyBorder="1"/>
    <xf numFmtId="0" fontId="0" fillId="0" borderId="15" xfId="0" applyBorder="1" applyProtection="1">
      <protection hidden="1"/>
    </xf>
    <xf numFmtId="0" fontId="0" fillId="0" borderId="19" xfId="0" applyBorder="1" applyProtection="1">
      <protection hidden="1"/>
    </xf>
    <xf numFmtId="0" fontId="0" fillId="0" borderId="16" xfId="0" applyBorder="1" applyProtection="1">
      <protection hidden="1"/>
    </xf>
    <xf numFmtId="0" fontId="0" fillId="0" borderId="17" xfId="0" applyBorder="1" applyProtection="1">
      <protection hidden="1"/>
    </xf>
    <xf numFmtId="0" fontId="0" fillId="0" borderId="13" xfId="0" applyBorder="1" applyProtection="1">
      <protection hidden="1"/>
    </xf>
    <xf numFmtId="0" fontId="0" fillId="8" borderId="0" xfId="0" applyFill="1" applyProtection="1">
      <protection hidden="1"/>
    </xf>
    <xf numFmtId="0" fontId="1" fillId="8" borderId="0" xfId="0" applyFont="1" applyFill="1" applyProtection="1">
      <protection hidden="1"/>
    </xf>
    <xf numFmtId="0" fontId="0" fillId="8" borderId="0" xfId="0" applyFill="1" applyBorder="1" applyProtection="1">
      <protection hidden="1"/>
    </xf>
    <xf numFmtId="0" fontId="0" fillId="8" borderId="0" xfId="0" applyFill="1" applyAlignment="1" applyProtection="1">
      <alignment wrapText="1"/>
      <protection hidden="1"/>
    </xf>
    <xf numFmtId="14" fontId="1" fillId="8" borderId="0" xfId="0" applyNumberFormat="1" applyFont="1" applyFill="1" applyProtection="1">
      <protection hidden="1"/>
    </xf>
    <xf numFmtId="0" fontId="3" fillId="8" borderId="0" xfId="0" applyFont="1" applyFill="1" applyProtection="1">
      <protection hidden="1"/>
    </xf>
    <xf numFmtId="0" fontId="26" fillId="8" borderId="0" xfId="0" applyFont="1" applyFill="1" applyProtection="1">
      <protection hidden="1"/>
    </xf>
    <xf numFmtId="0" fontId="24" fillId="8" borderId="0" xfId="0" applyFont="1" applyFill="1" applyProtection="1">
      <protection hidden="1"/>
    </xf>
    <xf numFmtId="0" fontId="8" fillId="8" borderId="0" xfId="0" applyFont="1" applyFill="1" applyProtection="1">
      <protection hidden="1"/>
    </xf>
    <xf numFmtId="0" fontId="0" fillId="8" borderId="13" xfId="0" applyFill="1" applyBorder="1" applyProtection="1">
      <protection hidden="1"/>
    </xf>
    <xf numFmtId="0" fontId="1" fillId="8" borderId="20" xfId="0" applyFont="1" applyFill="1" applyBorder="1" applyProtection="1">
      <protection hidden="1"/>
    </xf>
    <xf numFmtId="0" fontId="0" fillId="8" borderId="14" xfId="0" applyFill="1" applyBorder="1" applyProtection="1">
      <protection hidden="1"/>
    </xf>
    <xf numFmtId="0" fontId="3" fillId="8" borderId="19" xfId="0" applyFont="1" applyFill="1" applyBorder="1" applyProtection="1">
      <protection hidden="1"/>
    </xf>
    <xf numFmtId="0" fontId="0" fillId="8" borderId="19" xfId="0" applyFill="1" applyBorder="1" applyProtection="1">
      <protection hidden="1"/>
    </xf>
    <xf numFmtId="0" fontId="3" fillId="8" borderId="0" xfId="0" applyFont="1" applyFill="1" applyBorder="1" applyProtection="1">
      <protection hidden="1"/>
    </xf>
    <xf numFmtId="0" fontId="41" fillId="8" borderId="0" xfId="0" applyFont="1" applyFill="1" applyBorder="1" applyProtection="1"/>
    <xf numFmtId="0" fontId="1" fillId="8" borderId="0" xfId="0" applyFont="1" applyFill="1" applyBorder="1" applyProtection="1">
      <protection hidden="1"/>
    </xf>
    <xf numFmtId="2" fontId="0" fillId="8" borderId="0" xfId="0" applyNumberFormat="1" applyFill="1" applyBorder="1" applyProtection="1">
      <protection hidden="1"/>
    </xf>
    <xf numFmtId="0" fontId="38" fillId="8" borderId="0" xfId="0" applyFont="1" applyFill="1" applyBorder="1" applyProtection="1">
      <protection hidden="1"/>
    </xf>
    <xf numFmtId="0" fontId="41" fillId="8" borderId="0" xfId="0" applyFont="1" applyFill="1" applyBorder="1" applyProtection="1">
      <protection hidden="1"/>
    </xf>
    <xf numFmtId="0" fontId="12" fillId="8" borderId="0" xfId="0" applyFont="1" applyFill="1" applyBorder="1" applyProtection="1">
      <protection hidden="1"/>
    </xf>
    <xf numFmtId="0" fontId="41" fillId="8" borderId="0" xfId="0" applyFont="1" applyFill="1" applyBorder="1" applyAlignment="1" applyProtection="1">
      <alignment horizontal="left"/>
      <protection hidden="1"/>
    </xf>
    <xf numFmtId="0" fontId="41" fillId="8" borderId="0" xfId="2" applyNumberFormat="1" applyFont="1" applyFill="1" applyBorder="1" applyProtection="1">
      <protection locked="0"/>
    </xf>
    <xf numFmtId="0" fontId="41" fillId="8" borderId="0" xfId="0" quotePrefix="1" applyFont="1" applyFill="1" applyBorder="1" applyAlignment="1" applyProtection="1">
      <alignment horizontal="right"/>
    </xf>
    <xf numFmtId="0" fontId="0" fillId="8" borderId="0" xfId="0" applyFill="1" applyBorder="1" applyAlignment="1" applyProtection="1">
      <alignment horizontal="center"/>
      <protection hidden="1"/>
    </xf>
    <xf numFmtId="0" fontId="38" fillId="8" borderId="13" xfId="0" applyFont="1" applyFill="1" applyBorder="1" applyProtection="1">
      <protection hidden="1"/>
    </xf>
    <xf numFmtId="0" fontId="27" fillId="8" borderId="0" xfId="2" applyNumberFormat="1" applyFont="1" applyFill="1" applyBorder="1" applyProtection="1">
      <protection locked="0"/>
    </xf>
    <xf numFmtId="0" fontId="41" fillId="8" borderId="20" xfId="0" applyFont="1" applyFill="1" applyBorder="1" applyProtection="1"/>
    <xf numFmtId="0" fontId="0" fillId="8" borderId="20" xfId="0" applyFill="1" applyBorder="1" applyProtection="1">
      <protection hidden="1"/>
    </xf>
    <xf numFmtId="0" fontId="51" fillId="8" borderId="0" xfId="0" applyFont="1" applyFill="1" applyBorder="1" applyProtection="1">
      <protection hidden="1"/>
    </xf>
    <xf numFmtId="164" fontId="51" fillId="8" borderId="0" xfId="0" applyNumberFormat="1" applyFont="1" applyFill="1" applyBorder="1" applyAlignment="1" applyProtection="1">
      <alignment horizontal="center"/>
      <protection hidden="1"/>
    </xf>
    <xf numFmtId="0" fontId="41" fillId="8" borderId="20" xfId="0" applyFont="1" applyFill="1" applyBorder="1" applyProtection="1">
      <protection hidden="1"/>
    </xf>
    <xf numFmtId="0" fontId="51" fillId="8" borderId="20" xfId="0" applyFont="1" applyFill="1" applyBorder="1" applyProtection="1">
      <protection hidden="1"/>
    </xf>
    <xf numFmtId="49" fontId="1" fillId="8" borderId="0" xfId="0" applyNumberFormat="1" applyFont="1" applyFill="1" applyBorder="1" applyAlignment="1">
      <alignment horizontal="left"/>
    </xf>
    <xf numFmtId="49" fontId="3" fillId="8" borderId="0" xfId="0" applyNumberFormat="1" applyFont="1" applyFill="1" applyBorder="1" applyAlignment="1">
      <alignment vertical="center"/>
    </xf>
    <xf numFmtId="49" fontId="1" fillId="8" borderId="0" xfId="0" applyNumberFormat="1" applyFont="1" applyFill="1" applyBorder="1" applyAlignment="1">
      <alignment vertical="center"/>
    </xf>
    <xf numFmtId="0" fontId="20" fillId="8" borderId="0" xfId="0" applyFont="1" applyFill="1" applyProtection="1">
      <protection hidden="1"/>
    </xf>
    <xf numFmtId="43" fontId="1" fillId="8" borderId="0" xfId="1" applyFont="1" applyFill="1" applyProtection="1">
      <protection hidden="1"/>
    </xf>
    <xf numFmtId="0" fontId="1" fillId="8" borderId="0" xfId="0" applyFont="1" applyFill="1" applyAlignment="1" applyProtection="1">
      <alignment horizontal="right"/>
      <protection hidden="1"/>
    </xf>
    <xf numFmtId="2" fontId="1" fillId="8" borderId="0" xfId="0" applyNumberFormat="1" applyFont="1" applyFill="1" applyProtection="1">
      <protection hidden="1"/>
    </xf>
    <xf numFmtId="14" fontId="0" fillId="8" borderId="0" xfId="0" applyNumberFormat="1" applyFill="1" applyProtection="1">
      <protection hidden="1"/>
    </xf>
    <xf numFmtId="0" fontId="3" fillId="8" borderId="0" xfId="0" applyFont="1" applyFill="1" applyAlignment="1" applyProtection="1">
      <protection hidden="1"/>
    </xf>
    <xf numFmtId="0" fontId="3" fillId="8" borderId="0" xfId="0" applyFont="1" applyFill="1" applyAlignment="1" applyProtection="1">
      <alignment wrapText="1"/>
      <protection hidden="1"/>
    </xf>
    <xf numFmtId="171" fontId="1" fillId="8" borderId="0" xfId="0" quotePrefix="1" applyNumberFormat="1" applyFont="1" applyFill="1" applyAlignment="1" applyProtection="1">
      <alignment horizontal="left" vertical="top"/>
      <protection hidden="1"/>
    </xf>
    <xf numFmtId="1" fontId="1" fillId="8" borderId="0" xfId="0" applyNumberFormat="1" applyFont="1" applyFill="1" applyProtection="1">
      <protection hidden="1"/>
    </xf>
    <xf numFmtId="164" fontId="41" fillId="8" borderId="0" xfId="0" applyNumberFormat="1" applyFont="1" applyFill="1" applyBorder="1" applyAlignment="1" applyProtection="1">
      <alignment horizontal="center"/>
      <protection hidden="1"/>
    </xf>
    <xf numFmtId="168" fontId="41" fillId="8" borderId="0" xfId="4" quotePrefix="1" applyNumberFormat="1" applyFont="1" applyFill="1" applyBorder="1" applyAlignment="1" applyProtection="1">
      <alignment horizontal="center" vertical="center"/>
      <protection hidden="1"/>
    </xf>
    <xf numFmtId="168" fontId="41" fillId="8" borderId="0" xfId="4" applyNumberFormat="1" applyFont="1" applyFill="1" applyBorder="1" applyAlignment="1" applyProtection="1">
      <alignment horizontal="center" vertical="center"/>
      <protection hidden="1"/>
    </xf>
    <xf numFmtId="0" fontId="41" fillId="8" borderId="0" xfId="0" applyFont="1" applyFill="1" applyBorder="1" applyAlignment="1" applyProtection="1">
      <alignment horizontal="center" vertical="center"/>
      <protection hidden="1"/>
    </xf>
    <xf numFmtId="14" fontId="55" fillId="10" borderId="52" xfId="0" applyNumberFormat="1" applyFont="1" applyFill="1" applyBorder="1" applyProtection="1">
      <protection locked="0"/>
    </xf>
    <xf numFmtId="14" fontId="55" fillId="10" borderId="52" xfId="0" applyNumberFormat="1" applyFont="1" applyFill="1" applyBorder="1" applyAlignment="1" applyProtection="1">
      <alignment horizontal="right"/>
      <protection locked="0"/>
    </xf>
    <xf numFmtId="0" fontId="55" fillId="10" borderId="52" xfId="0" applyNumberFormat="1" applyFont="1" applyFill="1" applyBorder="1" applyProtection="1">
      <protection locked="0"/>
    </xf>
    <xf numFmtId="165" fontId="55" fillId="10" borderId="52" xfId="0" applyNumberFormat="1" applyFont="1" applyFill="1" applyBorder="1" applyProtection="1">
      <protection locked="0"/>
    </xf>
    <xf numFmtId="0" fontId="55" fillId="10" borderId="3" xfId="0" applyNumberFormat="1" applyFont="1" applyFill="1" applyBorder="1" applyProtection="1">
      <protection locked="0"/>
    </xf>
    <xf numFmtId="10" fontId="55" fillId="10" borderId="52" xfId="0" applyNumberFormat="1" applyFont="1" applyFill="1" applyBorder="1" applyProtection="1">
      <protection locked="0"/>
    </xf>
    <xf numFmtId="0" fontId="55" fillId="10" borderId="52" xfId="0" applyNumberFormat="1" applyFont="1" applyFill="1" applyBorder="1" applyAlignment="1" applyProtection="1">
      <alignment horizontal="left"/>
      <protection locked="0"/>
    </xf>
    <xf numFmtId="0" fontId="3" fillId="8" borderId="0" xfId="0" applyFont="1" applyFill="1" applyBorder="1"/>
    <xf numFmtId="0" fontId="51" fillId="9" borderId="3" xfId="0" applyFont="1" applyFill="1" applyBorder="1" applyAlignment="1" applyProtection="1">
      <alignment horizontal="center"/>
    </xf>
    <xf numFmtId="0" fontId="0" fillId="0" borderId="0" xfId="0" applyBorder="1" applyAlignment="1">
      <alignment wrapText="1"/>
    </xf>
    <xf numFmtId="0" fontId="0" fillId="0" borderId="0" xfId="0" applyFill="1" applyBorder="1"/>
    <xf numFmtId="0" fontId="0" fillId="0" borderId="0" xfId="0" applyFill="1" applyBorder="1" applyProtection="1">
      <protection hidden="1"/>
    </xf>
    <xf numFmtId="0" fontId="1" fillId="0" borderId="0" xfId="0" applyFont="1" applyFill="1" applyBorder="1" applyProtection="1">
      <protection hidden="1"/>
    </xf>
    <xf numFmtId="0" fontId="1" fillId="0" borderId="0" xfId="0" quotePrefix="1" applyFont="1" applyFill="1" applyBorder="1" applyAlignment="1" applyProtection="1">
      <alignment vertical="center" wrapText="1"/>
      <protection hidden="1"/>
    </xf>
    <xf numFmtId="0" fontId="1" fillId="0" borderId="0" xfId="0" applyFont="1" applyFill="1" applyBorder="1" applyAlignment="1" applyProtection="1">
      <alignment wrapText="1"/>
      <protection hidden="1"/>
    </xf>
    <xf numFmtId="0" fontId="41" fillId="12" borderId="0" xfId="0" applyFont="1" applyFill="1" applyBorder="1" applyProtection="1"/>
    <xf numFmtId="0" fontId="1" fillId="12" borderId="0" xfId="0" applyFont="1" applyFill="1" applyBorder="1" applyProtection="1">
      <protection hidden="1"/>
    </xf>
    <xf numFmtId="177" fontId="1" fillId="12" borderId="0" xfId="0" quotePrefix="1" applyNumberFormat="1" applyFont="1" applyFill="1" applyBorder="1" applyAlignment="1" applyProtection="1">
      <alignment horizontal="right"/>
      <protection hidden="1"/>
    </xf>
    <xf numFmtId="4" fontId="51" fillId="8" borderId="0" xfId="0" applyNumberFormat="1" applyFont="1" applyFill="1" applyBorder="1" applyAlignment="1" applyProtection="1">
      <alignment horizontal="center"/>
      <protection hidden="1"/>
    </xf>
    <xf numFmtId="44" fontId="55" fillId="10" borderId="51" xfId="0" applyNumberFormat="1" applyFont="1" applyFill="1" applyBorder="1" applyProtection="1">
      <protection locked="0"/>
    </xf>
    <xf numFmtId="0" fontId="51" fillId="9" borderId="26" xfId="0" applyFont="1" applyFill="1" applyBorder="1" applyAlignment="1" applyProtection="1">
      <alignment horizontal="center"/>
    </xf>
    <xf numFmtId="44" fontId="55" fillId="0" borderId="0" xfId="0" applyNumberFormat="1" applyFont="1" applyFill="1" applyBorder="1" applyProtection="1">
      <protection locked="0"/>
    </xf>
    <xf numFmtId="0" fontId="41" fillId="12" borderId="17" xfId="0" applyFont="1" applyFill="1" applyBorder="1" applyAlignment="1" applyProtection="1">
      <alignment horizontal="right"/>
    </xf>
    <xf numFmtId="167" fontId="1" fillId="0" borderId="0" xfId="0" applyNumberFormat="1" applyFont="1" applyBorder="1"/>
    <xf numFmtId="14" fontId="0" fillId="0" borderId="16" xfId="0" applyNumberFormat="1" applyBorder="1"/>
    <xf numFmtId="14" fontId="0" fillId="0" borderId="13" xfId="0" applyNumberFormat="1" applyBorder="1"/>
    <xf numFmtId="167" fontId="0" fillId="0" borderId="13" xfId="0" applyNumberFormat="1" applyBorder="1"/>
    <xf numFmtId="167" fontId="1" fillId="0" borderId="20" xfId="0" applyNumberFormat="1" applyFont="1" applyBorder="1"/>
    <xf numFmtId="167" fontId="1" fillId="0" borderId="14" xfId="0" applyNumberFormat="1" applyFont="1" applyBorder="1"/>
    <xf numFmtId="0" fontId="0" fillId="0" borderId="21" xfId="0" applyBorder="1"/>
    <xf numFmtId="0" fontId="0" fillId="0" borderId="22" xfId="0" applyBorder="1"/>
    <xf numFmtId="0" fontId="1" fillId="0" borderId="22" xfId="0" applyFont="1" applyFill="1" applyBorder="1"/>
    <xf numFmtId="0" fontId="1" fillId="0" borderId="22" xfId="0" applyFont="1" applyFill="1" applyBorder="1" applyAlignment="1">
      <alignment wrapText="1"/>
    </xf>
    <xf numFmtId="0" fontId="1" fillId="0" borderId="23" xfId="0" applyFont="1" applyFill="1" applyBorder="1"/>
    <xf numFmtId="0" fontId="1" fillId="0" borderId="33" xfId="0" applyFont="1" applyBorder="1"/>
    <xf numFmtId="14" fontId="0" fillId="0" borderId="12" xfId="0" applyNumberFormat="1" applyBorder="1"/>
    <xf numFmtId="0" fontId="41" fillId="8" borderId="0" xfId="0" applyFont="1" applyFill="1" applyBorder="1" applyAlignment="1" applyProtection="1">
      <alignment horizontal="center"/>
      <protection hidden="1"/>
    </xf>
    <xf numFmtId="0" fontId="0" fillId="8" borderId="15" xfId="0" applyFill="1" applyBorder="1" applyProtection="1">
      <protection hidden="1"/>
    </xf>
    <xf numFmtId="0" fontId="0" fillId="8" borderId="16" xfId="0" applyFill="1" applyBorder="1" applyProtection="1">
      <protection hidden="1"/>
    </xf>
    <xf numFmtId="0" fontId="0" fillId="8" borderId="17" xfId="0" applyFill="1" applyBorder="1" applyProtection="1">
      <protection hidden="1"/>
    </xf>
    <xf numFmtId="0" fontId="1" fillId="8" borderId="17" xfId="0" applyFont="1" applyFill="1" applyBorder="1" applyProtection="1">
      <protection hidden="1"/>
    </xf>
    <xf numFmtId="0" fontId="0" fillId="8" borderId="18" xfId="0" applyFill="1" applyBorder="1" applyProtection="1">
      <protection hidden="1"/>
    </xf>
    <xf numFmtId="0" fontId="50" fillId="8" borderId="0" xfId="0" applyFont="1" applyFill="1" applyBorder="1" applyProtection="1">
      <protection hidden="1"/>
    </xf>
    <xf numFmtId="0" fontId="53" fillId="8" borderId="0" xfId="0" applyFont="1" applyFill="1" applyBorder="1" applyProtection="1">
      <protection hidden="1"/>
    </xf>
    <xf numFmtId="0" fontId="41" fillId="8" borderId="0" xfId="0" applyFont="1" applyFill="1" applyBorder="1" applyAlignment="1" applyProtection="1">
      <alignment vertical="center"/>
      <protection hidden="1"/>
    </xf>
    <xf numFmtId="0" fontId="54" fillId="8" borderId="0" xfId="0" applyFont="1" applyFill="1" applyBorder="1" applyProtection="1">
      <protection hidden="1"/>
    </xf>
    <xf numFmtId="0" fontId="52" fillId="8" borderId="19" xfId="0" applyFont="1" applyFill="1" applyBorder="1" applyProtection="1">
      <protection hidden="1"/>
    </xf>
    <xf numFmtId="0" fontId="52" fillId="8" borderId="19" xfId="0" applyFont="1" applyFill="1" applyBorder="1" applyProtection="1"/>
    <xf numFmtId="0" fontId="50" fillId="8" borderId="19" xfId="0" applyFont="1" applyFill="1" applyBorder="1" applyProtection="1"/>
    <xf numFmtId="14" fontId="0" fillId="0" borderId="33" xfId="0" applyNumberFormat="1" applyBorder="1"/>
    <xf numFmtId="2" fontId="35" fillId="13" borderId="26" xfId="0" applyNumberFormat="1" applyFont="1" applyFill="1" applyBorder="1" applyAlignment="1">
      <alignment horizontal="center" vertical="center"/>
    </xf>
    <xf numFmtId="2" fontId="35" fillId="13" borderId="3" xfId="0" applyNumberFormat="1" applyFont="1" applyFill="1" applyBorder="1" applyAlignment="1">
      <alignment horizontal="center" vertical="center"/>
    </xf>
    <xf numFmtId="2" fontId="35" fillId="13" borderId="3" xfId="0" applyNumberFormat="1" applyFont="1" applyFill="1" applyBorder="1" applyAlignment="1">
      <alignment horizontal="center" vertical="center" wrapText="1"/>
    </xf>
    <xf numFmtId="2" fontId="35" fillId="13" borderId="27" xfId="0" applyNumberFormat="1" applyFont="1" applyFill="1" applyBorder="1" applyAlignment="1">
      <alignment horizontal="center" vertical="center"/>
    </xf>
    <xf numFmtId="2" fontId="0" fillId="13" borderId="26" xfId="0" applyNumberFormat="1" applyFill="1" applyBorder="1" applyAlignment="1">
      <alignment horizontal="center"/>
    </xf>
    <xf numFmtId="2" fontId="0" fillId="13" borderId="28" xfId="0" applyNumberFormat="1" applyFill="1" applyBorder="1" applyAlignment="1">
      <alignment horizontal="center"/>
    </xf>
    <xf numFmtId="2" fontId="0" fillId="13" borderId="29" xfId="0" applyNumberFormat="1" applyFill="1" applyBorder="1" applyAlignment="1">
      <alignment horizontal="center"/>
    </xf>
    <xf numFmtId="2" fontId="0" fillId="13" borderId="5" xfId="0" applyNumberFormat="1" applyFill="1" applyBorder="1" applyAlignment="1">
      <alignment horizontal="center"/>
    </xf>
    <xf numFmtId="2" fontId="0" fillId="13" borderId="0" xfId="0" applyNumberFormat="1" applyFill="1" applyAlignment="1">
      <alignment horizontal="center"/>
    </xf>
    <xf numFmtId="0" fontId="38" fillId="9" borderId="0" xfId="0" applyFont="1" applyFill="1"/>
    <xf numFmtId="2" fontId="59" fillId="0" borderId="8" xfId="5" applyNumberFormat="1" applyFont="1" applyBorder="1" applyAlignment="1">
      <alignment horizontal="center" vertical="center"/>
    </xf>
    <xf numFmtId="2" fontId="59" fillId="0" borderId="0" xfId="5" applyNumberFormat="1" applyFont="1" applyBorder="1"/>
    <xf numFmtId="2" fontId="59" fillId="0" borderId="25" xfId="5" applyNumberFormat="1" applyFont="1" applyBorder="1"/>
    <xf numFmtId="2" fontId="59" fillId="0" borderId="4" xfId="5" applyNumberFormat="1" applyFont="1" applyBorder="1" applyAlignment="1">
      <alignment horizontal="center" vertical="center"/>
    </xf>
    <xf numFmtId="2" fontId="59" fillId="0" borderId="9" xfId="5" applyNumberFormat="1" applyFont="1" applyBorder="1" applyAlignment="1">
      <alignment horizontal="center" vertical="center"/>
    </xf>
    <xf numFmtId="2" fontId="59" fillId="0" borderId="5" xfId="5" applyNumberFormat="1" applyFont="1" applyBorder="1" applyAlignment="1">
      <alignment horizontal="center" vertical="center"/>
    </xf>
    <xf numFmtId="0" fontId="59" fillId="0" borderId="0" xfId="5" applyFont="1"/>
    <xf numFmtId="2" fontId="59" fillId="0" borderId="9" xfId="0" applyNumberFormat="1" applyFont="1" applyBorder="1" applyAlignment="1">
      <alignment horizontal="center" vertical="center"/>
    </xf>
    <xf numFmtId="2" fontId="59" fillId="0" borderId="0" xfId="0" applyNumberFormat="1" applyFont="1" applyBorder="1"/>
    <xf numFmtId="2" fontId="59" fillId="0" borderId="25" xfId="0" applyNumberFormat="1" applyFont="1" applyBorder="1"/>
    <xf numFmtId="2" fontId="59" fillId="0" borderId="8" xfId="0" applyNumberFormat="1" applyFont="1" applyBorder="1" applyAlignment="1">
      <alignment horizontal="center" vertical="center"/>
    </xf>
    <xf numFmtId="2" fontId="59" fillId="0" borderId="4" xfId="0" applyNumberFormat="1" applyFont="1" applyBorder="1" applyAlignment="1">
      <alignment horizontal="center" vertical="center"/>
    </xf>
    <xf numFmtId="2" fontId="59" fillId="0" borderId="5" xfId="0" applyNumberFormat="1" applyFont="1" applyBorder="1" applyAlignment="1">
      <alignment horizontal="center" vertical="center"/>
    </xf>
    <xf numFmtId="0" fontId="59" fillId="0" borderId="0" xfId="0" applyFont="1"/>
    <xf numFmtId="166" fontId="59" fillId="0" borderId="5" xfId="0" applyNumberFormat="1" applyFont="1" applyBorder="1" applyAlignment="1">
      <alignment horizontal="center" vertical="center"/>
    </xf>
    <xf numFmtId="167" fontId="0" fillId="0" borderId="33" xfId="0" applyNumberFormat="1" applyFill="1" applyBorder="1"/>
    <xf numFmtId="167" fontId="0" fillId="0" borderId="7" xfId="0" applyNumberFormat="1" applyFill="1" applyBorder="1"/>
    <xf numFmtId="49" fontId="1" fillId="8" borderId="0" xfId="0" quotePrefix="1" applyNumberFormat="1" applyFont="1" applyFill="1" applyBorder="1" applyAlignment="1">
      <alignment horizontal="left" vertical="center"/>
    </xf>
    <xf numFmtId="49" fontId="1" fillId="8" borderId="0" xfId="0" applyNumberFormat="1" applyFont="1" applyFill="1" applyBorder="1" applyAlignment="1">
      <alignment vertical="center" wrapText="1"/>
    </xf>
    <xf numFmtId="14" fontId="0" fillId="0" borderId="0" xfId="0" applyNumberFormat="1" applyProtection="1">
      <protection locked="0"/>
    </xf>
    <xf numFmtId="4" fontId="1" fillId="0" borderId="24" xfId="0" applyNumberFormat="1" applyFont="1" applyBorder="1" applyAlignment="1">
      <alignment horizontal="right"/>
    </xf>
    <xf numFmtId="4" fontId="1" fillId="0" borderId="31" xfId="0" applyNumberFormat="1" applyFont="1" applyBorder="1" applyAlignment="1">
      <alignment horizontal="right"/>
    </xf>
    <xf numFmtId="4" fontId="1" fillId="0" borderId="32" xfId="0" applyNumberFormat="1" applyFont="1" applyBorder="1" applyAlignment="1">
      <alignment horizontal="right"/>
    </xf>
    <xf numFmtId="4" fontId="1" fillId="0" borderId="7" xfId="0" applyNumberFormat="1" applyFont="1" applyBorder="1" applyAlignment="1">
      <alignment horizontal="right"/>
    </xf>
    <xf numFmtId="4" fontId="1" fillId="0" borderId="6" xfId="0" applyNumberFormat="1" applyFont="1" applyBorder="1" applyAlignment="1">
      <alignment horizontal="right"/>
    </xf>
    <xf numFmtId="4" fontId="1" fillId="0" borderId="5" xfId="0" applyNumberFormat="1" applyFont="1" applyBorder="1" applyAlignment="1">
      <alignment horizontal="right"/>
    </xf>
    <xf numFmtId="0" fontId="28" fillId="8" borderId="24" xfId="0" applyFont="1" applyFill="1" applyBorder="1" applyProtection="1">
      <protection hidden="1"/>
    </xf>
    <xf numFmtId="0" fontId="27" fillId="8" borderId="31" xfId="0" applyFont="1" applyFill="1" applyBorder="1" applyProtection="1">
      <protection hidden="1"/>
    </xf>
    <xf numFmtId="0" fontId="28" fillId="8" borderId="31" xfId="0" applyFont="1" applyFill="1" applyBorder="1" applyProtection="1">
      <protection hidden="1"/>
    </xf>
    <xf numFmtId="0" fontId="0" fillId="8" borderId="32" xfId="0" applyFill="1" applyBorder="1" applyProtection="1">
      <protection hidden="1"/>
    </xf>
    <xf numFmtId="0" fontId="3" fillId="8" borderId="33" xfId="0" applyFont="1" applyFill="1" applyBorder="1"/>
    <xf numFmtId="0" fontId="3" fillId="8" borderId="25" xfId="0" applyFont="1" applyFill="1" applyBorder="1"/>
    <xf numFmtId="49" fontId="1" fillId="8" borderId="25" xfId="0" quotePrefix="1" applyNumberFormat="1" applyFont="1" applyFill="1" applyBorder="1" applyAlignment="1">
      <alignment vertical="center" wrapText="1"/>
    </xf>
    <xf numFmtId="49" fontId="1" fillId="8" borderId="25" xfId="0" applyNumberFormat="1" applyFont="1" applyFill="1" applyBorder="1" applyAlignment="1">
      <alignment horizontal="left"/>
    </xf>
    <xf numFmtId="49" fontId="1" fillId="8" borderId="33" xfId="0" quotePrefix="1" applyNumberFormat="1" applyFont="1" applyFill="1" applyBorder="1" applyAlignment="1">
      <alignment horizontal="left" vertical="center"/>
    </xf>
    <xf numFmtId="49" fontId="1" fillId="8" borderId="25" xfId="0" quotePrefix="1" applyNumberFormat="1" applyFont="1" applyFill="1" applyBorder="1" applyAlignment="1">
      <alignment horizontal="left" vertical="center"/>
    </xf>
    <xf numFmtId="49" fontId="1" fillId="8" borderId="33" xfId="0" applyNumberFormat="1" applyFont="1" applyFill="1" applyBorder="1" applyAlignment="1">
      <alignment vertical="center" wrapText="1"/>
    </xf>
    <xf numFmtId="49" fontId="1" fillId="8" borderId="25" xfId="0" applyNumberFormat="1" applyFont="1" applyFill="1" applyBorder="1" applyAlignment="1">
      <alignment vertical="center" wrapText="1"/>
    </xf>
    <xf numFmtId="49" fontId="1" fillId="8" borderId="25" xfId="0" applyNumberFormat="1" applyFont="1" applyFill="1" applyBorder="1" applyAlignment="1">
      <alignment vertical="center"/>
    </xf>
    <xf numFmtId="0" fontId="52" fillId="8" borderId="19" xfId="0" applyFont="1" applyFill="1" applyBorder="1" applyAlignment="1" applyProtection="1">
      <alignment horizontal="left"/>
    </xf>
    <xf numFmtId="0" fontId="52" fillId="8" borderId="16" xfId="0" applyFont="1" applyFill="1" applyBorder="1" applyAlignment="1" applyProtection="1">
      <alignment horizontal="left"/>
    </xf>
    <xf numFmtId="0" fontId="56" fillId="8" borderId="0" xfId="0" applyFont="1" applyFill="1" applyBorder="1" applyAlignment="1" applyProtection="1">
      <alignment horizontal="left"/>
    </xf>
    <xf numFmtId="0" fontId="56" fillId="8" borderId="13" xfId="0" applyFont="1" applyFill="1" applyBorder="1" applyAlignment="1" applyProtection="1">
      <alignment horizontal="left"/>
    </xf>
    <xf numFmtId="0" fontId="41" fillId="8" borderId="0" xfId="0" quotePrefix="1" applyFont="1" applyFill="1" applyBorder="1" applyAlignment="1">
      <alignment horizontal="left" vertical="center" wrapText="1"/>
    </xf>
    <xf numFmtId="0" fontId="41" fillId="8" borderId="13" xfId="0" quotePrefix="1" applyFont="1" applyFill="1" applyBorder="1" applyAlignment="1">
      <alignment horizontal="left" vertical="center" wrapText="1"/>
    </xf>
    <xf numFmtId="0" fontId="41" fillId="8" borderId="0" xfId="0" quotePrefix="1" applyFont="1" applyFill="1" applyBorder="1" applyAlignment="1" applyProtection="1">
      <alignment horizontal="left" wrapText="1"/>
      <protection hidden="1"/>
    </xf>
    <xf numFmtId="0" fontId="41" fillId="8" borderId="13" xfId="0" quotePrefix="1" applyFont="1" applyFill="1" applyBorder="1" applyAlignment="1" applyProtection="1">
      <alignment horizontal="left" wrapText="1"/>
      <protection hidden="1"/>
    </xf>
    <xf numFmtId="0" fontId="57" fillId="11" borderId="24" xfId="3" applyFont="1" applyFill="1" applyBorder="1" applyAlignment="1" applyProtection="1">
      <alignment horizontal="center" vertical="center"/>
      <protection hidden="1"/>
    </xf>
    <xf numFmtId="0" fontId="57" fillId="11" borderId="31" xfId="3" applyFont="1" applyFill="1" applyBorder="1" applyAlignment="1" applyProtection="1">
      <alignment horizontal="center" vertical="center"/>
    </xf>
    <xf numFmtId="0" fontId="57" fillId="11" borderId="32" xfId="3" applyFont="1" applyFill="1" applyBorder="1" applyAlignment="1" applyProtection="1">
      <alignment horizontal="center" vertical="center"/>
    </xf>
    <xf numFmtId="0" fontId="57" fillId="11" borderId="7" xfId="3" applyFont="1" applyFill="1" applyBorder="1" applyAlignment="1" applyProtection="1">
      <alignment horizontal="center" vertical="center"/>
    </xf>
    <xf numFmtId="0" fontId="57" fillId="11" borderId="6" xfId="3" applyFont="1" applyFill="1" applyBorder="1" applyAlignment="1" applyProtection="1">
      <alignment horizontal="center" vertical="center"/>
    </xf>
    <xf numFmtId="0" fontId="57" fillId="11" borderId="5" xfId="3" applyFont="1" applyFill="1" applyBorder="1" applyAlignment="1" applyProtection="1">
      <alignment horizontal="center" vertical="center"/>
    </xf>
    <xf numFmtId="0" fontId="60" fillId="11" borderId="24" xfId="3" applyFont="1" applyFill="1" applyBorder="1" applyAlignment="1" applyProtection="1">
      <alignment horizontal="center" vertical="center"/>
      <protection hidden="1"/>
    </xf>
    <xf numFmtId="0" fontId="60" fillId="11" borderId="31" xfId="3" applyFont="1" applyFill="1" applyBorder="1" applyAlignment="1" applyProtection="1">
      <alignment horizontal="center" vertical="center"/>
    </xf>
    <xf numFmtId="0" fontId="60" fillId="11" borderId="32" xfId="3" applyFont="1" applyFill="1" applyBorder="1" applyAlignment="1" applyProtection="1">
      <alignment horizontal="center" vertical="center"/>
    </xf>
    <xf numFmtId="0" fontId="60" fillId="11" borderId="7" xfId="3" applyFont="1" applyFill="1" applyBorder="1" applyAlignment="1" applyProtection="1">
      <alignment horizontal="center" vertical="center"/>
    </xf>
    <xf numFmtId="0" fontId="60" fillId="11" borderId="6" xfId="3" applyFont="1" applyFill="1" applyBorder="1" applyAlignment="1" applyProtection="1">
      <alignment horizontal="center" vertical="center"/>
    </xf>
    <xf numFmtId="0" fontId="60" fillId="11" borderId="5" xfId="3" applyFont="1" applyFill="1" applyBorder="1" applyAlignment="1" applyProtection="1">
      <alignment horizontal="center" vertical="center"/>
    </xf>
    <xf numFmtId="14" fontId="55" fillId="10" borderId="53" xfId="0" applyNumberFormat="1" applyFont="1" applyFill="1" applyBorder="1" applyAlignment="1" applyProtection="1">
      <alignment horizontal="center"/>
      <protection locked="0"/>
    </xf>
    <xf numFmtId="14" fontId="55" fillId="10" borderId="54" xfId="0" applyNumberFormat="1" applyFont="1" applyFill="1" applyBorder="1" applyAlignment="1" applyProtection="1">
      <alignment horizontal="center"/>
      <protection locked="0"/>
    </xf>
    <xf numFmtId="0" fontId="41" fillId="8" borderId="0" xfId="0" applyFont="1" applyFill="1" applyBorder="1" applyAlignment="1" applyProtection="1">
      <alignment horizontal="center"/>
      <protection hidden="1"/>
    </xf>
    <xf numFmtId="178" fontId="41" fillId="8" borderId="20" xfId="0" quotePrefix="1" applyNumberFormat="1" applyFont="1" applyFill="1" applyBorder="1" applyAlignment="1" applyProtection="1">
      <alignment vertical="top" wrapText="1"/>
      <protection hidden="1"/>
    </xf>
    <xf numFmtId="178" fontId="41" fillId="0" borderId="20" xfId="0" applyNumberFormat="1" applyFont="1" applyBorder="1" applyAlignment="1">
      <alignment vertical="top" wrapText="1"/>
    </xf>
    <xf numFmtId="49" fontId="1" fillId="8" borderId="33" xfId="0" quotePrefix="1" applyNumberFormat="1" applyFont="1" applyFill="1" applyBorder="1" applyAlignment="1">
      <alignment vertical="center" wrapText="1"/>
    </xf>
    <xf numFmtId="49" fontId="1" fillId="8" borderId="0" xfId="0" quotePrefix="1" applyNumberFormat="1" applyFont="1" applyFill="1" applyBorder="1" applyAlignment="1">
      <alignment vertical="center" wrapText="1"/>
    </xf>
    <xf numFmtId="49" fontId="1" fillId="8" borderId="25" xfId="0" quotePrefix="1" applyNumberFormat="1" applyFont="1" applyFill="1" applyBorder="1" applyAlignment="1">
      <alignment vertical="center" wrapText="1"/>
    </xf>
    <xf numFmtId="49" fontId="1" fillId="8" borderId="33" xfId="0" applyNumberFormat="1" applyFont="1" applyFill="1" applyBorder="1" applyAlignment="1">
      <alignment vertical="center" wrapText="1"/>
    </xf>
    <xf numFmtId="49" fontId="1" fillId="8" borderId="0" xfId="0" applyNumberFormat="1" applyFont="1" applyFill="1" applyBorder="1" applyAlignment="1">
      <alignment vertical="center" wrapText="1"/>
    </xf>
    <xf numFmtId="49" fontId="1" fillId="8" borderId="25" xfId="0" applyNumberFormat="1" applyFont="1" applyFill="1" applyBorder="1" applyAlignment="1">
      <alignment vertical="center" wrapText="1"/>
    </xf>
    <xf numFmtId="0" fontId="1" fillId="8" borderId="33" xfId="0" quotePrefix="1" applyFont="1" applyFill="1" applyBorder="1" applyAlignment="1" applyProtection="1">
      <alignment vertical="center" wrapText="1"/>
      <protection hidden="1"/>
    </xf>
    <xf numFmtId="0" fontId="1" fillId="8" borderId="0" xfId="0" quotePrefix="1" applyFont="1" applyFill="1" applyBorder="1" applyAlignment="1" applyProtection="1">
      <alignment vertical="center" wrapText="1"/>
      <protection hidden="1"/>
    </xf>
    <xf numFmtId="0" fontId="1" fillId="8" borderId="25" xfId="0" quotePrefix="1" applyFont="1" applyFill="1" applyBorder="1" applyAlignment="1" applyProtection="1">
      <alignment vertical="center" wrapText="1"/>
      <protection hidden="1"/>
    </xf>
    <xf numFmtId="0" fontId="1" fillId="8" borderId="33" xfId="0" quotePrefix="1" applyNumberFormat="1" applyFont="1" applyFill="1" applyBorder="1" applyAlignment="1" applyProtection="1">
      <alignment vertical="center" wrapText="1"/>
      <protection hidden="1"/>
    </xf>
    <xf numFmtId="0" fontId="1" fillId="8" borderId="0" xfId="0" quotePrefix="1" applyNumberFormat="1" applyFont="1" applyFill="1" applyBorder="1" applyAlignment="1" applyProtection="1">
      <alignment vertical="center" wrapText="1"/>
      <protection hidden="1"/>
    </xf>
    <xf numFmtId="0" fontId="1" fillId="8" borderId="25" xfId="0" quotePrefix="1" applyNumberFormat="1" applyFont="1" applyFill="1" applyBorder="1" applyAlignment="1" applyProtection="1">
      <alignment vertical="center" wrapText="1"/>
      <protection hidden="1"/>
    </xf>
    <xf numFmtId="49" fontId="1" fillId="8" borderId="33" xfId="0" quotePrefix="1" applyNumberFormat="1" applyFont="1" applyFill="1" applyBorder="1" applyAlignment="1">
      <alignment horizontal="left" vertical="center" wrapText="1"/>
    </xf>
    <xf numFmtId="0" fontId="1" fillId="8" borderId="0" xfId="0" applyFont="1" applyFill="1" applyBorder="1" applyAlignment="1">
      <alignment horizontal="left" vertical="center" wrapText="1"/>
    </xf>
    <xf numFmtId="0" fontId="1" fillId="8" borderId="25" xfId="0" applyFont="1" applyFill="1" applyBorder="1" applyAlignment="1">
      <alignment horizontal="left" vertical="center" wrapText="1"/>
    </xf>
    <xf numFmtId="49" fontId="1" fillId="0" borderId="7" xfId="0" quotePrefix="1" applyNumberFormat="1" applyFont="1" applyFill="1" applyBorder="1" applyAlignment="1">
      <alignment horizontal="left" vertical="top"/>
    </xf>
    <xf numFmtId="49" fontId="1" fillId="0" borderId="6" xfId="0" quotePrefix="1" applyNumberFormat="1" applyFont="1" applyFill="1" applyBorder="1" applyAlignment="1">
      <alignment horizontal="left" vertical="top"/>
    </xf>
    <xf numFmtId="49" fontId="1" fillId="0" borderId="5" xfId="0" quotePrefix="1" applyNumberFormat="1" applyFont="1" applyFill="1" applyBorder="1" applyAlignment="1">
      <alignment horizontal="left" vertical="top"/>
    </xf>
    <xf numFmtId="0" fontId="1" fillId="8" borderId="33" xfId="0" quotePrefix="1" applyFont="1" applyFill="1" applyBorder="1" applyAlignment="1">
      <alignment horizontal="left" vertical="center"/>
    </xf>
    <xf numFmtId="0" fontId="1" fillId="8" borderId="0" xfId="0" quotePrefix="1" applyFont="1" applyFill="1" applyBorder="1" applyAlignment="1">
      <alignment horizontal="left" vertical="center"/>
    </xf>
    <xf numFmtId="0" fontId="1" fillId="8" borderId="25" xfId="0" quotePrefix="1" applyFont="1" applyFill="1" applyBorder="1" applyAlignment="1">
      <alignment horizontal="left" vertical="center"/>
    </xf>
    <xf numFmtId="49" fontId="1" fillId="8" borderId="0" xfId="0" quotePrefix="1" applyNumberFormat="1" applyFont="1" applyFill="1" applyBorder="1" applyAlignment="1">
      <alignment horizontal="left" vertical="center" wrapText="1"/>
    </xf>
    <xf numFmtId="49" fontId="1" fillId="8" borderId="25" xfId="0" quotePrefix="1" applyNumberFormat="1" applyFont="1" applyFill="1" applyBorder="1" applyAlignment="1">
      <alignment horizontal="left" vertical="center" wrapText="1"/>
    </xf>
    <xf numFmtId="0" fontId="1" fillId="8" borderId="33" xfId="0" quotePrefix="1" applyNumberFormat="1" applyFont="1" applyFill="1" applyBorder="1" applyAlignment="1">
      <alignment horizontal="left" vertical="center" wrapText="1"/>
    </xf>
    <xf numFmtId="0" fontId="1" fillId="8" borderId="0" xfId="0" quotePrefix="1" applyNumberFormat="1" applyFont="1" applyFill="1" applyBorder="1" applyAlignment="1">
      <alignment horizontal="left" vertical="center" wrapText="1"/>
    </xf>
    <xf numFmtId="0" fontId="1" fillId="8" borderId="25" xfId="0" quotePrefix="1" applyNumberFormat="1" applyFont="1" applyFill="1" applyBorder="1" applyAlignment="1">
      <alignment horizontal="left" vertical="center" wrapText="1"/>
    </xf>
    <xf numFmtId="49" fontId="1" fillId="8" borderId="33" xfId="0" quotePrefix="1" applyNumberFormat="1" applyFont="1" applyFill="1" applyBorder="1" applyAlignment="1">
      <alignment horizontal="left" vertical="center"/>
    </xf>
    <xf numFmtId="49" fontId="1" fillId="8" borderId="0" xfId="0" quotePrefix="1" applyNumberFormat="1" applyFont="1" applyFill="1" applyBorder="1" applyAlignment="1">
      <alignment horizontal="left" vertical="center"/>
    </xf>
    <xf numFmtId="49" fontId="1" fillId="8" borderId="25" xfId="0" quotePrefix="1" applyNumberFormat="1" applyFont="1" applyFill="1" applyBorder="1" applyAlignment="1">
      <alignment horizontal="left" vertical="center"/>
    </xf>
    <xf numFmtId="49" fontId="48" fillId="8" borderId="0" xfId="5" quotePrefix="1" applyNumberFormat="1" applyFont="1" applyFill="1" applyBorder="1" applyAlignment="1">
      <alignment horizontal="left" vertical="center" wrapText="1"/>
    </xf>
    <xf numFmtId="0" fontId="42" fillId="8" borderId="0" xfId="5" applyFont="1" applyFill="1" applyAlignment="1"/>
    <xf numFmtId="0" fontId="43" fillId="0" borderId="0" xfId="5" applyFont="1" applyAlignment="1"/>
    <xf numFmtId="0" fontId="45" fillId="8" borderId="0" xfId="5" applyFont="1" applyFill="1" applyBorder="1" applyAlignment="1">
      <alignment wrapText="1"/>
    </xf>
    <xf numFmtId="0" fontId="45" fillId="8" borderId="0" xfId="5" applyFont="1" applyFill="1" applyBorder="1" applyAlignment="1"/>
    <xf numFmtId="0" fontId="45" fillId="0" borderId="0" xfId="5" applyFont="1" applyAlignment="1"/>
    <xf numFmtId="14" fontId="45" fillId="8" borderId="51" xfId="5" applyNumberFormat="1" applyFont="1" applyFill="1" applyBorder="1" applyAlignment="1">
      <alignment horizontal="center"/>
    </xf>
    <xf numFmtId="14" fontId="45" fillId="8" borderId="26" xfId="5" applyNumberFormat="1" applyFont="1" applyFill="1" applyBorder="1" applyAlignment="1">
      <alignment horizontal="center"/>
    </xf>
    <xf numFmtId="0" fontId="46" fillId="8" borderId="0" xfId="5" applyFont="1" applyFill="1" applyBorder="1" applyAlignment="1">
      <alignment horizontal="left" wrapText="1"/>
    </xf>
    <xf numFmtId="0" fontId="46" fillId="8" borderId="0" xfId="5" applyFont="1" applyFill="1" applyBorder="1" applyAlignment="1" applyProtection="1">
      <alignment horizontal="left" vertical="center" wrapText="1"/>
      <protection hidden="1"/>
    </xf>
    <xf numFmtId="0" fontId="1" fillId="0" borderId="0" xfId="0" applyFont="1" applyAlignment="1">
      <alignment horizontal="center"/>
    </xf>
    <xf numFmtId="0" fontId="25" fillId="0" borderId="11" xfId="0" applyFont="1" applyBorder="1" applyAlignment="1">
      <alignment vertical="top"/>
    </xf>
    <xf numFmtId="0" fontId="25" fillId="0" borderId="9" xfId="0" applyFont="1" applyBorder="1" applyAlignment="1">
      <alignment vertical="top"/>
    </xf>
    <xf numFmtId="0" fontId="21" fillId="6" borderId="30" xfId="0" applyFont="1" applyFill="1" applyBorder="1" applyAlignment="1">
      <alignment horizontal="center" wrapText="1"/>
    </xf>
    <xf numFmtId="0" fontId="21" fillId="6" borderId="46" xfId="0" applyFont="1" applyFill="1" applyBorder="1" applyAlignment="1">
      <alignment horizontal="center" wrapText="1"/>
    </xf>
    <xf numFmtId="0" fontId="21" fillId="6" borderId="24" xfId="0" applyFont="1" applyFill="1" applyBorder="1" applyAlignment="1">
      <alignment horizontal="center" wrapText="1"/>
    </xf>
    <xf numFmtId="0" fontId="21" fillId="6" borderId="40" xfId="0" applyFont="1" applyFill="1" applyBorder="1" applyAlignment="1">
      <alignment horizontal="center" wrapText="1"/>
    </xf>
    <xf numFmtId="0" fontId="21" fillId="6" borderId="47" xfId="0" applyFont="1" applyFill="1" applyBorder="1" applyAlignment="1">
      <alignment horizontal="center" wrapText="1"/>
    </xf>
    <xf numFmtId="0" fontId="21" fillId="6" borderId="48" xfId="0" applyFont="1" applyFill="1" applyBorder="1" applyAlignment="1">
      <alignment horizontal="center" wrapText="1"/>
    </xf>
    <xf numFmtId="0" fontId="21" fillId="6" borderId="42" xfId="0" applyFont="1" applyFill="1" applyBorder="1" applyAlignment="1">
      <alignment horizontal="center" wrapText="1"/>
    </xf>
    <xf numFmtId="0" fontId="21" fillId="6" borderId="49" xfId="0" applyFont="1" applyFill="1" applyBorder="1" applyAlignment="1">
      <alignment horizontal="center" wrapText="1"/>
    </xf>
    <xf numFmtId="0" fontId="21" fillId="6" borderId="44" xfId="0" applyFont="1" applyFill="1" applyBorder="1" applyAlignment="1">
      <alignment wrapText="1"/>
    </xf>
    <xf numFmtId="0" fontId="21" fillId="6" borderId="50" xfId="0" applyFont="1" applyFill="1" applyBorder="1" applyAlignment="1">
      <alignment wrapText="1"/>
    </xf>
    <xf numFmtId="0" fontId="21" fillId="6" borderId="11" xfId="0" applyFont="1" applyFill="1" applyBorder="1" applyAlignment="1">
      <alignment horizontal="center" wrapText="1"/>
    </xf>
    <xf numFmtId="0" fontId="21" fillId="6" borderId="9" xfId="0" applyFont="1" applyFill="1" applyBorder="1" applyAlignment="1">
      <alignment horizontal="center" wrapText="1"/>
    </xf>
    <xf numFmtId="0" fontId="1" fillId="6" borderId="30" xfId="0" applyFont="1" applyFill="1" applyBorder="1" applyAlignment="1">
      <alignment horizontal="center" wrapText="1"/>
    </xf>
    <xf numFmtId="0" fontId="1" fillId="6" borderId="4" xfId="0" applyFont="1" applyFill="1" applyBorder="1" applyAlignment="1">
      <alignment horizontal="center" wrapText="1"/>
    </xf>
    <xf numFmtId="0" fontId="1" fillId="6" borderId="11" xfId="0" applyFont="1" applyFill="1" applyBorder="1" applyAlignment="1">
      <alignment horizontal="center" wrapText="1"/>
    </xf>
    <xf numFmtId="0" fontId="1" fillId="6" borderId="9" xfId="0" applyFont="1" applyFill="1" applyBorder="1" applyAlignment="1">
      <alignment horizontal="center" wrapText="1"/>
    </xf>
    <xf numFmtId="0" fontId="1" fillId="6" borderId="24" xfId="0" applyFont="1" applyFill="1" applyBorder="1" applyAlignment="1">
      <alignment horizontal="center" wrapText="1"/>
    </xf>
    <xf numFmtId="0" fontId="1" fillId="6" borderId="40" xfId="0" applyFont="1" applyFill="1" applyBorder="1" applyAlignment="1">
      <alignment horizontal="center" wrapText="1"/>
    </xf>
    <xf numFmtId="0" fontId="1" fillId="6" borderId="7" xfId="0" applyFont="1" applyFill="1" applyBorder="1" applyAlignment="1">
      <alignment horizontal="center" wrapText="1"/>
    </xf>
    <xf numFmtId="0" fontId="1" fillId="6" borderId="41" xfId="0" applyFont="1" applyFill="1" applyBorder="1" applyAlignment="1">
      <alignment horizontal="center" wrapText="1"/>
    </xf>
    <xf numFmtId="0" fontId="1" fillId="6" borderId="42" xfId="0" applyFont="1" applyFill="1" applyBorder="1" applyAlignment="1">
      <alignment horizontal="center" wrapText="1"/>
    </xf>
    <xf numFmtId="0" fontId="1" fillId="6" borderId="43" xfId="0" applyFont="1" applyFill="1" applyBorder="1" applyAlignment="1">
      <alignment horizontal="center" wrapText="1"/>
    </xf>
    <xf numFmtId="0" fontId="1" fillId="6" borderId="44" xfId="0" applyFont="1" applyFill="1" applyBorder="1" applyAlignment="1">
      <alignment wrapText="1"/>
    </xf>
    <xf numFmtId="0" fontId="1" fillId="6" borderId="45" xfId="0" applyFont="1" applyFill="1" applyBorder="1" applyAlignment="1">
      <alignment wrapText="1"/>
    </xf>
    <xf numFmtId="0" fontId="1" fillId="6" borderId="10" xfId="0" applyFont="1" applyFill="1" applyBorder="1" applyAlignment="1">
      <alignment horizont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30" xfId="0" applyFont="1" applyBorder="1" applyAlignment="1">
      <alignment horizontal="center" vertical="center"/>
    </xf>
    <xf numFmtId="0" fontId="3" fillId="0" borderId="4" xfId="0" applyFont="1" applyBorder="1" applyAlignment="1">
      <alignment horizontal="center" vertical="center"/>
    </xf>
    <xf numFmtId="0" fontId="36" fillId="0" borderId="30" xfId="0" applyFont="1" applyBorder="1" applyAlignment="1">
      <alignment horizontal="center" vertical="center"/>
    </xf>
    <xf numFmtId="0" fontId="36" fillId="0" borderId="4" xfId="0" applyFont="1" applyBorder="1" applyAlignment="1">
      <alignment horizontal="center" vertical="center"/>
    </xf>
    <xf numFmtId="0" fontId="36" fillId="0" borderId="24"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3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7"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7" xfId="0" applyFont="1" applyBorder="1" applyAlignment="1">
      <alignment horizontal="center" vertical="center" wrapText="1"/>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vertical="center" wrapText="1"/>
    </xf>
  </cellXfs>
  <cellStyles count="10">
    <cellStyle name="Comma" xfId="1" builtinId="3"/>
    <cellStyle name="Comma 2" xfId="6"/>
    <cellStyle name="Currency" xfId="2" builtinId="4"/>
    <cellStyle name="Currency 2" xfId="7"/>
    <cellStyle name="Hyperlink" xfId="3" builtinId="8"/>
    <cellStyle name="Hyperlink 2" xfId="9"/>
    <cellStyle name="Normal" xfId="0" builtinId="0"/>
    <cellStyle name="Normal 2" xfId="5"/>
    <cellStyle name="Percent" xfId="4" builtinId="5"/>
    <cellStyle name="Percent 2" xfId="8"/>
  </cellStyles>
  <dxfs count="20">
    <dxf>
      <border>
        <left/>
        <right/>
        <bottom/>
        <vertical/>
        <horizontal/>
      </border>
    </dxf>
    <dxf>
      <font>
        <color theme="0"/>
      </font>
      <fill>
        <patternFill>
          <bgColor theme="0"/>
        </patternFill>
      </fill>
      <border>
        <left/>
        <right/>
        <top/>
        <bottom/>
        <vertical/>
        <horizontal/>
      </border>
    </dxf>
    <dxf>
      <border>
        <bottom/>
        <vertical/>
        <horizontal/>
      </border>
    </dxf>
    <dxf>
      <font>
        <strike val="0"/>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strike val="0"/>
        <color theme="0"/>
      </font>
      <fill>
        <patternFill patternType="solid">
          <fgColor theme="0"/>
          <bgColor theme="0"/>
        </patternFill>
      </fill>
      <border>
        <left/>
        <right/>
        <top/>
        <bottom/>
        <vertical/>
        <horizontal/>
      </border>
    </dxf>
    <dxf>
      <font>
        <color theme="0"/>
      </font>
      <fill>
        <patternFill>
          <fgColor theme="0"/>
        </patternFill>
      </fill>
    </dxf>
    <dxf>
      <font>
        <color theme="0"/>
      </font>
      <fill>
        <patternFill>
          <fgColor theme="0"/>
        </patternFill>
      </fill>
    </dxf>
    <dxf>
      <border>
        <left style="thin">
          <color auto="1"/>
        </left>
        <vertical/>
        <horizontal/>
      </border>
    </dxf>
    <dxf>
      <font>
        <strike val="0"/>
      </font>
      <border>
        <left style="thin">
          <color auto="1"/>
        </left>
        <vertical/>
        <horizontal/>
      </border>
    </dxf>
    <dxf>
      <font>
        <strike val="0"/>
        <color theme="0"/>
      </font>
      <fill>
        <patternFill>
          <fgColor theme="0"/>
          <bgColor theme="0"/>
        </patternFill>
      </fill>
      <border>
        <left/>
        <right/>
        <top/>
        <bottom/>
        <vertical/>
        <horizontal/>
      </border>
    </dxf>
    <dxf>
      <font>
        <strike val="0"/>
        <color theme="0"/>
      </font>
      <fill>
        <patternFill>
          <fgColor theme="0"/>
          <bgColor theme="0"/>
        </patternFill>
      </fill>
      <border>
        <left style="thin">
          <color auto="1"/>
        </left>
        <vertical/>
        <horizontal/>
      </border>
    </dxf>
    <dxf>
      <font>
        <strike val="0"/>
        <color theme="0"/>
      </font>
      <fill>
        <patternFill patternType="solid">
          <fgColor theme="0"/>
          <bgColor theme="0"/>
        </patternFill>
      </fill>
      <border>
        <left/>
        <right/>
        <top/>
        <bottom/>
        <vertical/>
        <horizontal/>
      </border>
    </dxf>
    <dxf>
      <font>
        <color theme="0"/>
      </font>
      <fill>
        <patternFill>
          <fgColor theme="0"/>
        </patternFill>
      </fill>
    </dxf>
    <dxf>
      <font>
        <strike val="0"/>
        <color theme="0"/>
      </font>
      <fill>
        <patternFill>
          <fgColor theme="0"/>
          <bgColor theme="0"/>
        </patternFill>
      </fill>
      <border>
        <left/>
        <right/>
        <top/>
        <bottom/>
      </border>
    </dxf>
    <dxf>
      <font>
        <color rgb="FFFF0000"/>
      </font>
    </dxf>
    <dxf>
      <font>
        <color theme="0"/>
      </font>
      <fill>
        <patternFill patternType="none">
          <fgColor indexed="64"/>
          <bgColor auto="1"/>
        </patternFill>
      </fill>
      <border>
        <left/>
        <right/>
        <top/>
        <bottom/>
      </border>
    </dxf>
    <dxf>
      <font>
        <color theme="0"/>
      </font>
      <fill>
        <patternFill patternType="none">
          <bgColor auto="1"/>
        </patternFill>
      </fill>
      <border>
        <left/>
        <right/>
        <top/>
        <bottom/>
        <vertical/>
        <horizontal/>
      </border>
    </dxf>
    <dxf>
      <font>
        <strike val="0"/>
        <color theme="0"/>
      </font>
      <fill>
        <patternFill>
          <fgColor theme="0"/>
          <bgColor theme="0"/>
        </patternFill>
      </fill>
      <border>
        <left/>
        <right/>
        <top/>
        <bottom/>
      </border>
    </dxf>
  </dxfs>
  <tableStyles count="0" defaultTableStyle="TableStyleMedium9" defaultPivotStyle="PivotStyleLight16"/>
  <colors>
    <mruColors>
      <color rgb="FFFF33CC"/>
      <color rgb="FF002060"/>
      <color rgb="FFBACCCF"/>
      <color rgb="FFECE69C"/>
      <color rgb="FFCCC0DA"/>
      <color rgb="FFD8E4BC"/>
      <color rgb="FFFDE9D9"/>
      <color rgb="FFE4DFE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Lines="4" dropStyle="combo" dx="22" fmlaLink="Classification_Key" fmlaRange="Class_Select" sel="2" val="0"/>
</file>

<file path=xl/ctrlProps/ctrlProp2.xml><?xml version="1.0" encoding="utf-8"?>
<formControlPr xmlns="http://schemas.microsoft.com/office/spreadsheetml/2009/9/main" objectType="Drop" dropLines="4" dropStyle="combo" dx="22" fmlaLink="Descriptor_Key" fmlaRange="Descriptor_Select" sel="7" val="4"/>
</file>

<file path=xl/ctrlProps/ctrlProp3.xml><?xml version="1.0" encoding="utf-8"?>
<formControlPr xmlns="http://schemas.microsoft.com/office/spreadsheetml/2009/9/main" objectType="CheckBox" checked="Checked" fmlaLink="Parameters!B112"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12700</xdr:rowOff>
        </xdr:from>
        <xdr:to>
          <xdr:col>1</xdr:col>
          <xdr:colOff>1936750</xdr:colOff>
          <xdr:row>5</xdr:row>
          <xdr:rowOff>222250</xdr:rowOff>
        </xdr:to>
        <xdr:sp macro="" textlink="">
          <xdr:nvSpPr>
            <xdr:cNvPr id="1025" name="ClassificationCbo"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12700</xdr:rowOff>
        </xdr:from>
        <xdr:to>
          <xdr:col>1</xdr:col>
          <xdr:colOff>1936750</xdr:colOff>
          <xdr:row>7</xdr:row>
          <xdr:rowOff>0</xdr:rowOff>
        </xdr:to>
        <xdr:sp macro="" textlink="">
          <xdr:nvSpPr>
            <xdr:cNvPr id="1026" name="DescriptorCbo"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609600</xdr:colOff>
          <xdr:row>40</xdr:row>
          <xdr:rowOff>76200</xdr:rowOff>
        </xdr:from>
        <xdr:to>
          <xdr:col>10</xdr:col>
          <xdr:colOff>0</xdr:colOff>
          <xdr:row>42</xdr:row>
          <xdr:rowOff>114300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13606</xdr:colOff>
      <xdr:row>1</xdr:row>
      <xdr:rowOff>851</xdr:rowOff>
    </xdr:from>
    <xdr:to>
      <xdr:col>15</xdr:col>
      <xdr:colOff>0</xdr:colOff>
      <xdr:row>14</xdr:row>
      <xdr:rowOff>75969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035" y="164137"/>
          <a:ext cx="11715751" cy="21978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5</xdr:row>
      <xdr:rowOff>15240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0"/>
          <a:ext cx="7505700" cy="834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1</xdr:rowOff>
    </xdr:from>
    <xdr:to>
      <xdr:col>7</xdr:col>
      <xdr:colOff>0</xdr:colOff>
      <xdr:row>3</xdr:row>
      <xdr:rowOff>152400</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42876"/>
          <a:ext cx="5486400" cy="914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2\a2data\Police%20Pensions\0140-00972%20Home%20Office%20Police\Actuarial%20Factors\2011\transfers%20and%20divorce\PPS%20Non-IH%20ERFs%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Instructions and Inputs"/>
      <sheetName val="Factor Calculation"/>
      <sheetName val="Final Factors (P&amp;LS)"/>
      <sheetName val="Final Factors (Combined)"/>
      <sheetName val="TAS M"/>
      <sheetName val="Determine C Proxy for YoU"/>
      <sheetName val="Check"/>
      <sheetName val="Version_control20"/>
      <sheetName val="Instructions_and_Inputs20"/>
      <sheetName val="Factor_Calculation20"/>
      <sheetName val="Final_Factors_(P&amp;LS)20"/>
      <sheetName val="Final_Factors_(Combined)20"/>
      <sheetName val="TAS_M20"/>
      <sheetName val="Determine_C_Proxy_for_YoU20"/>
      <sheetName val="Version_control18"/>
      <sheetName val="Instructions_and_Inputs18"/>
      <sheetName val="Factor_Calculation18"/>
      <sheetName val="Final_Factors_(P&amp;LS)18"/>
      <sheetName val="Final_Factors_(Combined)18"/>
      <sheetName val="TAS_M18"/>
      <sheetName val="Determine_C_Proxy_for_YoU18"/>
      <sheetName val="Version_control3"/>
      <sheetName val="Instructions_and_Inputs3"/>
      <sheetName val="Factor_Calculation3"/>
      <sheetName val="Final_Factors_(P&amp;LS)3"/>
      <sheetName val="Final_Factors_(Combined)3"/>
      <sheetName val="TAS_M3"/>
      <sheetName val="Determine_C_Proxy_for_YoU3"/>
      <sheetName val="Version_control1"/>
      <sheetName val="Instructions_and_Inputs1"/>
      <sheetName val="Factor_Calculation1"/>
      <sheetName val="Final_Factors_(P&amp;LS)1"/>
      <sheetName val="Final_Factors_(Combined)1"/>
      <sheetName val="TAS_M1"/>
      <sheetName val="Determine_C_Proxy_for_YoU1"/>
      <sheetName val="Version_control"/>
      <sheetName val="Instructions_and_Inputs"/>
      <sheetName val="Factor_Calculation"/>
      <sheetName val="Final_Factors_(P&amp;LS)"/>
      <sheetName val="Final_Factors_(Combined)"/>
      <sheetName val="TAS_M"/>
      <sheetName val="Determine_C_Proxy_for_YoU"/>
      <sheetName val="Version_control2"/>
      <sheetName val="Instructions_and_Inputs2"/>
      <sheetName val="Factor_Calculation2"/>
      <sheetName val="Final_Factors_(P&amp;LS)2"/>
      <sheetName val="Final_Factors_(Combined)2"/>
      <sheetName val="TAS_M2"/>
      <sheetName val="Determine_C_Proxy_for_YoU2"/>
      <sheetName val="Version_control15"/>
      <sheetName val="Instructions_and_Inputs15"/>
      <sheetName val="Factor_Calculation15"/>
      <sheetName val="Final_Factors_(P&amp;LS)15"/>
      <sheetName val="Final_Factors_(Combined)15"/>
      <sheetName val="TAS_M15"/>
      <sheetName val="Determine_C_Proxy_for_YoU15"/>
      <sheetName val="Version_control4"/>
      <sheetName val="Instructions_and_Inputs4"/>
      <sheetName val="Factor_Calculation4"/>
      <sheetName val="Final_Factors_(P&amp;LS)4"/>
      <sheetName val="Final_Factors_(Combined)4"/>
      <sheetName val="TAS_M4"/>
      <sheetName val="Determine_C_Proxy_for_YoU4"/>
      <sheetName val="Version_control5"/>
      <sheetName val="Instructions_and_Inputs5"/>
      <sheetName val="Factor_Calculation5"/>
      <sheetName val="Final_Factors_(P&amp;LS)5"/>
      <sheetName val="Final_Factors_(Combined)5"/>
      <sheetName val="TAS_M5"/>
      <sheetName val="Determine_C_Proxy_for_YoU5"/>
      <sheetName val="Version_control6"/>
      <sheetName val="Instructions_and_Inputs6"/>
      <sheetName val="Factor_Calculation6"/>
      <sheetName val="Final_Factors_(P&amp;LS)6"/>
      <sheetName val="Final_Factors_(Combined)6"/>
      <sheetName val="TAS_M6"/>
      <sheetName val="Determine_C_Proxy_for_YoU6"/>
      <sheetName val="Version_control7"/>
      <sheetName val="Instructions_and_Inputs7"/>
      <sheetName val="Factor_Calculation7"/>
      <sheetName val="Final_Factors_(P&amp;LS)7"/>
      <sheetName val="Final_Factors_(Combined)7"/>
      <sheetName val="TAS_M7"/>
      <sheetName val="Determine_C_Proxy_for_YoU7"/>
      <sheetName val="Version_control8"/>
      <sheetName val="Instructions_and_Inputs8"/>
      <sheetName val="Factor_Calculation8"/>
      <sheetName val="Final_Factors_(P&amp;LS)8"/>
      <sheetName val="Final_Factors_(Combined)8"/>
      <sheetName val="TAS_M8"/>
      <sheetName val="Determine_C_Proxy_for_YoU8"/>
      <sheetName val="Version_control9"/>
      <sheetName val="Instructions_and_Inputs9"/>
      <sheetName val="Factor_Calculation9"/>
      <sheetName val="Final_Factors_(P&amp;LS)9"/>
      <sheetName val="Final_Factors_(Combined)9"/>
      <sheetName val="TAS_M9"/>
      <sheetName val="Determine_C_Proxy_for_YoU9"/>
      <sheetName val="Version_control10"/>
      <sheetName val="Instructions_and_Inputs10"/>
      <sheetName val="Factor_Calculation10"/>
      <sheetName val="Final_Factors_(P&amp;LS)10"/>
      <sheetName val="Final_Factors_(Combined)10"/>
      <sheetName val="TAS_M10"/>
      <sheetName val="Determine_C_Proxy_for_YoU10"/>
      <sheetName val="Version_control11"/>
      <sheetName val="Instructions_and_Inputs11"/>
      <sheetName val="Factor_Calculation11"/>
      <sheetName val="Final_Factors_(P&amp;LS)11"/>
      <sheetName val="Final_Factors_(Combined)11"/>
      <sheetName val="TAS_M11"/>
      <sheetName val="Determine_C_Proxy_for_YoU11"/>
      <sheetName val="Version_control12"/>
      <sheetName val="Instructions_and_Inputs12"/>
      <sheetName val="Factor_Calculation12"/>
      <sheetName val="Final_Factors_(P&amp;LS)12"/>
      <sheetName val="Final_Factors_(Combined)12"/>
      <sheetName val="TAS_M12"/>
      <sheetName val="Determine_C_Proxy_for_YoU12"/>
      <sheetName val="Version_control13"/>
      <sheetName val="Instructions_and_Inputs13"/>
      <sheetName val="Factor_Calculation13"/>
      <sheetName val="Final_Factors_(P&amp;LS)13"/>
      <sheetName val="Final_Factors_(Combined)13"/>
      <sheetName val="TAS_M13"/>
      <sheetName val="Determine_C_Proxy_for_YoU13"/>
      <sheetName val="Version_control14"/>
      <sheetName val="Instructions_and_Inputs14"/>
      <sheetName val="Factor_Calculation14"/>
      <sheetName val="Final_Factors_(P&amp;LS)14"/>
      <sheetName val="Final_Factors_(Combined)14"/>
      <sheetName val="TAS_M14"/>
      <sheetName val="Determine_C_Proxy_for_YoU14"/>
      <sheetName val="Version_control16"/>
      <sheetName val="Instructions_and_Inputs16"/>
      <sheetName val="Factor_Calculation16"/>
      <sheetName val="Final_Factors_(P&amp;LS)16"/>
      <sheetName val="Final_Factors_(Combined)16"/>
      <sheetName val="TAS_M16"/>
      <sheetName val="Determine_C_Proxy_for_YoU16"/>
      <sheetName val="Version_control17"/>
      <sheetName val="Instructions_and_Inputs17"/>
      <sheetName val="Factor_Calculation17"/>
      <sheetName val="Final_Factors_(P&amp;LS)17"/>
      <sheetName val="Final_Factors_(Combined)17"/>
      <sheetName val="TAS_M17"/>
      <sheetName val="Determine_C_Proxy_for_YoU17"/>
      <sheetName val="Version_control19"/>
      <sheetName val="Instructions_and_Inputs19"/>
      <sheetName val="Factor_Calculation19"/>
      <sheetName val="Final_Factors_(P&amp;LS)19"/>
      <sheetName val="Final_Factors_(Combined)19"/>
      <sheetName val="TAS_M19"/>
      <sheetName val="Determine_C_Proxy_for_YoU19"/>
    </sheetNames>
    <sheetDataSet>
      <sheetData sheetId="0"/>
      <sheetData sheetId="1"/>
      <sheetData sheetId="2"/>
      <sheetData sheetId="3">
        <row r="148">
          <cell r="A148">
            <v>16</v>
          </cell>
          <cell r="J148">
            <v>0.21248252657177058</v>
          </cell>
          <cell r="K148">
            <v>0.2628886969279825</v>
          </cell>
          <cell r="L148">
            <v>0.21248252657177058</v>
          </cell>
          <cell r="M148" t="str">
            <v/>
          </cell>
          <cell r="N148" t="str">
            <v/>
          </cell>
          <cell r="O148" t="str">
            <v/>
          </cell>
          <cell r="P148">
            <v>3.4266728757428768</v>
          </cell>
          <cell r="Q148">
            <v>1.2811382796192889</v>
          </cell>
          <cell r="R148">
            <v>3.0574286081553335</v>
          </cell>
          <cell r="S148">
            <v>0.55062711078146775</v>
          </cell>
          <cell r="T148">
            <v>3.4266728757428768</v>
          </cell>
          <cell r="U148">
            <v>1.2811382796192889</v>
          </cell>
          <cell r="V148">
            <v>2.8888947829937811E-2</v>
          </cell>
          <cell r="W148" t="str">
            <v/>
          </cell>
        </row>
        <row r="149">
          <cell r="A149">
            <v>17</v>
          </cell>
          <cell r="J149">
            <v>0.21850408511104075</v>
          </cell>
          <cell r="K149">
            <v>0.27077535783582196</v>
          </cell>
          <cell r="L149">
            <v>0.21850408511104075</v>
          </cell>
          <cell r="M149" t="str">
            <v/>
          </cell>
          <cell r="N149" t="str">
            <v/>
          </cell>
          <cell r="O149" t="str">
            <v/>
          </cell>
          <cell r="P149">
            <v>3.2969071907527119</v>
          </cell>
          <cell r="Q149">
            <v>1.2811382796192889</v>
          </cell>
          <cell r="R149">
            <v>2.9416478180740389</v>
          </cell>
          <cell r="S149">
            <v>0.56131889934033119</v>
          </cell>
          <cell r="T149">
            <v>3.2969071907527123</v>
          </cell>
          <cell r="U149">
            <v>1.2811382796192889</v>
          </cell>
          <cell r="V149">
            <v>2.8649890350178481E-2</v>
          </cell>
          <cell r="W149" t="str">
            <v/>
          </cell>
        </row>
        <row r="150">
          <cell r="A150">
            <v>18</v>
          </cell>
          <cell r="J150">
            <v>0.22471465160921877</v>
          </cell>
          <cell r="K150">
            <v>0.27894252244877021</v>
          </cell>
          <cell r="L150">
            <v>0.22471465160921877</v>
          </cell>
          <cell r="M150" t="str">
            <v/>
          </cell>
          <cell r="N150" t="str">
            <v/>
          </cell>
          <cell r="O150" t="str">
            <v/>
          </cell>
          <cell r="P150">
            <v>3.1703540688944796</v>
          </cell>
          <cell r="Q150">
            <v>1.2811382796192889</v>
          </cell>
          <cell r="R150">
            <v>2.8302703359431787</v>
          </cell>
          <cell r="S150">
            <v>0.57198057016759207</v>
          </cell>
          <cell r="T150">
            <v>3.1703540688944796</v>
          </cell>
          <cell r="U150">
            <v>1.2811382796192889</v>
          </cell>
          <cell r="V150">
            <v>2.8410217171533921E-2</v>
          </cell>
          <cell r="W150" t="str">
            <v/>
          </cell>
        </row>
        <row r="151">
          <cell r="A151">
            <v>19</v>
          </cell>
          <cell r="J151">
            <v>0.23112181103798468</v>
          </cell>
          <cell r="K151">
            <v>0.287354674793391</v>
          </cell>
          <cell r="L151">
            <v>0.23112181103798468</v>
          </cell>
          <cell r="M151" t="str">
            <v/>
          </cell>
          <cell r="N151" t="str">
            <v/>
          </cell>
          <cell r="O151" t="str">
            <v/>
          </cell>
          <cell r="P151">
            <v>3.0469230745421121</v>
          </cell>
          <cell r="Q151">
            <v>1.2811382796192889</v>
          </cell>
          <cell r="R151">
            <v>2.7214741724361136</v>
          </cell>
          <cell r="S151">
            <v>0.58286856077730287</v>
          </cell>
          <cell r="T151">
            <v>3.0469230745421121</v>
          </cell>
          <cell r="U151">
            <v>1.2811382796192889</v>
          </cell>
          <cell r="V151">
            <v>2.8160844359380856E-2</v>
          </cell>
          <cell r="W151" t="str">
            <v/>
          </cell>
        </row>
        <row r="152">
          <cell r="A152">
            <v>20</v>
          </cell>
          <cell r="J152">
            <v>0.23773446684640359</v>
          </cell>
          <cell r="K152">
            <v>0.29601828431124605</v>
          </cell>
          <cell r="L152">
            <v>0.23773446684640359</v>
          </cell>
          <cell r="M152" t="str">
            <v/>
          </cell>
          <cell r="N152" t="str">
            <v/>
          </cell>
          <cell r="O152" t="str">
            <v/>
          </cell>
          <cell r="P152">
            <v>2.9265103679476367</v>
          </cell>
          <cell r="Q152">
            <v>1.2811382796192889</v>
          </cell>
          <cell r="R152">
            <v>2.6151603686640144</v>
          </cell>
          <cell r="S152">
            <v>0.59398997122088404</v>
          </cell>
          <cell r="T152">
            <v>2.9265103679476372</v>
          </cell>
          <cell r="U152">
            <v>1.2811382796192889</v>
          </cell>
          <cell r="V152">
            <v>2.7901147815604127E-2</v>
          </cell>
          <cell r="W152" t="str">
            <v/>
          </cell>
        </row>
        <row r="153">
          <cell r="A153">
            <v>21</v>
          </cell>
          <cell r="J153">
            <v>0.2445621483498083</v>
          </cell>
          <cell r="K153">
            <v>0.30494267509833889</v>
          </cell>
          <cell r="L153">
            <v>0.2445621483498083</v>
          </cell>
          <cell r="M153" t="str">
            <v/>
          </cell>
          <cell r="N153" t="str">
            <v/>
          </cell>
          <cell r="O153" t="str">
            <v/>
          </cell>
          <cell r="P153">
            <v>2.8090152432589912</v>
          </cell>
          <cell r="Q153">
            <v>1.2811382796192889</v>
          </cell>
          <cell r="R153">
            <v>2.5113085882621897</v>
          </cell>
          <cell r="S153">
            <v>0.60533996511965338</v>
          </cell>
          <cell r="T153">
            <v>2.8090152432589912</v>
          </cell>
          <cell r="U153">
            <v>1.2811382796192889</v>
          </cell>
          <cell r="V153">
            <v>2.7630973700060572E-2</v>
          </cell>
          <cell r="W153" t="str">
            <v/>
          </cell>
        </row>
        <row r="154">
          <cell r="A154">
            <v>22</v>
          </cell>
          <cell r="J154">
            <v>0.25161502489742654</v>
          </cell>
          <cell r="K154">
            <v>0.314137313334649</v>
          </cell>
          <cell r="L154">
            <v>0.25161502489742654</v>
          </cell>
          <cell r="M154" t="str">
            <v/>
          </cell>
          <cell r="N154" t="str">
            <v/>
          </cell>
          <cell r="O154" t="str">
            <v/>
          </cell>
          <cell r="P154">
            <v>2.6943407177093244</v>
          </cell>
          <cell r="Q154">
            <v>1.2811382796192889</v>
          </cell>
          <cell r="R154">
            <v>2.4098810947301619</v>
          </cell>
          <cell r="S154">
            <v>0.61691616959027651</v>
          </cell>
          <cell r="T154">
            <v>2.6943407177093244</v>
          </cell>
          <cell r="U154">
            <v>1.2811382796192889</v>
          </cell>
          <cell r="V154">
            <v>2.7350100484771364E-2</v>
          </cell>
          <cell r="W154" t="str">
            <v/>
          </cell>
        </row>
        <row r="155">
          <cell r="A155">
            <v>23</v>
          </cell>
          <cell r="J155">
            <v>0.25890396095516471</v>
          </cell>
          <cell r="K155">
            <v>0.32361250590828772</v>
          </cell>
          <cell r="L155">
            <v>0.25890396095516471</v>
          </cell>
          <cell r="M155" t="str">
            <v/>
          </cell>
          <cell r="N155" t="str">
            <v/>
          </cell>
          <cell r="O155" t="str">
            <v/>
          </cell>
          <cell r="P155">
            <v>2.5823933763072771</v>
          </cell>
          <cell r="Q155">
            <v>1.2811382796192889</v>
          </cell>
          <cell r="R155">
            <v>2.3108418456491684</v>
          </cell>
          <cell r="S155">
            <v>0.62871583316593271</v>
          </cell>
          <cell r="T155">
            <v>2.5823933763072771</v>
          </cell>
          <cell r="U155">
            <v>1.2811382796192889</v>
          </cell>
          <cell r="V155">
            <v>2.7058362305395895E-2</v>
          </cell>
          <cell r="W155" t="str">
            <v/>
          </cell>
        </row>
        <row r="156">
          <cell r="A156">
            <v>24</v>
          </cell>
          <cell r="J156">
            <v>0.26644063309946436</v>
          </cell>
          <cell r="K156">
            <v>0.33337529585614178</v>
          </cell>
          <cell r="L156">
            <v>0.26644063309946436</v>
          </cell>
          <cell r="M156" t="str">
            <v/>
          </cell>
          <cell r="N156" t="str">
            <v/>
          </cell>
          <cell r="O156" t="str">
            <v/>
          </cell>
          <cell r="P156">
            <v>2.4730824118158803</v>
          </cell>
          <cell r="Q156">
            <v>1.2811382796192889</v>
          </cell>
          <cell r="R156">
            <v>2.2140735781425742</v>
          </cell>
          <cell r="S156">
            <v>0.64074951070807529</v>
          </cell>
          <cell r="T156">
            <v>2.4730824118158798</v>
          </cell>
          <cell r="U156">
            <v>1.2811382796192889</v>
          </cell>
          <cell r="V156">
            <v>2.675493525179394E-2</v>
          </cell>
          <cell r="W156" t="str">
            <v/>
          </cell>
        </row>
        <row r="157">
          <cell r="A157">
            <v>25</v>
          </cell>
          <cell r="J157">
            <v>0.27423763848364924</v>
          </cell>
          <cell r="K157">
            <v>0.34343512678382393</v>
          </cell>
          <cell r="L157">
            <v>0.27423763848364924</v>
          </cell>
          <cell r="M157" t="str">
            <v/>
          </cell>
          <cell r="N157" t="str">
            <v/>
          </cell>
          <cell r="O157" t="str">
            <v/>
          </cell>
          <cell r="P157">
            <v>2.3663191439850659</v>
          </cell>
          <cell r="Q157">
            <v>1.2811382796192889</v>
          </cell>
          <cell r="R157">
            <v>2.1195099176144128</v>
          </cell>
          <cell r="S157">
            <v>0.65302016374426863</v>
          </cell>
          <cell r="T157">
            <v>2.3663191439850659</v>
          </cell>
          <cell r="U157">
            <v>1.2811382796192889</v>
          </cell>
          <cell r="V157">
            <v>2.6439333547175432E-2</v>
          </cell>
          <cell r="W157" t="str">
            <v/>
          </cell>
        </row>
        <row r="158">
          <cell r="A158">
            <v>26</v>
          </cell>
          <cell r="J158">
            <v>0.28230854494766483</v>
          </cell>
          <cell r="K158">
            <v>0.3538019883895645</v>
          </cell>
          <cell r="L158">
            <v>0.28230854494766483</v>
          </cell>
          <cell r="M158" t="str">
            <v/>
          </cell>
          <cell r="N158" t="str">
            <v/>
          </cell>
          <cell r="O158" t="str">
            <v/>
          </cell>
          <cell r="P158">
            <v>2.2620175405459464</v>
          </cell>
          <cell r="Q158">
            <v>1.2811382796192889</v>
          </cell>
          <cell r="R158">
            <v>2.0270871156452528</v>
          </cell>
          <cell r="S158">
            <v>0.66553062670547691</v>
          </cell>
          <cell r="T158">
            <v>2.2620175405459464</v>
          </cell>
          <cell r="U158">
            <v>1.2811382796192889</v>
          </cell>
          <cell r="V158">
            <v>2.6111070908469199E-2</v>
          </cell>
          <cell r="W158" t="str">
            <v/>
          </cell>
        </row>
        <row r="159">
          <cell r="A159">
            <v>27</v>
          </cell>
          <cell r="J159">
            <v>0.29066797282719126</v>
          </cell>
          <cell r="K159">
            <v>0.36448698972197929</v>
          </cell>
          <cell r="L159">
            <v>0.29066797282719126</v>
          </cell>
          <cell r="M159" t="str">
            <v/>
          </cell>
          <cell r="N159" t="str">
            <v/>
          </cell>
          <cell r="O159" t="str">
            <v/>
          </cell>
          <cell r="P159">
            <v>2.1600942973558488</v>
          </cell>
          <cell r="Q159">
            <v>1.2811382796192889</v>
          </cell>
          <cell r="R159">
            <v>1.9367509266644252</v>
          </cell>
          <cell r="S159">
            <v>0.67828243863848792</v>
          </cell>
          <cell r="T159">
            <v>2.1600942973558492</v>
          </cell>
          <cell r="U159">
            <v>1.2811382796192889</v>
          </cell>
          <cell r="V159">
            <v>2.5769746362635539E-2</v>
          </cell>
          <cell r="W159" t="str">
            <v/>
          </cell>
        </row>
        <row r="160">
          <cell r="A160">
            <v>28</v>
          </cell>
          <cell r="J160">
            <v>0.29933169937603954</v>
          </cell>
          <cell r="K160">
            <v>0.37550103637858195</v>
          </cell>
          <cell r="L160">
            <v>0.29933169937603954</v>
          </cell>
          <cell r="M160" t="str">
            <v/>
          </cell>
          <cell r="N160" t="str">
            <v/>
          </cell>
          <cell r="O160" t="str">
            <v/>
          </cell>
          <cell r="P160">
            <v>2.0604687341509007</v>
          </cell>
          <cell r="Q160">
            <v>1.2811382796192889</v>
          </cell>
          <cell r="R160">
            <v>1.8484350496789852</v>
          </cell>
          <cell r="S160">
            <v>0.69127942919358976</v>
          </cell>
          <cell r="T160">
            <v>2.0604687341509007</v>
          </cell>
          <cell r="U160">
            <v>1.2811382796192887</v>
          </cell>
          <cell r="V160">
            <v>2.541482224998573E-2</v>
          </cell>
          <cell r="W160" t="str">
            <v/>
          </cell>
        </row>
        <row r="161">
          <cell r="A161">
            <v>29</v>
          </cell>
          <cell r="J161">
            <v>0.30831676207349257</v>
          </cell>
          <cell r="K161">
            <v>0.38685716683552185</v>
          </cell>
          <cell r="L161">
            <v>0.30831676207349257</v>
          </cell>
          <cell r="M161" t="str">
            <v/>
          </cell>
          <cell r="N161" t="str">
            <v/>
          </cell>
          <cell r="O161" t="str">
            <v/>
          </cell>
          <cell r="P161">
            <v>1.9630628492399018</v>
          </cell>
          <cell r="Q161">
            <v>1.2811382796192889</v>
          </cell>
          <cell r="R161">
            <v>1.7620924667971036</v>
          </cell>
          <cell r="S161">
            <v>0.70452251907282526</v>
          </cell>
          <cell r="T161">
            <v>1.9630628492399018</v>
          </cell>
          <cell r="U161">
            <v>1.2811382796192889</v>
          </cell>
          <cell r="V161">
            <v>2.5045980933767999E-2</v>
          </cell>
          <cell r="W161" t="str">
            <v/>
          </cell>
        </row>
        <row r="162">
          <cell r="A162">
            <v>30</v>
          </cell>
          <cell r="J162">
            <v>0.31764155799149535</v>
          </cell>
          <cell r="K162">
            <v>0.39856913279205192</v>
          </cell>
          <cell r="L162">
            <v>0.31764155799149535</v>
          </cell>
          <cell r="M162" t="str">
            <v/>
          </cell>
          <cell r="N162" t="str">
            <v/>
          </cell>
          <cell r="O162" t="str">
            <v/>
          </cell>
          <cell r="P162">
            <v>1.8678015079002237</v>
          </cell>
          <cell r="Q162">
            <v>1.2811382796192889</v>
          </cell>
          <cell r="R162">
            <v>1.6776718703897111</v>
          </cell>
          <cell r="S162">
            <v>0.71801361131116592</v>
          </cell>
          <cell r="T162">
            <v>1.8678015079002237</v>
          </cell>
          <cell r="U162">
            <v>1.2811382796192889</v>
          </cell>
          <cell r="V162">
            <v>2.4662890257420869E-2</v>
          </cell>
          <cell r="W162" t="str">
            <v/>
          </cell>
        </row>
        <row r="163">
          <cell r="A163">
            <v>31</v>
          </cell>
          <cell r="J163">
            <v>0.32732601684583756</v>
          </cell>
          <cell r="K163">
            <v>0.41064934763392968</v>
          </cell>
          <cell r="L163">
            <v>0.32732601684583756</v>
          </cell>
          <cell r="M163" t="str">
            <v/>
          </cell>
          <cell r="N163" t="str">
            <v/>
          </cell>
          <cell r="O163" t="str">
            <v/>
          </cell>
          <cell r="P163">
            <v>1.7746119833101544</v>
          </cell>
          <cell r="Q163">
            <v>1.2811382796192889</v>
          </cell>
          <cell r="R163">
            <v>1.5950988108154922</v>
          </cell>
          <cell r="S163">
            <v>0.73175891232419821</v>
          </cell>
          <cell r="T163">
            <v>1.7746119833101544</v>
          </cell>
          <cell r="U163">
            <v>1.2811382796192889</v>
          </cell>
          <cell r="V163">
            <v>2.4264894827084944E-2</v>
          </cell>
          <cell r="W163" t="str">
            <v/>
          </cell>
        </row>
        <row r="164">
          <cell r="A164">
            <v>32</v>
          </cell>
          <cell r="J164">
            <v>0.33739179150347465</v>
          </cell>
          <cell r="K164">
            <v>0.42311139708979995</v>
          </cell>
          <cell r="L164">
            <v>0.33739179150347465</v>
          </cell>
          <cell r="M164" t="str">
            <v/>
          </cell>
          <cell r="N164" t="str">
            <v/>
          </cell>
          <cell r="O164" t="str">
            <v/>
          </cell>
          <cell r="P164">
            <v>1.6834236265125728</v>
          </cell>
          <cell r="Q164">
            <v>1.2811382796192889</v>
          </cell>
          <cell r="R164">
            <v>1.5143058931171609</v>
          </cell>
          <cell r="S164">
            <v>0.74576395400422169</v>
          </cell>
          <cell r="T164">
            <v>1.6834236265125728</v>
          </cell>
          <cell r="U164">
            <v>1.2811382796192889</v>
          </cell>
          <cell r="V164">
            <v>2.3851387114056523E-2</v>
          </cell>
          <cell r="W164" t="str">
            <v/>
          </cell>
        </row>
        <row r="165">
          <cell r="A165">
            <v>33</v>
          </cell>
          <cell r="J165">
            <v>0.34786243928115274</v>
          </cell>
          <cell r="K165">
            <v>0.43596940504698822</v>
          </cell>
          <cell r="L165">
            <v>0.34786243928115274</v>
          </cell>
          <cell r="M165" t="str">
            <v/>
          </cell>
          <cell r="N165" t="str">
            <v/>
          </cell>
          <cell r="O165" t="str">
            <v/>
          </cell>
          <cell r="P165">
            <v>1.5941678793008363</v>
          </cell>
          <cell r="Q165">
            <v>1.2811382796192889</v>
          </cell>
          <cell r="R165">
            <v>1.4352252910489465</v>
          </cell>
          <cell r="S165">
            <v>0.76003484690143919</v>
          </cell>
          <cell r="T165">
            <v>1.5941678793008363</v>
          </cell>
          <cell r="U165">
            <v>1.2811382796192889</v>
          </cell>
          <cell r="V165">
            <v>2.342170641751332E-2</v>
          </cell>
          <cell r="W165" t="str">
            <v/>
          </cell>
        </row>
        <row r="166">
          <cell r="A166">
            <v>34</v>
          </cell>
          <cell r="J166">
            <v>0.35876364875866074</v>
          </cell>
          <cell r="K166">
            <v>0.449237528219253</v>
          </cell>
          <cell r="L166">
            <v>0.35876364875866074</v>
          </cell>
          <cell r="M166" t="str">
            <v/>
          </cell>
          <cell r="N166" t="str">
            <v/>
          </cell>
          <cell r="O166" t="str">
            <v/>
          </cell>
          <cell r="P166">
            <v>1.5067781000818194</v>
          </cell>
          <cell r="Q166">
            <v>1.2811382796192889</v>
          </cell>
          <cell r="R166">
            <v>1.3577856302524429</v>
          </cell>
          <cell r="S166">
            <v>0.77457882928323074</v>
          </cell>
          <cell r="T166">
            <v>1.5067781000818194</v>
          </cell>
          <cell r="U166">
            <v>1.2811382796192889</v>
          </cell>
          <cell r="V166">
            <v>2.2975062767108999E-2</v>
          </cell>
          <cell r="W166" t="str">
            <v/>
          </cell>
        </row>
        <row r="167">
          <cell r="A167">
            <v>35</v>
          </cell>
          <cell r="J167">
            <v>0.3701234775729027</v>
          </cell>
          <cell r="K167">
            <v>0.4629317692524858</v>
          </cell>
          <cell r="L167">
            <v>0.3701234775729027</v>
          </cell>
          <cell r="M167" t="str">
            <v/>
          </cell>
          <cell r="N167" t="str">
            <v/>
          </cell>
          <cell r="O167" t="str">
            <v/>
          </cell>
          <cell r="P167">
            <v>1.4211895611559149</v>
          </cell>
          <cell r="Q167">
            <v>1.2811382796192889</v>
          </cell>
          <cell r="R167">
            <v>1.2819246317774826</v>
          </cell>
          <cell r="S167">
            <v>0.78940215020041149</v>
          </cell>
          <cell r="T167">
            <v>1.4211895611559149</v>
          </cell>
          <cell r="U167">
            <v>1.2811382796192889</v>
          </cell>
          <cell r="V167">
            <v>2.2510777049572293E-2</v>
          </cell>
          <cell r="W167" t="str">
            <v/>
          </cell>
        </row>
        <row r="168">
          <cell r="A168">
            <v>36</v>
          </cell>
          <cell r="J168">
            <v>0.3819726065402187</v>
          </cell>
          <cell r="K168">
            <v>0.47706914421561919</v>
          </cell>
          <cell r="L168">
            <v>0.3819726065402187</v>
          </cell>
          <cell r="M168" t="str">
            <v/>
          </cell>
          <cell r="N168" t="str">
            <v/>
          </cell>
          <cell r="O168" t="str">
            <v/>
          </cell>
          <cell r="P168">
            <v>1.3373395443843517</v>
          </cell>
          <cell r="Q168">
            <v>1.2811382796192889</v>
          </cell>
          <cell r="R168">
            <v>1.207580917443263</v>
          </cell>
          <cell r="S168">
            <v>0.80451144154591558</v>
          </cell>
          <cell r="T168">
            <v>1.3373395443843517</v>
          </cell>
          <cell r="U168">
            <v>1.2811382796192889</v>
          </cell>
          <cell r="V168">
            <v>2.2028154350055128E-2</v>
          </cell>
          <cell r="W168" t="str">
            <v/>
          </cell>
        </row>
        <row r="169">
          <cell r="A169">
            <v>37</v>
          </cell>
          <cell r="J169">
            <v>0.39434466267646912</v>
          </cell>
          <cell r="K169">
            <v>0.49166680422454356</v>
          </cell>
          <cell r="L169">
            <v>0.39434466267646912</v>
          </cell>
          <cell r="M169" t="str">
            <v/>
          </cell>
          <cell r="N169" t="str">
            <v/>
          </cell>
          <cell r="O169" t="str">
            <v/>
          </cell>
          <cell r="P169">
            <v>1.2551671929689405</v>
          </cell>
          <cell r="Q169">
            <v>1.2811382796192889</v>
          </cell>
          <cell r="R169">
            <v>1.1346893072036337</v>
          </cell>
          <cell r="S169">
            <v>0.81991451044774233</v>
          </cell>
          <cell r="T169">
            <v>1.2551671929689405</v>
          </cell>
          <cell r="U169">
            <v>1.2811382796192889</v>
          </cell>
          <cell r="V169">
            <v>2.1526355764820208E-2</v>
          </cell>
          <cell r="W169" t="str">
            <v/>
          </cell>
        </row>
        <row r="170">
          <cell r="A170">
            <v>38</v>
          </cell>
          <cell r="J170">
            <v>0.40727659554270712</v>
          </cell>
          <cell r="K170">
            <v>0.5067427396057268</v>
          </cell>
          <cell r="L170">
            <v>0.40727659554270712</v>
          </cell>
          <cell r="M170" t="str">
            <v/>
          </cell>
          <cell r="N170" t="str">
            <v/>
          </cell>
          <cell r="O170" t="str">
            <v/>
          </cell>
          <cell r="P170">
            <v>1.1746133585328919</v>
          </cell>
          <cell r="Q170">
            <v>1.2811382796192889</v>
          </cell>
          <cell r="R170">
            <v>1.0631854847074436</v>
          </cell>
          <cell r="S170">
            <v>0.83561958277268955</v>
          </cell>
          <cell r="T170">
            <v>1.1746133585328919</v>
          </cell>
          <cell r="U170">
            <v>1.2811382796192889</v>
          </cell>
          <cell r="V170">
            <v>2.1004479385228089E-2</v>
          </cell>
          <cell r="W170" t="str">
            <v/>
          </cell>
        </row>
        <row r="171">
          <cell r="A171">
            <v>39</v>
          </cell>
          <cell r="J171">
            <v>0.42080917042110294</v>
          </cell>
          <cell r="K171">
            <v>0.52231151321795022</v>
          </cell>
          <cell r="L171">
            <v>0.42080917042110294</v>
          </cell>
          <cell r="M171" t="str">
            <v/>
          </cell>
          <cell r="N171" t="str">
            <v/>
          </cell>
          <cell r="O171" t="str">
            <v/>
          </cell>
          <cell r="P171">
            <v>1.0956201134888057</v>
          </cell>
          <cell r="Q171">
            <v>1.2811382796192889</v>
          </cell>
          <cell r="R171">
            <v>0.99299032727883041</v>
          </cell>
          <cell r="S171">
            <v>0.85163774558961736</v>
          </cell>
          <cell r="T171">
            <v>1.0956201134888057</v>
          </cell>
          <cell r="U171">
            <v>1.2811382796192889</v>
          </cell>
          <cell r="V171">
            <v>2.046103703677904E-2</v>
          </cell>
          <cell r="W171" t="str">
            <v/>
          </cell>
        </row>
        <row r="172">
          <cell r="A172">
            <v>40</v>
          </cell>
          <cell r="J172">
            <v>0.4349875089894773</v>
          </cell>
          <cell r="K172">
            <v>0.53839056329644597</v>
          </cell>
          <cell r="L172">
            <v>0.4349875089894773</v>
          </cell>
          <cell r="M172" t="str">
            <v/>
          </cell>
          <cell r="N172" t="str">
            <v/>
          </cell>
          <cell r="O172" t="str">
            <v/>
          </cell>
          <cell r="P172">
            <v>1.0181305255689315</v>
          </cell>
          <cell r="Q172">
            <v>1.2811382796192889</v>
          </cell>
          <cell r="R172">
            <v>0.92403831835395855</v>
          </cell>
          <cell r="S172">
            <v>0.86797842532559621</v>
          </cell>
          <cell r="T172">
            <v>1.0181305255689315</v>
          </cell>
          <cell r="U172">
            <v>1.2811382796192889</v>
          </cell>
          <cell r="V172">
            <v>1.9894717841680176E-2</v>
          </cell>
          <cell r="W172" t="str">
            <v/>
          </cell>
        </row>
        <row r="173">
          <cell r="A173">
            <v>41</v>
          </cell>
          <cell r="J173">
            <v>0.44986167588463888</v>
          </cell>
          <cell r="K173">
            <v>0.55499579763890894</v>
          </cell>
          <cell r="L173">
            <v>0.44986167588463888</v>
          </cell>
          <cell r="M173" t="str">
            <v/>
          </cell>
          <cell r="N173" t="str">
            <v/>
          </cell>
          <cell r="O173" t="str">
            <v/>
          </cell>
          <cell r="P173">
            <v>0.94208869982226762</v>
          </cell>
          <cell r="Q173">
            <v>1.2811382796192889</v>
          </cell>
          <cell r="R173">
            <v>0.85626026142156064</v>
          </cell>
          <cell r="S173">
            <v>0.88465199291827679</v>
          </cell>
          <cell r="T173">
            <v>0.94208869982226762</v>
          </cell>
          <cell r="U173">
            <v>1.2811382796192889</v>
          </cell>
          <cell r="V173">
            <v>1.93038451141118E-2</v>
          </cell>
          <cell r="W173" t="str">
            <v/>
          </cell>
        </row>
        <row r="174">
          <cell r="A174">
            <v>42</v>
          </cell>
          <cell r="J174">
            <v>0.46548743030581508</v>
          </cell>
          <cell r="K174">
            <v>0.57214249240787862</v>
          </cell>
          <cell r="L174">
            <v>0.46548743030581508</v>
          </cell>
          <cell r="M174" t="str">
            <v/>
          </cell>
          <cell r="N174" t="str">
            <v/>
          </cell>
          <cell r="O174" t="str">
            <v/>
          </cell>
          <cell r="P174">
            <v>0.86743949123955544</v>
          </cell>
          <cell r="Q174">
            <v>1.2811382796192889</v>
          </cell>
          <cell r="R174">
            <v>0.78958873013937958</v>
          </cell>
          <cell r="S174">
            <v>0.90166883124289676</v>
          </cell>
          <cell r="T174">
            <v>0.86743949123955544</v>
          </cell>
          <cell r="U174">
            <v>1.2811382796192889</v>
          </cell>
          <cell r="V174">
            <v>1.868647777662414E-2</v>
          </cell>
          <cell r="W174" t="str">
            <v/>
          </cell>
        </row>
        <row r="175">
          <cell r="A175">
            <v>43</v>
          </cell>
          <cell r="J175">
            <v>0.48192717839307897</v>
          </cell>
          <cell r="K175">
            <v>0.58984007712743736</v>
          </cell>
          <cell r="L175">
            <v>0.48192717839307897</v>
          </cell>
          <cell r="M175" t="str">
            <v/>
          </cell>
          <cell r="N175" t="str">
            <v/>
          </cell>
          <cell r="O175" t="str">
            <v/>
          </cell>
          <cell r="P175">
            <v>0.79412796549195563</v>
          </cell>
          <cell r="Q175">
            <v>1.2811382796192889</v>
          </cell>
          <cell r="R175">
            <v>0.72394812619005511</v>
          </cell>
          <cell r="S175">
            <v>0.91904041211468024</v>
          </cell>
          <cell r="T175">
            <v>0.79412796549195586</v>
          </cell>
          <cell r="U175">
            <v>1.2811382796192889</v>
          </cell>
          <cell r="V175">
            <v>1.8039821440767986E-2</v>
          </cell>
          <cell r="W175" t="str">
            <v/>
          </cell>
        </row>
        <row r="176">
          <cell r="A176">
            <v>44</v>
          </cell>
          <cell r="J176">
            <v>0.49925081131688009</v>
          </cell>
          <cell r="K176">
            <v>0.60811376552308372</v>
          </cell>
          <cell r="L176">
            <v>0.49925081131688009</v>
          </cell>
          <cell r="M176" t="str">
            <v/>
          </cell>
          <cell r="N176" t="str">
            <v/>
          </cell>
          <cell r="O176" t="str">
            <v/>
          </cell>
          <cell r="P176">
            <v>0.72210013487391755</v>
          </cell>
          <cell r="Q176">
            <v>1.2811382796192889</v>
          </cell>
          <cell r="R176">
            <v>0.65930145751525482</v>
          </cell>
          <cell r="S176">
            <v>0.93677359883892253</v>
          </cell>
          <cell r="T176">
            <v>0.72210013487391755</v>
          </cell>
          <cell r="U176">
            <v>1.2811382796192889</v>
          </cell>
          <cell r="V176">
            <v>1.7362631599651568E-2</v>
          </cell>
          <cell r="W176" t="str">
            <v/>
          </cell>
        </row>
        <row r="177">
          <cell r="A177">
            <v>45</v>
          </cell>
          <cell r="J177">
            <v>0.51753676724026898</v>
          </cell>
          <cell r="K177">
            <v>0.62697747752162947</v>
          </cell>
          <cell r="L177">
            <v>0.51753676724026898</v>
          </cell>
          <cell r="M177" t="str">
            <v/>
          </cell>
          <cell r="N177" t="str">
            <v/>
          </cell>
          <cell r="O177" t="str">
            <v/>
          </cell>
          <cell r="P177">
            <v>0.65130326405051953</v>
          </cell>
          <cell r="Q177">
            <v>1.2811382796192889</v>
          </cell>
          <cell r="R177">
            <v>0.59558861053451384</v>
          </cell>
          <cell r="S177">
            <v>0.95487813032834723</v>
          </cell>
          <cell r="T177">
            <v>0.65130326405051953</v>
          </cell>
          <cell r="U177">
            <v>1.2811382796192889</v>
          </cell>
          <cell r="V177">
            <v>1.6652169770678297E-2</v>
          </cell>
          <cell r="W177" t="str">
            <v/>
          </cell>
        </row>
        <row r="178">
          <cell r="A178">
            <v>46</v>
          </cell>
          <cell r="J178">
            <v>0.53687368714129136</v>
          </cell>
          <cell r="K178">
            <v>0.64644135524856927</v>
          </cell>
          <cell r="L178">
            <v>0.53687368714129136</v>
          </cell>
          <cell r="M178" t="str">
            <v/>
          </cell>
          <cell r="N178" t="str">
            <v/>
          </cell>
          <cell r="O178" t="str">
            <v/>
          </cell>
          <cell r="P178">
            <v>0.5816847201031109</v>
          </cell>
          <cell r="Q178">
            <v>1.2811382796192889</v>
          </cell>
          <cell r="R178">
            <v>0.53274982710061369</v>
          </cell>
          <cell r="S178">
            <v>0.97336329589325943</v>
          </cell>
          <cell r="T178">
            <v>0.5816847201031109</v>
          </cell>
          <cell r="U178">
            <v>1.2811382796192889</v>
          </cell>
          <cell r="V178">
            <v>1.5905046341599498E-2</v>
          </cell>
          <cell r="W178" t="str">
            <v/>
          </cell>
        </row>
        <row r="179">
          <cell r="A179">
            <v>47</v>
          </cell>
          <cell r="J179">
            <v>0.55736213244631116</v>
          </cell>
          <cell r="K179">
            <v>0.66651754807433916</v>
          </cell>
          <cell r="L179">
            <v>0.55736213244631116</v>
          </cell>
          <cell r="M179" t="str">
            <v/>
          </cell>
          <cell r="N179" t="str">
            <v/>
          </cell>
          <cell r="O179" t="str">
            <v/>
          </cell>
          <cell r="P179">
            <v>0.51319194363812382</v>
          </cell>
          <cell r="Q179">
            <v>1.2811382796192889</v>
          </cell>
          <cell r="R179">
            <v>0.47073501972267051</v>
          </cell>
          <cell r="S179">
            <v>0.99223705234924631</v>
          </cell>
          <cell r="T179">
            <v>0.51319194363812382</v>
          </cell>
          <cell r="U179">
            <v>1.2811382796192889</v>
          </cell>
          <cell r="V179">
            <v>1.5117822108471827E-2</v>
          </cell>
          <cell r="W179" t="str">
            <v/>
          </cell>
        </row>
        <row r="180">
          <cell r="A180">
            <v>48</v>
          </cell>
          <cell r="J180">
            <v>0.57911631360284266</v>
          </cell>
          <cell r="K180">
            <v>0.68723226102600887</v>
          </cell>
          <cell r="L180">
            <v>0.57911631360284266</v>
          </cell>
          <cell r="M180" t="str">
            <v/>
          </cell>
          <cell r="N180" t="str">
            <v/>
          </cell>
          <cell r="O180" t="str">
            <v/>
          </cell>
          <cell r="P180">
            <v>0.44577345244594707</v>
          </cell>
          <cell r="Q180">
            <v>1.2811382796192889</v>
          </cell>
          <cell r="R180">
            <v>0.40951192805987219</v>
          </cell>
          <cell r="S180">
            <v>1.0115065707825837</v>
          </cell>
          <cell r="T180">
            <v>0.44577345244594713</v>
          </cell>
          <cell r="U180">
            <v>1.2811382796192889</v>
          </cell>
          <cell r="V180">
            <v>1.4288193128141075E-2</v>
          </cell>
          <cell r="W180" t="str">
            <v/>
          </cell>
        </row>
        <row r="181">
          <cell r="A181">
            <v>49</v>
          </cell>
          <cell r="J181">
            <v>0.60226647187321358</v>
          </cell>
          <cell r="K181">
            <v>0.708597602916751</v>
          </cell>
          <cell r="L181">
            <v>0.60226647187321358</v>
          </cell>
          <cell r="M181" t="str">
            <v/>
          </cell>
          <cell r="N181" t="str">
            <v/>
          </cell>
          <cell r="O181" t="str">
            <v/>
          </cell>
          <cell r="P181">
            <v>0.3793788093557301</v>
          </cell>
          <cell r="Q181">
            <v>1.2811382796192889</v>
          </cell>
          <cell r="R181">
            <v>0.34903426571282781</v>
          </cell>
          <cell r="S181">
            <v>1.0311792930098145</v>
          </cell>
          <cell r="T181">
            <v>0.3793788093557301</v>
          </cell>
          <cell r="U181">
            <v>1.2811382796192889</v>
          </cell>
          <cell r="V181">
            <v>1.3412053340309328E-2</v>
          </cell>
          <cell r="W181" t="str">
            <v/>
          </cell>
        </row>
        <row r="182">
          <cell r="A182">
            <v>50</v>
          </cell>
          <cell r="J182">
            <v>0.62696135347206494</v>
          </cell>
          <cell r="K182">
            <v>0.73066421194615061</v>
          </cell>
          <cell r="L182">
            <v>0.62696135347206494</v>
          </cell>
          <cell r="M182" t="str">
            <v/>
          </cell>
          <cell r="N182" t="str">
            <v/>
          </cell>
          <cell r="O182" t="str">
            <v/>
          </cell>
          <cell r="P182">
            <v>0.31395968254739953</v>
          </cell>
          <cell r="Q182">
            <v>1.2811382796192889</v>
          </cell>
          <cell r="R182">
            <v>0.28928302197261407</v>
          </cell>
          <cell r="S182">
            <v>1.0512648109823906</v>
          </cell>
          <cell r="T182">
            <v>0.31395968254739953</v>
          </cell>
          <cell r="U182">
            <v>1.2811382796192889</v>
          </cell>
          <cell r="V182">
            <v>1.2488718825808284E-2</v>
          </cell>
          <cell r="W182" t="str">
            <v/>
          </cell>
        </row>
        <row r="183">
          <cell r="A183">
            <v>51</v>
          </cell>
          <cell r="J183">
            <v>0.65337105736153889</v>
          </cell>
          <cell r="K183">
            <v>0.75347376784472442</v>
          </cell>
          <cell r="L183">
            <v>0.65337105736153889</v>
          </cell>
          <cell r="M183" t="str">
            <v/>
          </cell>
          <cell r="N183" t="str">
            <v/>
          </cell>
          <cell r="O183" t="str">
            <v/>
          </cell>
          <cell r="P183">
            <v>0.24947103111792185</v>
          </cell>
          <cell r="Q183">
            <v>1.2811382796192889</v>
          </cell>
          <cell r="R183">
            <v>0.23022202714714987</v>
          </cell>
          <cell r="S183">
            <v>1.0717745887172581</v>
          </cell>
          <cell r="T183">
            <v>0.2494710311179219</v>
          </cell>
          <cell r="U183">
            <v>1.2811382796192889</v>
          </cell>
          <cell r="V183">
            <v>1.1516131532760232E-2</v>
          </cell>
          <cell r="W183" t="str">
            <v/>
          </cell>
        </row>
        <row r="184">
          <cell r="A184">
            <v>52</v>
          </cell>
          <cell r="J184">
            <v>0.68169128352785191</v>
          </cell>
          <cell r="K184">
            <v>0.77707344992532645</v>
          </cell>
          <cell r="L184">
            <v>0.68169128352785191</v>
          </cell>
          <cell r="M184" t="str">
            <v/>
          </cell>
          <cell r="N184" t="str">
            <v/>
          </cell>
          <cell r="O184" t="str">
            <v/>
          </cell>
          <cell r="P184">
            <v>0.18587031495957881</v>
          </cell>
          <cell r="Q184">
            <v>1.2811382796192889</v>
          </cell>
          <cell r="R184">
            <v>0.17181099145842613</v>
          </cell>
          <cell r="S184">
            <v>1.0927222511946029</v>
          </cell>
          <cell r="T184">
            <v>0.18587031495957884</v>
          </cell>
          <cell r="U184">
            <v>1.2811382796192889</v>
          </cell>
          <cell r="V184">
            <v>1.0492239173124415E-2</v>
          </cell>
          <cell r="W184" t="str">
            <v/>
          </cell>
        </row>
        <row r="185">
          <cell r="A185">
            <v>53</v>
          </cell>
          <cell r="J185">
            <v>0.71214852569270404</v>
          </cell>
          <cell r="K185">
            <v>0.80150349505136875</v>
          </cell>
          <cell r="L185">
            <v>0.71214852569270404</v>
          </cell>
          <cell r="M185" t="str">
            <v/>
          </cell>
          <cell r="N185" t="str">
            <v/>
          </cell>
          <cell r="O185" t="str">
            <v/>
          </cell>
          <cell r="P185">
            <v>0.1231169779399801</v>
          </cell>
          <cell r="Q185">
            <v>1.2811382796192889</v>
          </cell>
          <cell r="R185">
            <v>0.11400240961173098</v>
          </cell>
          <cell r="S185">
            <v>1.1141216832991971</v>
          </cell>
          <cell r="T185">
            <v>0.12311697793998011</v>
          </cell>
          <cell r="U185">
            <v>1.2811382796192889</v>
          </cell>
          <cell r="V185">
            <v>9.4137772381596985E-3</v>
          </cell>
          <cell r="W185" t="str">
            <v/>
          </cell>
        </row>
        <row r="186">
          <cell r="A186">
            <v>54</v>
          </cell>
          <cell r="J186">
            <v>0.74500630898501052</v>
          </cell>
          <cell r="K186">
            <v>0.82682224320723774</v>
          </cell>
          <cell r="L186">
            <v>0.74500630898501052</v>
          </cell>
          <cell r="M186" t="str">
            <v/>
          </cell>
          <cell r="N186" t="str">
            <v/>
          </cell>
          <cell r="O186" t="str">
            <v/>
          </cell>
          <cell r="P186">
            <v>6.1172455900733204E-2</v>
          </cell>
          <cell r="Q186">
            <v>1.2811382796192889</v>
          </cell>
          <cell r="R186">
            <v>5.674951664531383E-2</v>
          </cell>
          <cell r="S186">
            <v>1.1359905979435265</v>
          </cell>
          <cell r="T186">
            <v>6.1172455900733204E-2</v>
          </cell>
          <cell r="U186">
            <v>1.2811382796192889</v>
          </cell>
          <cell r="V186">
            <v>8.2785606514394153E-3</v>
          </cell>
          <cell r="W186" t="str">
            <v/>
          </cell>
        </row>
        <row r="187">
          <cell r="A187">
            <v>55</v>
          </cell>
          <cell r="J187">
            <v>0.78057311889825931</v>
          </cell>
          <cell r="K187">
            <v>0.85307539563095203</v>
          </cell>
          <cell r="L187">
            <v>0.78057311889825931</v>
          </cell>
          <cell r="M187" t="str">
            <v/>
          </cell>
          <cell r="N187" t="str">
            <v/>
          </cell>
          <cell r="O187" t="str">
            <v/>
          </cell>
          <cell r="P187" t="str">
            <v/>
          </cell>
          <cell r="Q187" t="str">
            <v/>
          </cell>
          <cell r="R187">
            <v>0</v>
          </cell>
          <cell r="S187">
            <v>1.1583453675902111</v>
          </cell>
          <cell r="T187" t="str">
            <v/>
          </cell>
          <cell r="U187">
            <v>1.2811382796192889</v>
          </cell>
          <cell r="V187">
            <v>7.0825844232639129E-3</v>
          </cell>
          <cell r="W187" t="str">
            <v/>
          </cell>
        </row>
        <row r="188">
          <cell r="A188">
            <v>56</v>
          </cell>
          <cell r="J188">
            <v>0.81881716010381</v>
          </cell>
          <cell r="K188">
            <v>0.88030730898619747</v>
          </cell>
          <cell r="L188">
            <v>0.81881716010381</v>
          </cell>
          <cell r="M188" t="str">
            <v/>
          </cell>
          <cell r="N188" t="str">
            <v/>
          </cell>
          <cell r="O188" t="str">
            <v/>
          </cell>
          <cell r="P188" t="str">
            <v/>
          </cell>
          <cell r="Q188" t="str">
            <v/>
          </cell>
          <cell r="R188" t="str">
            <v/>
          </cell>
          <cell r="S188" t="str">
            <v/>
          </cell>
          <cell r="T188" t="str">
            <v/>
          </cell>
          <cell r="U188" t="str">
            <v/>
          </cell>
          <cell r="V188">
            <v>5.821005876534671E-3</v>
          </cell>
          <cell r="W188" t="str">
            <v/>
          </cell>
        </row>
        <row r="189">
          <cell r="A189">
            <v>57</v>
          </cell>
          <cell r="J189">
            <v>0.85962943874710185</v>
          </cell>
          <cell r="K189">
            <v>0.90856429583928477</v>
          </cell>
          <cell r="L189">
            <v>0.85962943874710185</v>
          </cell>
          <cell r="M189" t="str">
            <v/>
          </cell>
          <cell r="N189" t="str">
            <v/>
          </cell>
          <cell r="O189" t="str">
            <v/>
          </cell>
          <cell r="P189" t="str">
            <v/>
          </cell>
          <cell r="Q189" t="str">
            <v/>
          </cell>
          <cell r="R189" t="str">
            <v/>
          </cell>
          <cell r="S189" t="str">
            <v/>
          </cell>
          <cell r="T189" t="str">
            <v/>
          </cell>
          <cell r="U189" t="str">
            <v/>
          </cell>
          <cell r="V189">
            <v>4.4883667445937024E-3</v>
          </cell>
          <cell r="W189" t="str">
            <v/>
          </cell>
        </row>
        <row r="190">
          <cell r="A190">
            <v>58</v>
          </cell>
          <cell r="J190">
            <v>0.9032473682430191</v>
          </cell>
          <cell r="K190">
            <v>0.9378967731709662</v>
          </cell>
          <cell r="L190">
            <v>0.9032473682430191</v>
          </cell>
          <cell r="M190" t="str">
            <v/>
          </cell>
          <cell r="N190" t="str">
            <v/>
          </cell>
          <cell r="O190" t="str">
            <v/>
          </cell>
          <cell r="P190" t="str">
            <v/>
          </cell>
          <cell r="Q190" t="str">
            <v/>
          </cell>
          <cell r="R190" t="str">
            <v/>
          </cell>
          <cell r="S190" t="str">
            <v/>
          </cell>
          <cell r="T190" t="str">
            <v/>
          </cell>
          <cell r="U190" t="str">
            <v/>
          </cell>
          <cell r="V190">
            <v>3.0786815963995493E-3</v>
          </cell>
          <cell r="W190" t="str">
            <v/>
          </cell>
        </row>
        <row r="191">
          <cell r="A191">
            <v>59</v>
          </cell>
          <cell r="J191">
            <v>0.94993744405648828</v>
          </cell>
          <cell r="K191">
            <v>0.96835905991430382</v>
          </cell>
          <cell r="L191">
            <v>0.94993744405648828</v>
          </cell>
          <cell r="M191" t="str">
            <v/>
          </cell>
          <cell r="N191" t="str">
            <v/>
          </cell>
          <cell r="O191" t="str">
            <v/>
          </cell>
          <cell r="P191" t="str">
            <v/>
          </cell>
          <cell r="Q191" t="str">
            <v/>
          </cell>
          <cell r="R191" t="str">
            <v/>
          </cell>
          <cell r="S191" t="str">
            <v/>
          </cell>
          <cell r="T191" t="str">
            <v/>
          </cell>
          <cell r="U191" t="str">
            <v/>
          </cell>
          <cell r="V191">
            <v>1.5853058302360474E-3</v>
          </cell>
          <cell r="W191" t="str">
            <v/>
          </cell>
        </row>
        <row r="192">
          <cell r="A192">
            <v>60</v>
          </cell>
          <cell r="J192">
            <v>1</v>
          </cell>
          <cell r="K192">
            <v>1</v>
          </cell>
          <cell r="L192">
            <v>1</v>
          </cell>
          <cell r="M192">
            <v>1</v>
          </cell>
          <cell r="N192">
            <v>1</v>
          </cell>
          <cell r="O192">
            <v>1</v>
          </cell>
          <cell r="P192" t="str">
            <v/>
          </cell>
          <cell r="Q192" t="str">
            <v/>
          </cell>
          <cell r="R192" t="str">
            <v/>
          </cell>
          <cell r="S192" t="str">
            <v/>
          </cell>
          <cell r="T192" t="str">
            <v/>
          </cell>
          <cell r="U192" t="str">
            <v/>
          </cell>
          <cell r="V192">
            <v>0</v>
          </cell>
          <cell r="W192" t="str">
            <v/>
          </cell>
        </row>
        <row r="193">
          <cell r="A193">
            <v>61</v>
          </cell>
          <cell r="J193" t="str">
            <v/>
          </cell>
          <cell r="K193" t="str">
            <v/>
          </cell>
          <cell r="L193" t="str">
            <v/>
          </cell>
          <cell r="M193">
            <v>1.0537744705877468</v>
          </cell>
          <cell r="N193">
            <v>1.0328896101716685</v>
          </cell>
          <cell r="O193">
            <v>1.0537744705877468</v>
          </cell>
          <cell r="P193" t="str">
            <v/>
          </cell>
          <cell r="Q193" t="str">
            <v/>
          </cell>
          <cell r="R193" t="str">
            <v/>
          </cell>
          <cell r="S193" t="str">
            <v/>
          </cell>
          <cell r="T193" t="str">
            <v/>
          </cell>
          <cell r="U193" t="str">
            <v/>
          </cell>
          <cell r="V193" t="str">
            <v/>
          </cell>
          <cell r="W193">
            <v>2.7409738156285407E-3</v>
          </cell>
        </row>
        <row r="194">
          <cell r="A194">
            <v>62</v>
          </cell>
          <cell r="J194" t="str">
            <v/>
          </cell>
          <cell r="K194" t="str">
            <v/>
          </cell>
          <cell r="L194" t="str">
            <v/>
          </cell>
          <cell r="M194">
            <v>1.1116450444182586</v>
          </cell>
          <cell r="N194">
            <v>1.0671137676522271</v>
          </cell>
          <cell r="O194">
            <v>1.1116450444182586</v>
          </cell>
          <cell r="P194" t="str">
            <v/>
          </cell>
          <cell r="Q194" t="str">
            <v/>
          </cell>
          <cell r="R194" t="str">
            <v/>
          </cell>
          <cell r="S194" t="str">
            <v/>
          </cell>
          <cell r="T194" t="str">
            <v/>
          </cell>
          <cell r="U194" t="str">
            <v/>
          </cell>
          <cell r="V194" t="str">
            <v/>
          </cell>
          <cell r="W194">
            <v>5.6776404771954831E-3</v>
          </cell>
        </row>
        <row r="195">
          <cell r="A195">
            <v>63</v>
          </cell>
          <cell r="J195" t="str">
            <v/>
          </cell>
          <cell r="K195" t="str">
            <v/>
          </cell>
          <cell r="L195" t="str">
            <v/>
          </cell>
          <cell r="M195">
            <v>1.1740474318128369</v>
          </cell>
          <cell r="N195">
            <v>1.102778465941765</v>
          </cell>
          <cell r="O195">
            <v>1.1740474318128369</v>
          </cell>
          <cell r="P195" t="str">
            <v/>
          </cell>
          <cell r="Q195" t="str">
            <v/>
          </cell>
          <cell r="R195" t="str">
            <v/>
          </cell>
          <cell r="S195" t="str">
            <v/>
          </cell>
          <cell r="T195" t="str">
            <v/>
          </cell>
          <cell r="U195" t="str">
            <v/>
          </cell>
          <cell r="V195" t="str">
            <v/>
          </cell>
          <cell r="W195">
            <v>8.828568830968414E-3</v>
          </cell>
        </row>
        <row r="196">
          <cell r="A196">
            <v>64</v>
          </cell>
          <cell r="J196" t="str">
            <v/>
          </cell>
          <cell r="K196" t="str">
            <v/>
          </cell>
          <cell r="L196" t="str">
            <v/>
          </cell>
          <cell r="M196">
            <v>1.2414769461130324</v>
          </cell>
          <cell r="N196">
            <v>1.1400058221026954</v>
          </cell>
          <cell r="O196">
            <v>1.2414769461130324</v>
          </cell>
          <cell r="P196" t="str">
            <v/>
          </cell>
          <cell r="Q196" t="str">
            <v/>
          </cell>
          <cell r="R196" t="str">
            <v/>
          </cell>
          <cell r="S196" t="str">
            <v/>
          </cell>
          <cell r="T196" t="str">
            <v/>
          </cell>
          <cell r="U196" t="str">
            <v/>
          </cell>
          <cell r="V196" t="str">
            <v/>
          </cell>
          <cell r="W196">
            <v>1.2214539358085769E-2</v>
          </cell>
        </row>
        <row r="197">
          <cell r="A197">
            <v>65</v>
          </cell>
          <cell r="J197" t="str">
            <v/>
          </cell>
          <cell r="K197" t="str">
            <v/>
          </cell>
          <cell r="L197" t="str">
            <v/>
          </cell>
          <cell r="M197">
            <v>1.3144972912013604</v>
          </cell>
          <cell r="N197">
            <v>1.1789668890793226</v>
          </cell>
          <cell r="O197">
            <v>1.3144972912013604</v>
          </cell>
          <cell r="P197" t="str">
            <v/>
          </cell>
          <cell r="Q197" t="str">
            <v/>
          </cell>
          <cell r="R197" t="str">
            <v/>
          </cell>
          <cell r="S197" t="str">
            <v/>
          </cell>
          <cell r="T197" t="str">
            <v/>
          </cell>
          <cell r="U197" t="str">
            <v/>
          </cell>
          <cell r="V197" t="str">
            <v/>
          </cell>
          <cell r="W197">
            <v>1.5857298384948586E-2</v>
          </cell>
        </row>
        <row r="198">
          <cell r="A198">
            <v>66</v>
          </cell>
          <cell r="J198" t="str">
            <v/>
          </cell>
          <cell r="K198" t="str">
            <v/>
          </cell>
          <cell r="L198" t="str">
            <v/>
          </cell>
          <cell r="M198">
            <v>1.3937522056842737</v>
          </cell>
          <cell r="N198">
            <v>1.2198122715477786</v>
          </cell>
          <cell r="O198">
            <v>1.3937522056842737</v>
          </cell>
          <cell r="P198" t="str">
            <v/>
          </cell>
          <cell r="Q198" t="str">
            <v/>
          </cell>
          <cell r="R198" t="str">
            <v/>
          </cell>
          <cell r="S198" t="str">
            <v/>
          </cell>
          <cell r="T198" t="str">
            <v/>
          </cell>
          <cell r="U198" t="str">
            <v/>
          </cell>
          <cell r="V198" t="str">
            <v/>
          </cell>
          <cell r="W198">
            <v>1.9783582682075234E-2</v>
          </cell>
        </row>
        <row r="199">
          <cell r="A199">
            <v>67</v>
          </cell>
          <cell r="J199" t="str">
            <v/>
          </cell>
          <cell r="K199" t="str">
            <v/>
          </cell>
          <cell r="L199" t="str">
            <v/>
          </cell>
          <cell r="M199">
            <v>1.4799810125838198</v>
          </cell>
          <cell r="N199">
            <v>1.2627078063967736</v>
          </cell>
          <cell r="O199">
            <v>1.4799810125838198</v>
          </cell>
          <cell r="P199" t="str">
            <v/>
          </cell>
          <cell r="Q199" t="str">
            <v/>
          </cell>
          <cell r="R199" t="str">
            <v/>
          </cell>
          <cell r="S199" t="str">
            <v/>
          </cell>
          <cell r="T199" t="str">
            <v/>
          </cell>
          <cell r="U199" t="str">
            <v/>
          </cell>
          <cell r="V199" t="str">
            <v/>
          </cell>
          <cell r="W199">
            <v>2.4024021051878251E-2</v>
          </cell>
        </row>
        <row r="200">
          <cell r="A200">
            <v>68</v>
          </cell>
          <cell r="J200" t="str">
            <v/>
          </cell>
          <cell r="K200" t="str">
            <v/>
          </cell>
          <cell r="L200" t="str">
            <v/>
          </cell>
          <cell r="M200">
            <v>1.5740360728870433</v>
          </cell>
          <cell r="N200">
            <v>1.307845284656636</v>
          </cell>
          <cell r="O200">
            <v>1.5740360728870433</v>
          </cell>
          <cell r="P200" t="str">
            <v/>
          </cell>
          <cell r="Q200" t="str">
            <v/>
          </cell>
          <cell r="R200" t="str">
            <v/>
          </cell>
          <cell r="S200" t="str">
            <v/>
          </cell>
          <cell r="T200" t="str">
            <v/>
          </cell>
          <cell r="U200" t="str">
            <v/>
          </cell>
          <cell r="V200" t="str">
            <v/>
          </cell>
          <cell r="W200">
            <v>2.8613431810081413E-2</v>
          </cell>
        </row>
        <row r="201">
          <cell r="A201">
            <v>69</v>
          </cell>
          <cell r="J201" t="str">
            <v/>
          </cell>
          <cell r="K201" t="str">
            <v/>
          </cell>
          <cell r="L201" t="str">
            <v/>
          </cell>
          <cell r="M201">
            <v>1.6769049754888772</v>
          </cell>
          <cell r="N201">
            <v>1.355415786844161</v>
          </cell>
          <cell r="O201">
            <v>1.6769049754888772</v>
          </cell>
          <cell r="P201" t="str">
            <v/>
          </cell>
          <cell r="Q201" t="str">
            <v/>
          </cell>
          <cell r="R201" t="str">
            <v/>
          </cell>
          <cell r="S201" t="str">
            <v/>
          </cell>
          <cell r="T201" t="str">
            <v/>
          </cell>
          <cell r="U201" t="str">
            <v/>
          </cell>
          <cell r="V201" t="str">
            <v/>
          </cell>
          <cell r="W201">
            <v>3.3593128890965489E-2</v>
          </cell>
        </row>
        <row r="202">
          <cell r="A202">
            <v>70</v>
          </cell>
          <cell r="J202" t="str">
            <v/>
          </cell>
          <cell r="K202" t="str">
            <v/>
          </cell>
          <cell r="L202" t="str">
            <v/>
          </cell>
          <cell r="M202">
            <v>1.7897360040898107</v>
          </cell>
          <cell r="N202">
            <v>1.4056914734446522</v>
          </cell>
          <cell r="O202">
            <v>1.7897360040898107</v>
          </cell>
          <cell r="P202" t="str">
            <v/>
          </cell>
          <cell r="Q202" t="str">
            <v/>
          </cell>
          <cell r="R202" t="str">
            <v/>
          </cell>
          <cell r="S202" t="str">
            <v/>
          </cell>
          <cell r="T202" t="str">
            <v/>
          </cell>
          <cell r="U202" t="str">
            <v/>
          </cell>
          <cell r="V202" t="str">
            <v/>
          </cell>
          <cell r="W202">
            <v>3.9008095933786395E-2</v>
          </cell>
        </row>
        <row r="203">
          <cell r="A203">
            <v>71</v>
          </cell>
          <cell r="J203" t="str">
            <v/>
          </cell>
          <cell r="K203" t="str">
            <v/>
          </cell>
          <cell r="L203" t="str">
            <v/>
          </cell>
          <cell r="M203">
            <v>1.9138708799878179</v>
          </cell>
          <cell r="N203">
            <v>1.4589126963673533</v>
          </cell>
          <cell r="O203">
            <v>1.9138708799878179</v>
          </cell>
          <cell r="P203" t="str">
            <v/>
          </cell>
          <cell r="Q203" t="str">
            <v/>
          </cell>
          <cell r="R203" t="str">
            <v/>
          </cell>
          <cell r="S203" t="str">
            <v/>
          </cell>
          <cell r="T203" t="str">
            <v/>
          </cell>
          <cell r="U203" t="str">
            <v/>
          </cell>
          <cell r="V203" t="str">
            <v/>
          </cell>
          <cell r="W203">
            <v>4.4913818416501501E-2</v>
          </cell>
        </row>
        <row r="204">
          <cell r="A204">
            <v>72</v>
          </cell>
          <cell r="J204" t="str">
            <v/>
          </cell>
          <cell r="K204" t="str">
            <v/>
          </cell>
          <cell r="L204" t="str">
            <v/>
          </cell>
          <cell r="M204">
            <v>2.0508836752169186</v>
          </cell>
          <cell r="N204">
            <v>1.5154587949032876</v>
          </cell>
          <cell r="O204">
            <v>2.0508836752169186</v>
          </cell>
          <cell r="P204" t="str">
            <v/>
          </cell>
          <cell r="Q204" t="str">
            <v/>
          </cell>
          <cell r="R204" t="str">
            <v/>
          </cell>
          <cell r="S204" t="str">
            <v/>
          </cell>
          <cell r="T204" t="str">
            <v/>
          </cell>
          <cell r="U204" t="str">
            <v/>
          </cell>
          <cell r="V204" t="str">
            <v/>
          </cell>
          <cell r="W204">
            <v>5.1369883717947311E-2</v>
          </cell>
        </row>
        <row r="205">
          <cell r="A205">
            <v>73</v>
          </cell>
          <cell r="J205" t="str">
            <v/>
          </cell>
          <cell r="K205" t="str">
            <v/>
          </cell>
          <cell r="L205" t="str">
            <v/>
          </cell>
          <cell r="M205">
            <v>2.2026280891372298</v>
          </cell>
          <cell r="N205">
            <v>1.5756994730701417</v>
          </cell>
          <cell r="O205">
            <v>2.2026280891372298</v>
          </cell>
          <cell r="P205" t="str">
            <v/>
          </cell>
          <cell r="Q205" t="str">
            <v/>
          </cell>
          <cell r="R205" t="str">
            <v/>
          </cell>
          <cell r="S205" t="str">
            <v/>
          </cell>
          <cell r="T205" t="str">
            <v/>
          </cell>
          <cell r="U205" t="str">
            <v/>
          </cell>
          <cell r="V205" t="str">
            <v/>
          </cell>
          <cell r="W205">
            <v>5.8449029695688388E-2</v>
          </cell>
        </row>
        <row r="206">
          <cell r="A206">
            <v>74</v>
          </cell>
          <cell r="J206" t="str">
            <v/>
          </cell>
          <cell r="K206" t="str">
            <v/>
          </cell>
          <cell r="L206" t="str">
            <v/>
          </cell>
          <cell r="M206">
            <v>2.3712993909852491</v>
          </cell>
          <cell r="N206">
            <v>1.6401154814598424</v>
          </cell>
          <cell r="O206">
            <v>2.3712993909852491</v>
          </cell>
          <cell r="P206" t="str">
            <v/>
          </cell>
          <cell r="Q206" t="str">
            <v/>
          </cell>
          <cell r="R206" t="str">
            <v/>
          </cell>
          <cell r="S206" t="str">
            <v/>
          </cell>
          <cell r="T206" t="str">
            <v/>
          </cell>
          <cell r="U206" t="str">
            <v/>
          </cell>
          <cell r="V206" t="str">
            <v/>
          </cell>
          <cell r="W206">
            <v>6.6234116348220101E-2</v>
          </cell>
        </row>
        <row r="207">
          <cell r="A207">
            <v>75</v>
          </cell>
          <cell r="J207" t="str">
            <v/>
          </cell>
          <cell r="K207" t="str">
            <v/>
          </cell>
          <cell r="L207" t="str">
            <v/>
          </cell>
          <cell r="M207">
            <v>2.5595130430756643</v>
          </cell>
          <cell r="N207">
            <v>1.7091839831330893</v>
          </cell>
          <cell r="O207">
            <v>2.5595130430756643</v>
          </cell>
          <cell r="P207" t="str">
            <v/>
          </cell>
          <cell r="Q207" t="str">
            <v/>
          </cell>
          <cell r="R207" t="str">
            <v/>
          </cell>
          <cell r="S207" t="str">
            <v/>
          </cell>
          <cell r="T207" t="str">
            <v/>
          </cell>
          <cell r="U207" t="str">
            <v/>
          </cell>
          <cell r="V207" t="str">
            <v/>
          </cell>
          <cell r="W207">
            <v>7.4826737423607834E-2</v>
          </cell>
        </row>
      </sheetData>
      <sheetData sheetId="4"/>
      <sheetData sheetId="5"/>
      <sheetData sheetId="6"/>
      <sheetData sheetId="7"/>
      <sheetData sheetId="8"/>
      <sheetData sheetId="9"/>
      <sheetData sheetId="10"/>
      <sheetData sheetId="11">
        <row r="148">
          <cell r="A148">
            <v>16</v>
          </cell>
        </row>
      </sheetData>
      <sheetData sheetId="12"/>
      <sheetData sheetId="13"/>
      <sheetData sheetId="14"/>
      <sheetData sheetId="15"/>
      <sheetData sheetId="16"/>
      <sheetData sheetId="17"/>
      <sheetData sheetId="18">
        <row r="148">
          <cell r="A148">
            <v>16</v>
          </cell>
        </row>
      </sheetData>
      <sheetData sheetId="19"/>
      <sheetData sheetId="20"/>
      <sheetData sheetId="21"/>
      <sheetData sheetId="22"/>
      <sheetData sheetId="23"/>
      <sheetData sheetId="24"/>
      <sheetData sheetId="25">
        <row r="148">
          <cell r="A148">
            <v>16</v>
          </cell>
        </row>
      </sheetData>
      <sheetData sheetId="26"/>
      <sheetData sheetId="27"/>
      <sheetData sheetId="28"/>
      <sheetData sheetId="29"/>
      <sheetData sheetId="30"/>
      <sheetData sheetId="31"/>
      <sheetData sheetId="32">
        <row r="148">
          <cell r="A148">
            <v>16</v>
          </cell>
        </row>
      </sheetData>
      <sheetData sheetId="33"/>
      <sheetData sheetId="34"/>
      <sheetData sheetId="35"/>
      <sheetData sheetId="36"/>
      <sheetData sheetId="37"/>
      <sheetData sheetId="38"/>
      <sheetData sheetId="39">
        <row r="148">
          <cell r="A148">
            <v>16</v>
          </cell>
        </row>
      </sheetData>
      <sheetData sheetId="40"/>
      <sheetData sheetId="41"/>
      <sheetData sheetId="42"/>
      <sheetData sheetId="43"/>
      <sheetData sheetId="44"/>
      <sheetData sheetId="45"/>
      <sheetData sheetId="46">
        <row r="148">
          <cell r="A148">
            <v>16</v>
          </cell>
        </row>
      </sheetData>
      <sheetData sheetId="47"/>
      <sheetData sheetId="48"/>
      <sheetData sheetId="49"/>
      <sheetData sheetId="50"/>
      <sheetData sheetId="51"/>
      <sheetData sheetId="52"/>
      <sheetData sheetId="53">
        <row r="148">
          <cell r="A148">
            <v>16</v>
          </cell>
        </row>
      </sheetData>
      <sheetData sheetId="54"/>
      <sheetData sheetId="55"/>
      <sheetData sheetId="56"/>
      <sheetData sheetId="57"/>
      <sheetData sheetId="58"/>
      <sheetData sheetId="59"/>
      <sheetData sheetId="60">
        <row r="148">
          <cell r="A148">
            <v>16</v>
          </cell>
        </row>
      </sheetData>
      <sheetData sheetId="61"/>
      <sheetData sheetId="62"/>
      <sheetData sheetId="63"/>
      <sheetData sheetId="64"/>
      <sheetData sheetId="65"/>
      <sheetData sheetId="66"/>
      <sheetData sheetId="67">
        <row r="148">
          <cell r="A148">
            <v>16</v>
          </cell>
        </row>
      </sheetData>
      <sheetData sheetId="68"/>
      <sheetData sheetId="69"/>
      <sheetData sheetId="70"/>
      <sheetData sheetId="71"/>
      <sheetData sheetId="72"/>
      <sheetData sheetId="73"/>
      <sheetData sheetId="74">
        <row r="148">
          <cell r="A148">
            <v>16</v>
          </cell>
        </row>
      </sheetData>
      <sheetData sheetId="75"/>
      <sheetData sheetId="76"/>
      <sheetData sheetId="77"/>
      <sheetData sheetId="78"/>
      <sheetData sheetId="79"/>
      <sheetData sheetId="80"/>
      <sheetData sheetId="81">
        <row r="148">
          <cell r="A148">
            <v>16</v>
          </cell>
        </row>
      </sheetData>
      <sheetData sheetId="82"/>
      <sheetData sheetId="83"/>
      <sheetData sheetId="84"/>
      <sheetData sheetId="85"/>
      <sheetData sheetId="86"/>
      <sheetData sheetId="87"/>
      <sheetData sheetId="88">
        <row r="148">
          <cell r="A148">
            <v>16</v>
          </cell>
        </row>
      </sheetData>
      <sheetData sheetId="89"/>
      <sheetData sheetId="90"/>
      <sheetData sheetId="91"/>
      <sheetData sheetId="92"/>
      <sheetData sheetId="93"/>
      <sheetData sheetId="94"/>
      <sheetData sheetId="95">
        <row r="148">
          <cell r="A148">
            <v>16</v>
          </cell>
        </row>
      </sheetData>
      <sheetData sheetId="96"/>
      <sheetData sheetId="97"/>
      <sheetData sheetId="98"/>
      <sheetData sheetId="99"/>
      <sheetData sheetId="100"/>
      <sheetData sheetId="101"/>
      <sheetData sheetId="102">
        <row r="148">
          <cell r="A148">
            <v>16</v>
          </cell>
        </row>
      </sheetData>
      <sheetData sheetId="103"/>
      <sheetData sheetId="104"/>
      <sheetData sheetId="105"/>
      <sheetData sheetId="106"/>
      <sheetData sheetId="107"/>
      <sheetData sheetId="108"/>
      <sheetData sheetId="109">
        <row r="148">
          <cell r="A148">
            <v>16</v>
          </cell>
        </row>
      </sheetData>
      <sheetData sheetId="110"/>
      <sheetData sheetId="111"/>
      <sheetData sheetId="112"/>
      <sheetData sheetId="113"/>
      <sheetData sheetId="114"/>
      <sheetData sheetId="115"/>
      <sheetData sheetId="116">
        <row r="148">
          <cell r="A148">
            <v>16</v>
          </cell>
        </row>
      </sheetData>
      <sheetData sheetId="117"/>
      <sheetData sheetId="118"/>
      <sheetData sheetId="119"/>
      <sheetData sheetId="120"/>
      <sheetData sheetId="121"/>
      <sheetData sheetId="122"/>
      <sheetData sheetId="123">
        <row r="148">
          <cell r="A148">
            <v>16</v>
          </cell>
        </row>
      </sheetData>
      <sheetData sheetId="124"/>
      <sheetData sheetId="125"/>
      <sheetData sheetId="126"/>
      <sheetData sheetId="127"/>
      <sheetData sheetId="128"/>
      <sheetData sheetId="129"/>
      <sheetData sheetId="130">
        <row r="148">
          <cell r="A148">
            <v>16</v>
          </cell>
        </row>
      </sheetData>
      <sheetData sheetId="131"/>
      <sheetData sheetId="132"/>
      <sheetData sheetId="133"/>
      <sheetData sheetId="134"/>
      <sheetData sheetId="135"/>
      <sheetData sheetId="136"/>
      <sheetData sheetId="137">
        <row r="148">
          <cell r="A148">
            <v>16</v>
          </cell>
        </row>
      </sheetData>
      <sheetData sheetId="138"/>
      <sheetData sheetId="139"/>
      <sheetData sheetId="140"/>
      <sheetData sheetId="141"/>
      <sheetData sheetId="142"/>
      <sheetData sheetId="143"/>
      <sheetData sheetId="144">
        <row r="148">
          <cell r="A148">
            <v>16</v>
          </cell>
        </row>
      </sheetData>
      <sheetData sheetId="145"/>
      <sheetData sheetId="146"/>
      <sheetData sheetId="147"/>
      <sheetData sheetId="148"/>
      <sheetData sheetId="149"/>
      <sheetData sheetId="150"/>
      <sheetData sheetId="151">
        <row r="148">
          <cell r="A148">
            <v>16</v>
          </cell>
        </row>
      </sheetData>
      <sheetData sheetId="152"/>
      <sheetData sheetId="153"/>
      <sheetData sheetId="154"/>
      <sheetData sheetId="1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hyperlink" Target="file:///C:\Users\michaelrae\AppData\Local\Archive\A2%20DATA\a2clients\Police%20Pensions\0140-00972%20Home%20Office%20Police\Cost%20Ceiling\Pension%20estimator\Pension%20calculator%20v0.30.xls" TargetMode="External"/><Relationship Id="rId13" Type="http://schemas.openxmlformats.org/officeDocument/2006/relationships/hyperlink" Target="file:///C:\Users\michaelrae\AppData\Local\Microsoft\Windows\INetCache\Content.Outlook\31A0ZOT2\Test%20Cases\Pension%20calculator%20Updated%20v0.8.xls" TargetMode="External"/><Relationship Id="rId18" Type="http://schemas.openxmlformats.org/officeDocument/2006/relationships/hyperlink" Target="file:///C:\Users\michaelrae\AppData\Local\Microsoft\Windows\INetCache\Content.Outlook\31A0ZOT2\Pension%20calculator%20Updated%20v0.13.xlsm" TargetMode="External"/><Relationship Id="rId26" Type="http://schemas.openxmlformats.org/officeDocument/2006/relationships/hyperlink" Target="20201023PensionCalculatorv5.4.xlsx%20" TargetMode="External"/><Relationship Id="rId3" Type="http://schemas.openxmlformats.org/officeDocument/2006/relationships/hyperlink" Target="file:///C:\Users\michaelrae\AppData\Local\Archive\A2%20DATA\a2clients\Police%20Pensions\0140-00972%20Home%20Office%20Police\Cost%20Ceiling\Pension%20estimator\Pension%20calculator%20v0.18.xls" TargetMode="External"/><Relationship Id="rId21" Type="http://schemas.openxmlformats.org/officeDocument/2006/relationships/hyperlink" Target="file:///C:\Users\michaelrae\AppData\Local\Microsoft\Windows\INetCache\Content.Outlook\31A0ZOT2\Pension%20calculator%20Updated%20v1.1.xlsm" TargetMode="External"/><Relationship Id="rId7" Type="http://schemas.openxmlformats.org/officeDocument/2006/relationships/hyperlink" Target="file:///C:\Users\michaelrae\AppData\Local\Archive\A2%20DATA\a2clients\Police%20Pensions\0140-00972%20Home%20Office%20Police\Cost%20Ceiling\Pension%20estimator\Pension%20calculator%20v0.29.xls" TargetMode="External"/><Relationship Id="rId12" Type="http://schemas.openxmlformats.org/officeDocument/2006/relationships/hyperlink" Target="file:///C:\Users\michaelrae\AppData\Local\Microsoft\Windows\INetCache\Content.Outlook\31A0ZOT2\Test%20Cases\Pension%20calculator%20Updated%20v0.7.xls" TargetMode="External"/><Relationship Id="rId17" Type="http://schemas.openxmlformats.org/officeDocument/2006/relationships/hyperlink" Target="file:///C:\Users\michaelrae\AppData\Local\Microsoft\Windows\INetCache\Content.Outlook\31A0ZOT2\Pension%20calculator%20Updated%20v0.12.xls" TargetMode="External"/><Relationship Id="rId25" Type="http://schemas.openxmlformats.org/officeDocument/2006/relationships/hyperlink" Target="file:///C:\Users\michaelrae\AppData\Local\Microsoft\Windows\INetCache\Content.Outlook\31A0ZOT2\Pension%20calculator%20Updated%20v1.5.xlsx" TargetMode="External"/><Relationship Id="rId2" Type="http://schemas.openxmlformats.org/officeDocument/2006/relationships/hyperlink" Target="file:///C:\Users\michaelrae\AppData\Local\Archive\A2%20DATA\a2clients\Police%20Pensions\0140-00972%20Home%20Office%20Police\Cost%20Ceiling\Pension%20estimator\Pension%20calculator%20v0.08.xlsm" TargetMode="External"/><Relationship Id="rId16" Type="http://schemas.openxmlformats.org/officeDocument/2006/relationships/hyperlink" Target="file:///C:\Users\michaelrae\AppData\Local\Microsoft\Windows\INetCache\Content.Outlook\31A0ZOT2\Pension%20calculator%20Updated%20v0.11.xls" TargetMode="External"/><Relationship Id="rId20" Type="http://schemas.openxmlformats.org/officeDocument/2006/relationships/hyperlink" Target="file:///C:\Users\michaelrae\AppData\Local\Microsoft\Windows\INetCache\Content.Outlook\31A0ZOT2\161201SPPACalculatorAgreedChanges.docx" TargetMode="External"/><Relationship Id="rId1" Type="http://schemas.openxmlformats.org/officeDocument/2006/relationships/hyperlink" Target="file:///C:\Users\michaelrae\AppData\Local\Archive\A2%20DATA\a2clients\Police%20Pensions\0140-00972%20Home%20Office%20Police\Cost%20Ceiling\Pension%20estimator\Pension%20calculator%20v0.07.xlsm" TargetMode="External"/><Relationship Id="rId6" Type="http://schemas.openxmlformats.org/officeDocument/2006/relationships/hyperlink" Target="file:///C:\Users\michaelrae\AppData\Local\Archive\A2%20DATA\a2clients\Police%20Pensions\0140-00972%20Home%20Office%20Police\Cost%20Ceiling\Pension%20estimator\Pension%20calculator%20v0.27.xls" TargetMode="External"/><Relationship Id="rId11" Type="http://schemas.openxmlformats.org/officeDocument/2006/relationships/hyperlink" Target="file:///C:\Users\michaelrae\AppData\Local\Microsoft\Windows\INetCache\Content.Outlook\31A0ZOT2\Test%20Cases\Pension%20calculator%20Updated%20v0.6.xls" TargetMode="External"/><Relationship Id="rId24" Type="http://schemas.openxmlformats.org/officeDocument/2006/relationships/hyperlink" Target="file:///C:\Users\michaelrae\AppData\Local\Microsoft\Windows\INetCache\Content.Outlook\31A0ZOT2\Pension%20calculator%20Updated%20v1.4.xlsx" TargetMode="External"/><Relationship Id="rId5" Type="http://schemas.openxmlformats.org/officeDocument/2006/relationships/hyperlink" Target="file:///C:\Users\michaelrae\AppData\Local\Archive\A2%20DATA\a2clients\Police%20Pensions\0140-00972%20Home%20Office%20Police\Cost%20Ceiling\Pension%20estimator\Pension%20calculator%20v0.26.xls" TargetMode="External"/><Relationship Id="rId15" Type="http://schemas.openxmlformats.org/officeDocument/2006/relationships/hyperlink" Target="file:///C:\Users\michaelrae\AppData\Local\Microsoft\Windows\INetCache\Content.Outlook\31A0ZOT2\Test%20Cases\Pension%20calculator%20Updated%20v0.10.xls" TargetMode="External"/><Relationship Id="rId23" Type="http://schemas.openxmlformats.org/officeDocument/2006/relationships/hyperlink" Target="file:///C:\Users\michaelrae\AppData\Local\Microsoft\Windows\INetCache\Content.Outlook\31A0ZOT2\Pension%20calculator%20Updated%20v1.3.xlsm" TargetMode="External"/><Relationship Id="rId10" Type="http://schemas.openxmlformats.org/officeDocument/2006/relationships/hyperlink" Target="file:///C:\Users\michaelrae\AppData\Local\Microsoft\Windows\INetCache\Content.Outlook\31A0ZOT2\Test%20Cases\Pension%20calculator%20Updated%20v0.5.xls" TargetMode="External"/><Relationship Id="rId19" Type="http://schemas.openxmlformats.org/officeDocument/2006/relationships/hyperlink" Target="file:///C:\Users\michaelrae\AppData\Local\Microsoft\Windows\INetCache\Content.Outlook\31A0ZOT2\Pension%20calculator%20Updated%20v1.0.xlsm" TargetMode="External"/><Relationship Id="rId4" Type="http://schemas.openxmlformats.org/officeDocument/2006/relationships/hyperlink" Target="file:///C:\Users\michaelrae\AppData\Local\Archive\A2%20DATA\a2clients\Police%20Pensions\0140-00972%20Home%20Office%20Police\Cost%20Ceiling\Pension%20estimator\Pension%20calculator%20v0.19.xls" TargetMode="External"/><Relationship Id="rId9" Type="http://schemas.openxmlformats.org/officeDocument/2006/relationships/hyperlink" Target="file:///C:\Users\michaelrae\AppData\Local\Microsoft\Windows\INetCache\Content.Outlook\31A0ZOT2\Test%20Cases\Pension%20calculator%20Updated%20v0.1.xls" TargetMode="External"/><Relationship Id="rId14" Type="http://schemas.openxmlformats.org/officeDocument/2006/relationships/hyperlink" Target="file:///C:\Users\michaelrae\AppData\Local\Microsoft\Windows\INetCache\Content.Outlook\31A0ZOT2\Test%20Cases\Pension%20calculator%20Updated%20v0.9.xls" TargetMode="External"/><Relationship Id="rId22" Type="http://schemas.openxmlformats.org/officeDocument/2006/relationships/hyperlink" Target="file:///C:\Users\michaelrae\AppData\Local\Microsoft\Windows\INetCache\Content.Outlook\31A0ZOT2\Pension%20calculator%20Updated%20v1.2.xlsm"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sppa.gov.uk/Documents/Police/Police%20Useful%20Resources/Calculators/Police%20Calculator%20FAQ%202017%20Final.pdf" TargetMode="External"/><Relationship Id="rId7" Type="http://schemas.openxmlformats.org/officeDocument/2006/relationships/ctrlProp" Target="../ctrlProps/ctrlProp3.xml"/><Relationship Id="rId2" Type="http://schemas.openxmlformats.org/officeDocument/2006/relationships/hyperlink" Target="http://www.sppa.gov.uk/index.php?option=com_content&amp;view=article&amp;id=305&amp;Itemid=379" TargetMode="External"/><Relationship Id="rId1" Type="http://schemas.openxmlformats.org/officeDocument/2006/relationships/hyperlink" Target="http://2015.sppa.gov.uk/scheme/police"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hyperlink" Target="file:///C:\Users\michaelrae\AppData\Archive\A2%20DATA\a2clients\Police%20Pensions\0140-00972%20Home%20Office%20Police\Actuarial%20Factors\2011\transfers%20and%20divorce\PPS%20Non-IH%20ERFs%20v2.xlsm" TargetMode="Externa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file:///C:\Users\michaelrae\AppData\Archive\A2%20DATA\a2clients\Police%20Pensions\0140-00972%20Home%20Office%20Police\Cost%20Ceiling\Tapering%20calcs%20-%204%20years\Tapering%20to%204%20years%20from%2038%20(as%2045%20taper)%20-%20sent%20to%20HO%2024.7.12.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Email_%20Police%201987%20-%20Commutation%20update%20(Oct%2018).pdf" TargetMode="External"/><Relationship Id="rId2" Type="http://schemas.openxmlformats.org/officeDocument/2006/relationships/hyperlink" Target="../../../../Email_%20Police%201987%20-%20Commutation%20update%20(Oct%2018).pdf" TargetMode="External"/><Relationship Id="rId1" Type="http://schemas.openxmlformats.org/officeDocument/2006/relationships/hyperlink" Target="file:///C:\Users\michaelrae\AppData\Local\Microsoft\Windows\INetCache\Factors\2014-15\Inverse%20commutation%20factors\Review%202025\Guidance\Final%2030.03.15\Scottish%20Police%20Pension%20Schemes%202006%20Inverse%20Commutation%2030.03.15.xlsx"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Factors/2018/2016%20Factor%20review/Consolidated%20Factor%20Spreadsheet/190107PoliceFactorsConsolidated.xlsm" TargetMode="External"/><Relationship Id="rId1" Type="http://schemas.openxmlformats.org/officeDocument/2006/relationships/hyperlink" Target="../../../../Factors/2018/2016%20Factor%20review/Consolidated%20Factor%20Spreadsheet/190107PoliceFactorsConsolidated.xls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67"/>
  <sheetViews>
    <sheetView windowProtection="1" workbookViewId="0">
      <selection activeCell="A37" sqref="A37:L37"/>
    </sheetView>
  </sheetViews>
  <sheetFormatPr defaultRowHeight="12.5" x14ac:dyDescent="0.25"/>
  <cols>
    <col min="1" max="1" width="20.453125" style="9" customWidth="1"/>
    <col min="2" max="2" width="130.54296875" style="2" customWidth="1"/>
    <col min="3" max="3" width="9.1796875" style="9" customWidth="1"/>
    <col min="4" max="4" width="10.1796875" style="9" bestFit="1" customWidth="1"/>
    <col min="5" max="7" width="9.1796875" style="9" customWidth="1"/>
    <col min="8" max="8" width="10.1796875" style="9" customWidth="1"/>
    <col min="9" max="9" width="11.453125" style="9" customWidth="1"/>
    <col min="10" max="11" width="9.1796875" style="9" customWidth="1"/>
    <col min="12" max="12" width="15.453125" style="9" bestFit="1" customWidth="1"/>
    <col min="13" max="13" width="21" style="9" bestFit="1" customWidth="1"/>
    <col min="14" max="14" width="9.453125" style="9" customWidth="1"/>
    <col min="15" max="15" width="9.54296875" style="9" customWidth="1"/>
    <col min="16" max="20" width="13.1796875" style="9" customWidth="1"/>
    <col min="21" max="26" width="9.1796875" style="9" customWidth="1"/>
    <col min="27" max="27" width="11.453125" style="9" customWidth="1"/>
    <col min="28" max="28" width="10.1796875" style="9" customWidth="1"/>
    <col min="29" max="30" width="9.1796875" style="9" customWidth="1"/>
    <col min="31" max="31" width="15.453125" style="9" bestFit="1" customWidth="1"/>
    <col min="32" max="32" width="21" style="9" bestFit="1" customWidth="1"/>
    <col min="33" max="34" width="9.54296875" style="9" bestFit="1" customWidth="1"/>
    <col min="35" max="35" width="9.54296875" style="9" customWidth="1"/>
    <col min="36" max="38" width="9.1796875" style="9" customWidth="1"/>
    <col min="39" max="39" width="12.453125" style="9" bestFit="1" customWidth="1"/>
    <col min="40" max="45" width="9.1796875" style="9" customWidth="1"/>
  </cols>
  <sheetData>
    <row r="1" spans="1:45" ht="20" x14ac:dyDescent="0.4">
      <c r="A1" s="4" t="s">
        <v>19</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5" x14ac:dyDescent="0.35">
      <c r="A2" s="5" t="s">
        <v>751</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5" x14ac:dyDescent="0.35">
      <c r="A3" s="127" t="s">
        <v>20</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C:\Users\u418711\AppData\Local\Microsoft\Windows\INetCache\Content.Outlook\PTLKNQ86\[Copy of PPS Scotland PensionCalculatorv5.5 22Dec2020.xlsx]Cover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s="7"/>
      <c r="C5"/>
      <c r="D5"/>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ht="19.5" customHeight="1" x14ac:dyDescent="0.3">
      <c r="A6" s="1" t="s">
        <v>42</v>
      </c>
      <c r="C6"/>
      <c r="D6" s="8"/>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17.25" customHeight="1" x14ac:dyDescent="0.3">
      <c r="A7" s="1" t="s">
        <v>43</v>
      </c>
      <c r="C7"/>
      <c r="D7" s="8"/>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5">
      <c r="A8"/>
      <c r="C8"/>
      <c r="D8" s="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ht="13" x14ac:dyDescent="0.3">
      <c r="A9" s="1" t="s">
        <v>11</v>
      </c>
    </row>
    <row r="10" spans="1:45" x14ac:dyDescent="0.25">
      <c r="A10"/>
    </row>
    <row r="11" spans="1:45" x14ac:dyDescent="0.25">
      <c r="A11"/>
      <c r="B11" s="2" t="s">
        <v>209</v>
      </c>
    </row>
    <row r="12" spans="1:45" x14ac:dyDescent="0.25">
      <c r="A12"/>
    </row>
    <row r="13" spans="1:45" ht="13" x14ac:dyDescent="0.3">
      <c r="A13" s="1" t="s">
        <v>13</v>
      </c>
    </row>
    <row r="14" spans="1:45" x14ac:dyDescent="0.25">
      <c r="A14"/>
    </row>
    <row r="15" spans="1:45" ht="13" x14ac:dyDescent="0.3">
      <c r="A15" s="1" t="s">
        <v>4</v>
      </c>
      <c r="B15" s="15" t="s">
        <v>5</v>
      </c>
    </row>
    <row r="16" spans="1:45" x14ac:dyDescent="0.25">
      <c r="A16" s="3"/>
      <c r="B16" s="2" t="s">
        <v>39</v>
      </c>
    </row>
    <row r="17" spans="1:2" x14ac:dyDescent="0.25">
      <c r="A17" s="3"/>
    </row>
    <row r="18" spans="1:2" x14ac:dyDescent="0.25">
      <c r="A18" s="3"/>
    </row>
    <row r="19" spans="1:2" x14ac:dyDescent="0.25">
      <c r="A19" s="3"/>
    </row>
    <row r="20" spans="1:2" x14ac:dyDescent="0.25">
      <c r="A20" s="3"/>
    </row>
    <row r="21" spans="1:2" x14ac:dyDescent="0.25">
      <c r="A21" s="3"/>
    </row>
    <row r="22" spans="1:2" x14ac:dyDescent="0.25">
      <c r="A22" s="3"/>
    </row>
    <row r="23" spans="1:2" x14ac:dyDescent="0.25">
      <c r="A23" s="3"/>
    </row>
    <row r="24" spans="1:2" x14ac:dyDescent="0.25">
      <c r="A24" s="3"/>
    </row>
    <row r="25" spans="1:2" x14ac:dyDescent="0.25">
      <c r="A25" s="3"/>
    </row>
    <row r="26" spans="1:2" ht="13" x14ac:dyDescent="0.3">
      <c r="A26" s="1" t="s">
        <v>40</v>
      </c>
    </row>
    <row r="27" spans="1:2" ht="13" x14ac:dyDescent="0.3">
      <c r="A27" s="1"/>
      <c r="B27" s="2" t="s">
        <v>56</v>
      </c>
    </row>
    <row r="28" spans="1:2" ht="13" x14ac:dyDescent="0.3">
      <c r="A28" s="1"/>
    </row>
    <row r="29" spans="1:2" ht="13" x14ac:dyDescent="0.3">
      <c r="A29" s="1"/>
    </row>
    <row r="30" spans="1:2" ht="13" x14ac:dyDescent="0.3">
      <c r="A30" s="1"/>
    </row>
    <row r="31" spans="1:2" ht="13" x14ac:dyDescent="0.3">
      <c r="A31" s="1"/>
    </row>
    <row r="32" spans="1:2" ht="13" x14ac:dyDescent="0.3">
      <c r="A32" s="1"/>
    </row>
    <row r="33" spans="1:2" ht="13" x14ac:dyDescent="0.3">
      <c r="A33" s="1"/>
    </row>
    <row r="34" spans="1:2" ht="13" x14ac:dyDescent="0.3">
      <c r="A34" s="1"/>
    </row>
    <row r="35" spans="1:2" x14ac:dyDescent="0.25">
      <c r="A35" s="3"/>
    </row>
    <row r="36" spans="1:2" ht="13" x14ac:dyDescent="0.3">
      <c r="A36" s="1" t="s">
        <v>12</v>
      </c>
    </row>
    <row r="37" spans="1:2" x14ac:dyDescent="0.25">
      <c r="A37"/>
    </row>
    <row r="38" spans="1:2" ht="25" x14ac:dyDescent="0.25">
      <c r="A38"/>
      <c r="B38" s="2" t="s">
        <v>18</v>
      </c>
    </row>
    <row r="39" spans="1:2" x14ac:dyDescent="0.25">
      <c r="A39"/>
    </row>
    <row r="40" spans="1:2" ht="13" x14ac:dyDescent="0.3">
      <c r="A40" s="1" t="s">
        <v>16</v>
      </c>
    </row>
    <row r="41" spans="1:2" x14ac:dyDescent="0.25">
      <c r="A41"/>
    </row>
    <row r="42" spans="1:2" x14ac:dyDescent="0.25">
      <c r="A42" t="s">
        <v>41</v>
      </c>
    </row>
    <row r="43" spans="1:2" x14ac:dyDescent="0.25">
      <c r="A43"/>
      <c r="B43" s="2" t="s">
        <v>17</v>
      </c>
    </row>
    <row r="45" spans="1:2" ht="13" x14ac:dyDescent="0.3">
      <c r="A45" s="16" t="s">
        <v>21</v>
      </c>
    </row>
    <row r="46" spans="1:2" x14ac:dyDescent="0.25">
      <c r="A46" s="128" t="s">
        <v>23</v>
      </c>
      <c r="B46" s="21" t="s">
        <v>30</v>
      </c>
    </row>
    <row r="47" spans="1:2" x14ac:dyDescent="0.25">
      <c r="A47" s="20" t="s">
        <v>27</v>
      </c>
      <c r="B47" s="21" t="s">
        <v>38</v>
      </c>
    </row>
    <row r="48" spans="1:2" x14ac:dyDescent="0.25">
      <c r="A48" s="17" t="s">
        <v>24</v>
      </c>
      <c r="B48" s="21" t="s">
        <v>37</v>
      </c>
    </row>
    <row r="49" spans="1:2" x14ac:dyDescent="0.25">
      <c r="A49" s="19" t="s">
        <v>26</v>
      </c>
      <c r="B49" s="21" t="s">
        <v>31</v>
      </c>
    </row>
    <row r="50" spans="1:2" x14ac:dyDescent="0.25">
      <c r="A50" s="22" t="s">
        <v>22</v>
      </c>
      <c r="B50" s="21" t="s">
        <v>32</v>
      </c>
    </row>
    <row r="51" spans="1:2" x14ac:dyDescent="0.25">
      <c r="A51" s="23" t="s">
        <v>28</v>
      </c>
      <c r="B51" s="21" t="s">
        <v>34</v>
      </c>
    </row>
    <row r="52" spans="1:2" x14ac:dyDescent="0.25">
      <c r="A52" s="24" t="s">
        <v>29</v>
      </c>
      <c r="B52" s="21" t="s">
        <v>35</v>
      </c>
    </row>
    <row r="53" spans="1:2" x14ac:dyDescent="0.25">
      <c r="A53" s="18" t="s">
        <v>25</v>
      </c>
      <c r="B53" s="21" t="s">
        <v>33</v>
      </c>
    </row>
    <row r="54" spans="1:2" hidden="1" x14ac:dyDescent="0.25">
      <c r="A54" s="25" t="s">
        <v>44</v>
      </c>
    </row>
    <row r="55" spans="1:2" hidden="1" x14ac:dyDescent="0.25">
      <c r="A55" s="25" t="s">
        <v>45</v>
      </c>
    </row>
    <row r="56" spans="1:2" hidden="1" x14ac:dyDescent="0.25">
      <c r="A56" s="25" t="s">
        <v>46</v>
      </c>
    </row>
    <row r="57" spans="1:2" hidden="1" x14ac:dyDescent="0.25">
      <c r="A57" s="26" t="s">
        <v>47</v>
      </c>
    </row>
    <row r="58" spans="1:2" hidden="1" x14ac:dyDescent="0.25">
      <c r="A58" s="26" t="s">
        <v>48</v>
      </c>
    </row>
    <row r="59" spans="1:2" hidden="1" x14ac:dyDescent="0.25">
      <c r="A59" s="26" t="s">
        <v>49</v>
      </c>
    </row>
    <row r="60" spans="1:2" hidden="1" x14ac:dyDescent="0.25">
      <c r="A60" s="26" t="s">
        <v>50</v>
      </c>
    </row>
    <row r="61" spans="1:2" hidden="1" x14ac:dyDescent="0.25">
      <c r="A61" s="26" t="s">
        <v>51</v>
      </c>
    </row>
    <row r="62" spans="1:2" hidden="1" x14ac:dyDescent="0.25">
      <c r="A62" s="26" t="s">
        <v>52</v>
      </c>
    </row>
    <row r="63" spans="1:2" hidden="1" x14ac:dyDescent="0.25">
      <c r="A63" s="26" t="s">
        <v>53</v>
      </c>
    </row>
    <row r="64" spans="1:2" hidden="1" x14ac:dyDescent="0.25">
      <c r="A64" s="26" t="s">
        <v>54</v>
      </c>
    </row>
    <row r="65" spans="1:1" hidden="1" x14ac:dyDescent="0.25">
      <c r="A65" s="26" t="s">
        <v>55</v>
      </c>
    </row>
    <row r="66" spans="1:1" hidden="1" x14ac:dyDescent="0.25">
      <c r="A66" s="25">
        <v>2</v>
      </c>
    </row>
    <row r="67" spans="1:1" hidden="1" x14ac:dyDescent="0.25">
      <c r="A67" s="9">
        <v>7</v>
      </c>
    </row>
  </sheetData>
  <phoneticPr fontId="2" type="noConversion"/>
  <pageMargins left="0.75" right="0.75" top="1" bottom="1" header="0.5" footer="0.5"/>
  <pageSetup paperSize="9" scale="63" orientation="landscape" r:id="rId1"/>
  <headerFooter alignWithMargins="0">
    <oddHeader>&amp;L&amp;Z&amp;F  [&amp;A]</oddHeader>
    <oddFooter>&amp;LPage &amp;P of &amp;N&amp;R&amp;T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lassificationCbo">
              <controlPr defaultSize="0" autoLine="0" autoPict="0" macro="[0]!Classification_Cbo_Change">
                <anchor moveWithCells="1">
                  <from>
                    <xdr:col>1</xdr:col>
                    <xdr:colOff>0</xdr:colOff>
                    <xdr:row>5</xdr:row>
                    <xdr:rowOff>12700</xdr:rowOff>
                  </from>
                  <to>
                    <xdr:col>1</xdr:col>
                    <xdr:colOff>1936750</xdr:colOff>
                    <xdr:row>5</xdr:row>
                    <xdr:rowOff>222250</xdr:rowOff>
                  </to>
                </anchor>
              </controlPr>
            </control>
          </mc:Choice>
        </mc:AlternateContent>
        <mc:AlternateContent xmlns:mc="http://schemas.openxmlformats.org/markup-compatibility/2006">
          <mc:Choice Requires="x14">
            <control shapeId="1026" r:id="rId5" name="DescriptorCbo">
              <controlPr defaultSize="0" autoLine="0" autoPict="0" macro="[0]!Classification_Cbo_Change">
                <anchor moveWithCells="1">
                  <from>
                    <xdr:col>1</xdr:col>
                    <xdr:colOff>0</xdr:colOff>
                    <xdr:row>6</xdr:row>
                    <xdr:rowOff>12700</xdr:rowOff>
                  </from>
                  <to>
                    <xdr:col>1</xdr:col>
                    <xdr:colOff>1936750</xdr:colOff>
                    <xdr:row>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pageSetUpPr fitToPage="1"/>
  </sheetPr>
  <dimension ref="A1:N70"/>
  <sheetViews>
    <sheetView windowProtection="1" topLeftCell="A7" zoomScale="85" zoomScaleNormal="85" workbookViewId="0">
      <selection activeCell="H46" sqref="H46:I47"/>
    </sheetView>
  </sheetViews>
  <sheetFormatPr defaultRowHeight="12.5" x14ac:dyDescent="0.25"/>
  <cols>
    <col min="2" max="2" width="11.1796875" customWidth="1"/>
    <col min="3" max="3" width="47.453125" bestFit="1" customWidth="1"/>
    <col min="4" max="6" width="12.453125" customWidth="1"/>
    <col min="7" max="7" width="11.453125" bestFit="1" customWidth="1"/>
    <col min="8" max="8" width="10.1796875" bestFit="1" customWidth="1"/>
    <col min="10" max="10" width="12.453125" bestFit="1" customWidth="1"/>
  </cols>
  <sheetData>
    <row r="1" spans="1:8" ht="20" x14ac:dyDescent="0.4">
      <c r="A1" s="13" t="s">
        <v>19</v>
      </c>
      <c r="B1" s="12"/>
      <c r="C1" s="12"/>
      <c r="D1" s="12"/>
      <c r="E1" s="12"/>
      <c r="F1" s="12"/>
      <c r="G1" s="12"/>
      <c r="H1" s="12"/>
    </row>
    <row r="2" spans="1:8" ht="15.5" x14ac:dyDescent="0.35">
      <c r="A2" s="27" t="str">
        <f>IF(title="&gt; Enter workbook title here","Enter workbook title in Cover sheet",title)</f>
        <v>Scottish Police Pension Calculator</v>
      </c>
      <c r="B2" s="11"/>
      <c r="C2" s="11"/>
      <c r="D2" s="11"/>
      <c r="E2" s="11"/>
      <c r="F2" s="11"/>
      <c r="G2" s="11"/>
      <c r="H2" s="11"/>
    </row>
    <row r="3" spans="1:8" ht="15.5" x14ac:dyDescent="0.35">
      <c r="A3" s="126" t="s">
        <v>194</v>
      </c>
      <c r="B3" s="11"/>
      <c r="C3" s="11"/>
      <c r="D3" s="11"/>
      <c r="E3" s="11"/>
      <c r="F3" s="11"/>
      <c r="G3" s="11"/>
      <c r="H3" s="11"/>
    </row>
    <row r="4" spans="1:8" x14ac:dyDescent="0.25">
      <c r="A4" s="7" t="str">
        <f ca="1">CELL("filename",A1)</f>
        <v>C:\Users\u418711\AppData\Local\Microsoft\Windows\INetCache\Content.Outlook\PTLKNQ86\[Copy of PPS Scotland PensionCalculatorv5.5 22Dec2020.xlsx]PPS and NPPS calcs</v>
      </c>
    </row>
    <row r="5" spans="1:8" ht="13" thickBot="1" x14ac:dyDescent="0.3"/>
    <row r="6" spans="1:8" x14ac:dyDescent="0.25">
      <c r="C6" s="244" t="s">
        <v>513</v>
      </c>
      <c r="D6" s="241">
        <f>(DoStartSchYear-DoB)/DoY</f>
        <v>0.2518822724161533</v>
      </c>
      <c r="F6" t="s">
        <v>515</v>
      </c>
    </row>
    <row r="7" spans="1:8" x14ac:dyDescent="0.25">
      <c r="C7" s="237" t="s">
        <v>514</v>
      </c>
      <c r="D7" s="242">
        <f>INT(D6)</f>
        <v>0</v>
      </c>
      <c r="E7" s="29" t="s">
        <v>76</v>
      </c>
    </row>
    <row r="8" spans="1:8" x14ac:dyDescent="0.25">
      <c r="C8" s="237" t="s">
        <v>464</v>
      </c>
      <c r="D8" s="167">
        <f>INT((D6-INT(D6))*12)</f>
        <v>3</v>
      </c>
      <c r="E8" s="29" t="s">
        <v>185</v>
      </c>
    </row>
    <row r="9" spans="1:8" x14ac:dyDescent="0.25">
      <c r="C9" s="237" t="s">
        <v>205</v>
      </c>
      <c r="D9" s="242">
        <f>(ProtectDate-DoB)/DoY</f>
        <v>112.25188227241615</v>
      </c>
      <c r="E9" s="143"/>
    </row>
    <row r="10" spans="1:8" x14ac:dyDescent="0.25">
      <c r="C10" s="237" t="s">
        <v>289</v>
      </c>
      <c r="D10" s="243">
        <f>(NPPSstart-DJS)/DoY+TVinYears+TVinDays/DoY</f>
        <v>106.26420260095824</v>
      </c>
      <c r="E10" s="143" t="s">
        <v>494</v>
      </c>
    </row>
    <row r="11" spans="1:8" ht="13" thickBot="1" x14ac:dyDescent="0.3">
      <c r="C11" s="238" t="s">
        <v>280</v>
      </c>
      <c r="D11" s="196" t="e">
        <f>IF(DJS&gt;=NewSchDate,"",IF(Calculator!J46="Part-time","N",IF(AND(CurrentScheme="NPPS",DJS&lt;DATE(2006,4,6)),"Y","N")))</f>
        <v>#N/A</v>
      </c>
    </row>
    <row r="13" spans="1:8" ht="13" thickBot="1" x14ac:dyDescent="0.3"/>
    <row r="14" spans="1:8" ht="13.5" thickBot="1" x14ac:dyDescent="0.35">
      <c r="C14" s="178"/>
      <c r="D14" s="239" t="s">
        <v>295</v>
      </c>
      <c r="E14" s="240" t="s">
        <v>294</v>
      </c>
    </row>
    <row r="15" spans="1:8" x14ac:dyDescent="0.25">
      <c r="C15" s="237" t="s">
        <v>293</v>
      </c>
      <c r="D15" s="193" t="e">
        <f>IF(D11="Y",IF((NPPSstart-DoB)/DoY&lt;55,"Y","N"),"N")</f>
        <v>#N/A</v>
      </c>
      <c r="E15" s="194" t="e">
        <f>IF(D11="Y",IF((NPPSstart-DoB)/DoY&lt;55,"N","Y"),"N")</f>
        <v>#N/A</v>
      </c>
      <c r="F15" s="143"/>
    </row>
    <row r="16" spans="1:8" x14ac:dyDescent="0.25">
      <c r="C16" s="237" t="s">
        <v>285</v>
      </c>
      <c r="D16" s="193">
        <f>ROUNDUP((DJS-DoB)/DoY,0)</f>
        <v>0</v>
      </c>
      <c r="E16" s="243">
        <f>MIN(30,ROUNDDOWN(D10,0))</f>
        <v>30</v>
      </c>
    </row>
    <row r="17" spans="2:11" x14ac:dyDescent="0.25">
      <c r="C17" s="237" t="s">
        <v>282</v>
      </c>
      <c r="D17" s="193">
        <f>IF(D16&lt;26,Parameters!$I$60,IF(D16&gt;34,Parameters!$I$70,"N"))</f>
        <v>1.1666666666666667</v>
      </c>
      <c r="E17" s="194" t="str">
        <f>IF(E16&lt;21,Parameters!$I$70,"N")</f>
        <v>N</v>
      </c>
    </row>
    <row r="18" spans="2:11" ht="13" thickBot="1" x14ac:dyDescent="0.3">
      <c r="C18" s="238" t="s">
        <v>281</v>
      </c>
      <c r="D18" s="236" t="e">
        <f>IF(D15="Y",IF(D17="N",VLOOKUP(D16,Upliftunder55,3,FALSE),D17),1)</f>
        <v>#N/A</v>
      </c>
      <c r="E18" s="196" t="e">
        <f>IF(E15="Y",IF(E17="N",VLOOKUP(E16,Uplift55andover,2,FALSE),E17),1)</f>
        <v>#N/A</v>
      </c>
      <c r="F18" s="143"/>
      <c r="H18" s="8"/>
    </row>
    <row r="19" spans="2:11" ht="13" thickBot="1" x14ac:dyDescent="0.3">
      <c r="C19" s="29"/>
      <c r="H19" s="8"/>
    </row>
    <row r="20" spans="2:11" x14ac:dyDescent="0.25">
      <c r="C20" s="413" t="s">
        <v>203</v>
      </c>
      <c r="D20" s="415" t="e">
        <f>D10*D18*E18+NonUplifted</f>
        <v>#N/A</v>
      </c>
      <c r="E20" s="143"/>
      <c r="H20" s="29"/>
    </row>
    <row r="21" spans="2:11" ht="13" thickBot="1" x14ac:dyDescent="0.3">
      <c r="C21" s="414" t="s">
        <v>732</v>
      </c>
      <c r="D21" s="162" t="e">
        <f>D20-Calculator!J57-Calculator!J58/365.25</f>
        <v>#N/A</v>
      </c>
      <c r="E21" t="s">
        <v>733</v>
      </c>
      <c r="F21" s="80"/>
      <c r="H21" s="29"/>
    </row>
    <row r="22" spans="2:11" ht="13.5" thickBot="1" x14ac:dyDescent="0.35">
      <c r="C22" s="1"/>
      <c r="D22" s="412" t="s">
        <v>60</v>
      </c>
      <c r="E22" s="164" t="s">
        <v>61</v>
      </c>
      <c r="F22" s="199" t="s">
        <v>206</v>
      </c>
      <c r="H22" s="29"/>
    </row>
    <row r="23" spans="2:11" ht="13.5" thickBot="1" x14ac:dyDescent="0.35">
      <c r="B23" s="175"/>
      <c r="C23" s="176" t="s">
        <v>202</v>
      </c>
      <c r="D23" s="200">
        <f>DoR</f>
        <v>0</v>
      </c>
      <c r="E23" s="197">
        <f>DoR</f>
        <v>0</v>
      </c>
      <c r="F23" s="198" t="e">
        <f>IF(CurrentScheme="PPS",D23,E23)</f>
        <v>#N/A</v>
      </c>
      <c r="H23" s="29"/>
    </row>
    <row r="24" spans="2:11" ht="13" x14ac:dyDescent="0.3">
      <c r="B24" s="671" t="s">
        <v>456</v>
      </c>
      <c r="C24" s="164" t="s">
        <v>343</v>
      </c>
      <c r="D24" s="201">
        <f>(DATE(YEAR(DJS)-TVinYears+Calculator!J57,MONTH(DJS),DAY(DJS))-TVinDays+Calculator!J58)</f>
        <v>0</v>
      </c>
      <c r="E24" s="186"/>
      <c r="F24" s="190" t="e">
        <f>IF(CurrentScheme="PPS",D24,E24)</f>
        <v>#N/A</v>
      </c>
      <c r="G24" s="143"/>
      <c r="H24" s="29"/>
    </row>
    <row r="25" spans="2:11" ht="13" x14ac:dyDescent="0.3">
      <c r="B25" s="673"/>
      <c r="C25" s="16" t="s">
        <v>791</v>
      </c>
      <c r="D25" s="519" t="b">
        <f>DJS&lt;ProtectDate</f>
        <v>1</v>
      </c>
      <c r="E25" s="249" t="b">
        <f>D25</f>
        <v>1</v>
      </c>
      <c r="F25" s="250" t="b">
        <f>D25</f>
        <v>1</v>
      </c>
      <c r="G25" s="143"/>
      <c r="H25" s="29"/>
    </row>
    <row r="26" spans="2:11" ht="13" x14ac:dyDescent="0.3">
      <c r="B26" s="673"/>
      <c r="C26" s="16" t="s">
        <v>186</v>
      </c>
      <c r="D26" s="202" t="e">
        <f>IF(D25,IF(OR($D$9&gt;=45,AND($D$9&gt;=38,$D$21&gt;=20)),"Full",IF(OR($D$9&lt;38-TaperSize,AND($D$9&lt;45-TaperSize,$D$21&lt;20-TaperSize)),"None","Tapered")),"none")</f>
        <v>#N/A</v>
      </c>
      <c r="E26" s="9" t="str">
        <f>IF(E25,IF(DJS&gt;ProtectDate,"None",IF($D$9&gt;=45,"Full",IF($D$9&lt;45-TaperSize,"None","Tapered"))),"none")</f>
        <v>Full</v>
      </c>
      <c r="F26" s="167" t="e">
        <f t="shared" ref="F26:F31" si="0">IF(CurrentScheme="PPS",D26,E26)</f>
        <v>#N/A</v>
      </c>
      <c r="G26" s="143"/>
      <c r="H26" s="29"/>
    </row>
    <row r="27" spans="2:11" ht="13.5" thickBot="1" x14ac:dyDescent="0.35">
      <c r="B27" s="672"/>
      <c r="C27" s="187" t="s">
        <v>187</v>
      </c>
      <c r="D27" s="203" t="e">
        <f>IF(D26="Tapered",IF(AND($D$9&lt;38,$D$21&lt;20),"CornerTaper",IF($D$21&gt;=20,"Age38Taper",IF($D$9&lt;41,"Service20Taper",IF($D$9-$D$21&lt;25,"Service20Taper","Age45Taper")))),"N/A")</f>
        <v>#N/A</v>
      </c>
      <c r="E27" s="185" t="str">
        <f>IF(E26="Tapered","Age45Taper","N/A")</f>
        <v>N/A</v>
      </c>
      <c r="F27" s="169" t="e">
        <f t="shared" si="0"/>
        <v>#N/A</v>
      </c>
      <c r="G27" s="143"/>
      <c r="H27" s="29"/>
    </row>
    <row r="28" spans="2:11" ht="13" x14ac:dyDescent="0.3">
      <c r="B28" s="671" t="s">
        <v>459</v>
      </c>
      <c r="C28" s="164" t="s">
        <v>229</v>
      </c>
      <c r="D28" s="204" t="e">
        <f>IF(D27="CornerTaper",VLOOKUP(DoB,Age38Taper,3,TRUE)&amp;"&amp;"&amp;VLOOKUP(DoB,Age38Taper,4,TRUE),"N/A")</f>
        <v>#N/A</v>
      </c>
      <c r="E28" s="191"/>
      <c r="F28" s="192" t="e">
        <f t="shared" si="0"/>
        <v>#N/A</v>
      </c>
      <c r="G28" s="29" t="s">
        <v>354</v>
      </c>
      <c r="H28" s="143"/>
    </row>
    <row r="29" spans="2:11" ht="13" x14ac:dyDescent="0.3">
      <c r="B29" s="673"/>
      <c r="C29" s="16" t="s">
        <v>216</v>
      </c>
      <c r="D29" s="205" t="e">
        <f>IF(D27="CornerTaper",VLOOKUP(D24,Service20Taper,3,TRUE)&amp;"&amp;"&amp;VLOOKUP(D24,Service20Taper,4,TRUE),"N/A")</f>
        <v>#N/A</v>
      </c>
      <c r="E29" s="193"/>
      <c r="F29" s="194" t="e">
        <f t="shared" si="0"/>
        <v>#N/A</v>
      </c>
      <c r="G29" s="29" t="s">
        <v>354</v>
      </c>
      <c r="H29" s="143"/>
    </row>
    <row r="30" spans="2:11" ht="13.5" thickBot="1" x14ac:dyDescent="0.35">
      <c r="B30" s="672"/>
      <c r="C30" s="187" t="s">
        <v>455</v>
      </c>
      <c r="D30" s="206" t="e">
        <f>IF(D27="CornerTaper",VLOOKUP(D29,CornerTaper,MATCH(" "&amp;D28&amp;" ",Tapers!$B$66:$AX$66,0),FALSE),"N/A")</f>
        <v>#N/A</v>
      </c>
      <c r="E30" s="195" t="s">
        <v>493</v>
      </c>
      <c r="F30" s="196" t="e">
        <f t="shared" si="0"/>
        <v>#N/A</v>
      </c>
      <c r="H30" s="143"/>
      <c r="K30">
        <f>18052*1.02^(11/12)</f>
        <v>18382.679510241695</v>
      </c>
    </row>
    <row r="31" spans="2:11" ht="13.5" thickBot="1" x14ac:dyDescent="0.35">
      <c r="B31" s="172"/>
      <c r="C31" s="165" t="s">
        <v>198</v>
      </c>
      <c r="D31" s="200" t="e">
        <f>IF(D26="None",NewSchDate-1,IF(D27="Service20Taper",VLOOKUP(D24,Service20Taper,8,TRUE),IF(D27="Age45Taper",VLOOKUP(DoB,Age45Taper,10,TRUE),IF(D27="Age38Taper",VLOOKUP(DoB,Age38Taper,8,TRUE),IF(D27="CornerTaper",NewSchDate-1+D30,"N/A")))))</f>
        <v>#N/A</v>
      </c>
      <c r="E31" s="197" t="str">
        <f>IF(E26="None",NewSchDate-1,IF(E26="Full","N/A",VLOOKUP(DoB,Age45Taper,10,TRUE)))</f>
        <v>N/A</v>
      </c>
      <c r="F31" s="198" t="e">
        <f t="shared" si="0"/>
        <v>#N/A</v>
      </c>
      <c r="G31" s="143"/>
      <c r="H31" s="29"/>
    </row>
    <row r="32" spans="2:11" ht="13" x14ac:dyDescent="0.3">
      <c r="B32" s="671" t="s">
        <v>458</v>
      </c>
      <c r="C32" s="165" t="s">
        <v>468</v>
      </c>
      <c r="D32" s="207" t="e">
        <f>IF(OR(D26="Full",D23&lt;D31),"",IF(PT_Status="Part-Time",Reck_Years+Reck_Days/DoY+MAX(0,(D31-DoStartSchYear)/DoY*future_PTP),MAX($D$20+((D31-ProtectDate)/DoY),0)))</f>
        <v>#N/A</v>
      </c>
      <c r="E32" s="208" t="str">
        <f>IF(OR(E26="Full",E23&lt;E31),"",IF(PT_Status="Part-Time",Reck_Years+Reck_Days/DoY+MAX(0,(E31-DoStartSchYear)/DoY*future_PTP),MAX($D$20+((E31-ProtectDate)/DoY),0)))</f>
        <v/>
      </c>
      <c r="F32" s="209" t="e">
        <f>IF(DJS&gt;=NewSchDate,0,IF(CurrentScheme="PPS",D32,E32))</f>
        <v>#N/A</v>
      </c>
      <c r="H32" s="143"/>
    </row>
    <row r="33" spans="2:11" ht="13" x14ac:dyDescent="0.3">
      <c r="B33" s="673"/>
      <c r="C33" s="215" t="s">
        <v>467</v>
      </c>
      <c r="D33" s="207" t="e">
        <f>IF(D26="Full",IF(PT_Status="Part-Time",Reck_Years+Reck_Days/DoY+MAX(0,(D23-DoStartSchYear)/DoY*future_PTP),ChosenRA-$D$9+$D$20),IF(D23&lt;D31,IF(PT_Status="Part-Time",Reck_Years+Reck_Days/DoY+MAX(0,(D23-DoStartSchYear)/DoY*future_PTP),(D23-ProtectDate)/DoY+$D$20),""))</f>
        <v>#N/A</v>
      </c>
      <c r="E33" s="208" t="e">
        <f>IF(E26="Full",IF(PT_Status="Part-Time",Reck_Years+Reck_Days/DoY+MAX(0,(E23-DoStartSchYear)/DoY*future_PTP),ChosenRA-$D$9+$D$20),IF(E23&lt;E31,IF(PT_Status="Part-Time",Reck_Years+Reck_Days/DoY+MAX(0,(E23-DoStartSchYear)/DoY*future_PTP),(E23-ProtectDate)/DoY+$D$20),""))</f>
        <v>#N/A</v>
      </c>
      <c r="F33" s="209" t="e">
        <f>IF(DJS&gt;=NewSchDate,0,IF(CurrentScheme="PPS",D33,E33))</f>
        <v>#N/A</v>
      </c>
      <c r="H33" s="143"/>
      <c r="I33" s="143"/>
    </row>
    <row r="34" spans="2:11" ht="13" x14ac:dyDescent="0.3">
      <c r="B34" s="673"/>
      <c r="C34" s="215" t="s">
        <v>465</v>
      </c>
      <c r="D34" s="545" t="e">
        <f>MIN(IF(D32="",D33,D32),30)</f>
        <v>#N/A</v>
      </c>
      <c r="E34" s="208" t="e">
        <f>MIN(IF(E32="",E33,E32),35)</f>
        <v>#N/A</v>
      </c>
      <c r="F34" s="209" t="e">
        <f>IF(DJS&gt;=NewSchDate,0,IF(CurrentScheme="PPS",D34,E34))</f>
        <v>#N/A</v>
      </c>
      <c r="H34" s="143"/>
      <c r="I34" s="143"/>
      <c r="K34" t="e">
        <f>YEARFRAC(DJS,D31)</f>
        <v>#N/A</v>
      </c>
    </row>
    <row r="35" spans="2:11" ht="13" x14ac:dyDescent="0.3">
      <c r="B35" s="673"/>
      <c r="C35" s="215" t="s">
        <v>504</v>
      </c>
      <c r="D35" s="545">
        <f>ChosenRA-age_exact</f>
        <v>-0.2518822724161533</v>
      </c>
      <c r="E35" s="208">
        <f>ChosenRA-age_exact</f>
        <v>-0.2518822724161533</v>
      </c>
      <c r="F35" s="209" t="e">
        <f>IF(CurrentScheme="PPS",D35,E35)</f>
        <v>#N/A</v>
      </c>
      <c r="H35" s="143"/>
      <c r="I35" s="143"/>
    </row>
    <row r="36" spans="2:11" ht="13.5" thickBot="1" x14ac:dyDescent="0.35">
      <c r="B36" s="672"/>
      <c r="C36" s="216" t="s">
        <v>466</v>
      </c>
      <c r="D36" s="546" t="e">
        <f>MIN(ChosenRA-$D$9+$D$21,30)</f>
        <v>#N/A</v>
      </c>
      <c r="E36" s="218" t="e">
        <f>MIN(IF(PT_Status="Part-Time",Reck_Years+Reck_Days/DoY+(DoR-DoStartSchYear)/DoY*future_PTP,ChosenRA-$D$9+$D$20),35)</f>
        <v>#N/A</v>
      </c>
      <c r="F36" s="219" t="e">
        <f t="shared" ref="F36:F43" si="1">IF(CurrentScheme="PPS",D36,E36)</f>
        <v>#N/A</v>
      </c>
      <c r="G36" s="143"/>
      <c r="H36" s="143"/>
    </row>
    <row r="37" spans="2:11" ht="13" x14ac:dyDescent="0.3">
      <c r="B37" s="671" t="s">
        <v>461</v>
      </c>
      <c r="C37" s="165" t="s">
        <v>460</v>
      </c>
      <c r="D37" s="221">
        <f>CurrentSal</f>
        <v>0</v>
      </c>
      <c r="E37" s="222">
        <f>CurrentSal</f>
        <v>0</v>
      </c>
      <c r="F37" s="223" t="e">
        <f t="shared" si="1"/>
        <v>#N/A</v>
      </c>
      <c r="G37" s="29"/>
    </row>
    <row r="38" spans="2:11" ht="13" x14ac:dyDescent="0.3">
      <c r="B38" s="673"/>
      <c r="C38" s="225" t="str">
        <f>"Project Salary - "&amp;basis1</f>
        <v>Project Salary - CPI + 0%</v>
      </c>
      <c r="D38" s="226">
        <f>D$37*(1+cpi_1)^D$35</f>
        <v>0</v>
      </c>
      <c r="E38" s="227">
        <f>E$37*(1+cpi_1)^E$35</f>
        <v>0</v>
      </c>
      <c r="F38" s="228" t="e">
        <f t="shared" si="1"/>
        <v>#N/A</v>
      </c>
      <c r="G38" s="29"/>
      <c r="H38" s="119"/>
      <c r="I38" s="143"/>
    </row>
    <row r="39" spans="2:11" ht="13" x14ac:dyDescent="0.3">
      <c r="B39" s="673"/>
      <c r="C39" s="158" t="str">
        <f>"Project Salary - "&amp;basis2</f>
        <v>Project Salary - CPI + 1%</v>
      </c>
      <c r="D39" s="212">
        <f>D$37*(1+cpi_2)^D$35</f>
        <v>0</v>
      </c>
      <c r="E39" s="213">
        <f>E$37*(1+cpi_2)^E$35</f>
        <v>0</v>
      </c>
      <c r="F39" s="155" t="e">
        <f t="shared" si="1"/>
        <v>#N/A</v>
      </c>
      <c r="G39" s="29"/>
      <c r="I39" s="143"/>
    </row>
    <row r="40" spans="2:11" ht="13" x14ac:dyDescent="0.3">
      <c r="B40" s="673"/>
      <c r="C40" s="229" t="str">
        <f>"Project Salary - "&amp;basis3</f>
        <v>Project Salary - CPI + 2%</v>
      </c>
      <c r="D40" s="230">
        <f>D$37*(1+cpi_3)^D$35</f>
        <v>0</v>
      </c>
      <c r="E40" s="231">
        <f>E$37*(1+cpi_3)^E$35</f>
        <v>0</v>
      </c>
      <c r="F40" s="232" t="e">
        <f t="shared" si="1"/>
        <v>#N/A</v>
      </c>
      <c r="G40" s="29"/>
      <c r="I40" s="143"/>
    </row>
    <row r="41" spans="2:11" ht="13" x14ac:dyDescent="0.3">
      <c r="B41" s="673"/>
      <c r="C41" s="215" t="str">
        <f>"Discount Projected Salary - "&amp;basis1</f>
        <v>Discount Projected Salary - CPI + 0%</v>
      </c>
      <c r="D41" s="212">
        <f ca="1">D38/((1+cpi)^D$35)*(1+cpi)^((Date_curr-DoStartSchYear)/DoY)</f>
        <v>0</v>
      </c>
      <c r="E41" s="213">
        <f t="shared" ref="E41:E43" ca="1" si="2">E38/((1+cpi)^E$35)*(1+cpi)^((Date_curr-DoStartSchYear)/DoY)</f>
        <v>0</v>
      </c>
      <c r="F41" s="155" t="e">
        <f t="shared" si="1"/>
        <v>#N/A</v>
      </c>
      <c r="G41" s="29"/>
      <c r="H41" s="29" t="s">
        <v>482</v>
      </c>
      <c r="I41" s="143"/>
    </row>
    <row r="42" spans="2:11" ht="13" x14ac:dyDescent="0.3">
      <c r="B42" s="673"/>
      <c r="C42" s="215" t="str">
        <f>"Discount Projected Salary - "&amp;basis2</f>
        <v>Discount Projected Salary - CPI + 1%</v>
      </c>
      <c r="D42" s="212">
        <f ca="1">D39/((1+cpi)^D$35)*(1+cpi)^((Date_curr-DoStartSchYear)/DoY)</f>
        <v>0</v>
      </c>
      <c r="E42" s="213">
        <f t="shared" ca="1" si="2"/>
        <v>0</v>
      </c>
      <c r="F42" s="155" t="e">
        <f t="shared" si="1"/>
        <v>#N/A</v>
      </c>
      <c r="G42" s="29"/>
      <c r="H42" s="29" t="s">
        <v>482</v>
      </c>
      <c r="I42" s="143"/>
    </row>
    <row r="43" spans="2:11" ht="13.5" thickBot="1" x14ac:dyDescent="0.35">
      <c r="B43" s="672"/>
      <c r="C43" s="216" t="str">
        <f>"Discount Projected Salary - "&amp;basis3</f>
        <v>Discount Projected Salary - CPI + 2%</v>
      </c>
      <c r="D43" s="180">
        <f ca="1">D40/((1+cpi)^D$35)*(1+cpi)^((Date_curr-DoStartSchYear)/DoY)</f>
        <v>0</v>
      </c>
      <c r="E43" s="224">
        <f t="shared" ca="1" si="2"/>
        <v>0</v>
      </c>
      <c r="F43" s="156" t="e">
        <f t="shared" si="1"/>
        <v>#N/A</v>
      </c>
      <c r="G43" s="29"/>
      <c r="H43" s="29" t="s">
        <v>482</v>
      </c>
      <c r="I43" s="143"/>
    </row>
    <row r="44" spans="2:11" ht="13" x14ac:dyDescent="0.3">
      <c r="B44" s="673" t="s">
        <v>457</v>
      </c>
      <c r="C44" s="157" t="str">
        <f>"Pension - "&amp;basis1</f>
        <v>Pension - CPI + 0%</v>
      </c>
      <c r="D44" s="233" t="e">
        <f>IF(D34="",0,IF(D36&lt;20,Acc_PPS,IF(D36&lt;30,(20+2*(D36-20))/D36*Acc_PPS,1/45))*D41*D34)</f>
        <v>#N/A</v>
      </c>
      <c r="E44" s="234" t="e">
        <f>IF($E$34="",0,$E$34*E41*Acc_NPPS)</f>
        <v>#N/A</v>
      </c>
      <c r="F44" s="223" t="e">
        <f t="shared" ref="F44:F47" si="3">IF(DJS&gt;=NewSchDate,0,IF(CurrentScheme="PPS",D44,E44))</f>
        <v>#N/A</v>
      </c>
      <c r="G44" s="152" t="e">
        <f ca="1">1/(D44/D41/$D$34)</f>
        <v>#N/A</v>
      </c>
      <c r="H44" s="29" t="s">
        <v>483</v>
      </c>
      <c r="I44" s="143"/>
    </row>
    <row r="45" spans="2:11" ht="13" x14ac:dyDescent="0.3">
      <c r="B45" s="673"/>
      <c r="C45" s="158" t="str">
        <f>"Pension - "&amp;basis2</f>
        <v>Pension - CPI + 1%</v>
      </c>
      <c r="D45" s="210" t="e">
        <f>IF(D34="",0,IF(D36&lt;20,Acc_PPS,IF(D36&lt;30,(20+2*(D36-20))/D36*Acc_PPS,1/45))*D42*D34)</f>
        <v>#N/A</v>
      </c>
      <c r="E45" s="211" t="e">
        <f>IF($E$34="",0,$E$34*E42*Acc_NPPS)</f>
        <v>#N/A</v>
      </c>
      <c r="F45" s="155" t="e">
        <f t="shared" si="3"/>
        <v>#N/A</v>
      </c>
      <c r="G45" s="152" t="e">
        <f ca="1">1/(D45/D42/$D$34)</f>
        <v>#N/A</v>
      </c>
      <c r="H45" s="29" t="s">
        <v>483</v>
      </c>
      <c r="I45" s="143"/>
    </row>
    <row r="46" spans="2:11" ht="13" x14ac:dyDescent="0.3">
      <c r="B46" s="673"/>
      <c r="C46" s="158" t="str">
        <f>"Pension - "&amp;basis3</f>
        <v>Pension - CPI + 2%</v>
      </c>
      <c r="D46" s="210" t="e">
        <f>IF(D34="",0,IF(D36&lt;20,Acc_PPS,IF(D36&lt;30,(20+2*(D36-20))/D36*Acc_PPS,1/45))*D43*D34)</f>
        <v>#N/A</v>
      </c>
      <c r="E46" s="211" t="e">
        <f>IF($E$34="",0,$E$34*E43*Acc_NPPS)</f>
        <v>#N/A</v>
      </c>
      <c r="F46" s="155" t="e">
        <f t="shared" si="3"/>
        <v>#N/A</v>
      </c>
      <c r="G46" s="152" t="e">
        <f ca="1">1/(D46/D43/$D$34)</f>
        <v>#N/A</v>
      </c>
      <c r="H46" s="29" t="s">
        <v>483</v>
      </c>
      <c r="I46" s="143"/>
    </row>
    <row r="47" spans="2:11" ht="13" x14ac:dyDescent="0.3">
      <c r="B47" s="673"/>
      <c r="C47" s="225" t="str">
        <f>"Lump Sum - "&amp;basis1</f>
        <v>Lump Sum - CPI + 0%</v>
      </c>
      <c r="D47" s="304"/>
      <c r="E47" s="227">
        <f>IFERROR(4*E44,0)</f>
        <v>0</v>
      </c>
      <c r="F47" s="228" t="e">
        <f t="shared" si="3"/>
        <v>#N/A</v>
      </c>
      <c r="G47" s="152"/>
      <c r="H47" s="29" t="s">
        <v>483</v>
      </c>
      <c r="I47" s="143"/>
    </row>
    <row r="48" spans="2:11" ht="13" x14ac:dyDescent="0.3">
      <c r="B48" s="673"/>
      <c r="C48" s="158" t="str">
        <f>"Lump Sum - "&amp;basis2</f>
        <v>Lump Sum - CPI + 1%</v>
      </c>
      <c r="D48" s="210"/>
      <c r="E48" s="211">
        <f>IFERROR(4*E45,0)</f>
        <v>0</v>
      </c>
      <c r="F48" s="155" t="e">
        <f>IF(DJS&gt;=NewSchDate,0,IF(CurrentScheme="PPS",D48,E48))</f>
        <v>#N/A</v>
      </c>
      <c r="G48" s="152"/>
      <c r="H48" s="29" t="s">
        <v>483</v>
      </c>
      <c r="I48" s="143"/>
    </row>
    <row r="49" spans="2:14" ht="13.5" thickBot="1" x14ac:dyDescent="0.35">
      <c r="B49" s="672"/>
      <c r="C49" s="159" t="str">
        <f>"Lump Sum - "&amp;basis3</f>
        <v>Lump Sum - CPI + 2%</v>
      </c>
      <c r="D49" s="220"/>
      <c r="E49" s="214">
        <f>IFERROR(4*E46,0)</f>
        <v>0</v>
      </c>
      <c r="F49" s="156" t="e">
        <f>IF(DJS&gt;=NewSchDate,0,IF(CurrentScheme="PPS",D49,E49))</f>
        <v>#N/A</v>
      </c>
      <c r="G49" s="29"/>
      <c r="H49" s="29" t="s">
        <v>483</v>
      </c>
      <c r="I49" s="143"/>
    </row>
    <row r="50" spans="2:14" ht="13" x14ac:dyDescent="0.3">
      <c r="B50" s="10"/>
      <c r="C50" s="1"/>
      <c r="D50" s="150"/>
      <c r="E50" s="151"/>
      <c r="F50" s="150"/>
    </row>
    <row r="51" spans="2:14" ht="13" x14ac:dyDescent="0.3">
      <c r="B51" s="10"/>
      <c r="C51" s="1" t="s">
        <v>749</v>
      </c>
      <c r="D51" s="150" t="e">
        <f>D34</f>
        <v>#N/A</v>
      </c>
      <c r="E51" s="151" t="e">
        <f>E34</f>
        <v>#N/A</v>
      </c>
      <c r="F51" s="150" t="e">
        <f>IF(Scheme_Full="2015 Scheme",0,IF(Scheme_Full="1987 Scheme",'PPS and NPPS calcs'!D51,'PPS and NPPS calcs'!E51))</f>
        <v>#N/A</v>
      </c>
    </row>
    <row r="53" spans="2:14" x14ac:dyDescent="0.25">
      <c r="N53">
        <v>10000</v>
      </c>
    </row>
    <row r="54" spans="2:14" ht="13.5" thickBot="1" x14ac:dyDescent="0.35">
      <c r="B54" s="1" t="s">
        <v>581</v>
      </c>
      <c r="N54">
        <v>60</v>
      </c>
    </row>
    <row r="55" spans="2:14" ht="13.5" thickBot="1" x14ac:dyDescent="0.35">
      <c r="C55" s="1"/>
      <c r="D55" s="153" t="s">
        <v>60</v>
      </c>
      <c r="E55" s="164" t="s">
        <v>61</v>
      </c>
      <c r="F55" s="199" t="s">
        <v>206</v>
      </c>
      <c r="M55">
        <v>23</v>
      </c>
      <c r="N55">
        <f>N53*(M55+3)/N54</f>
        <v>4333.333333333333</v>
      </c>
    </row>
    <row r="56" spans="2:14" ht="13.5" thickBot="1" x14ac:dyDescent="0.35">
      <c r="B56" s="175"/>
      <c r="C56" s="176" t="s">
        <v>202</v>
      </c>
      <c r="D56" s="200">
        <f>DATE(YEAR(DoB)+60,MONTH(DoB),DAY(DoB))</f>
        <v>21915</v>
      </c>
      <c r="E56" s="197">
        <f>D56</f>
        <v>21915</v>
      </c>
      <c r="F56" s="198" t="e">
        <f t="shared" ref="F56:F62" si="4">IF(CurrentScheme="PPS",D56,E56)</f>
        <v>#N/A</v>
      </c>
      <c r="M56">
        <f>26/60/23</f>
        <v>1.8840579710144929E-2</v>
      </c>
      <c r="N56">
        <f>N53*M55*M56</f>
        <v>4333.3333333333339</v>
      </c>
    </row>
    <row r="57" spans="2:14" ht="13" x14ac:dyDescent="0.3">
      <c r="B57" s="671" t="s">
        <v>456</v>
      </c>
      <c r="C57" s="164" t="s">
        <v>343</v>
      </c>
      <c r="D57" s="201">
        <f>(DATE(YEAR(DJS)-TVinYears,MONTH(DJS),DAY(DJS))-TVinDays)</f>
        <v>0</v>
      </c>
      <c r="E57" s="186"/>
      <c r="F57" s="190" t="e">
        <f t="shared" si="4"/>
        <v>#N/A</v>
      </c>
    </row>
    <row r="58" spans="2:14" ht="13" x14ac:dyDescent="0.3">
      <c r="B58" s="673"/>
      <c r="C58" s="16" t="s">
        <v>186</v>
      </c>
      <c r="D58" s="202" t="e">
        <f>IF(OR($D$9&gt;=45,AND($D$9&gt;=38,$D$20&gt;=20)),"Full",IF(OR($D$9&lt;38-TaperSize,AND($D$9&lt;45-TaperSize,$D$20&lt;20-TaperSize)),"None","Tapered"))</f>
        <v>#N/A</v>
      </c>
      <c r="E58" s="9" t="str">
        <f>IF(DJS&gt;ProtectDate,"None",IF($D$9&gt;=45,"Full",IF($D$9&lt;45-TaperSize,"None","Tapered")))</f>
        <v>Full</v>
      </c>
      <c r="F58" s="167" t="e">
        <f>IF(CurrentScheme="PPS",D58,E58)</f>
        <v>#N/A</v>
      </c>
    </row>
    <row r="59" spans="2:14" ht="13.5" thickBot="1" x14ac:dyDescent="0.35">
      <c r="B59" s="672"/>
      <c r="C59" s="187" t="s">
        <v>187</v>
      </c>
      <c r="D59" s="203" t="e">
        <f>IF(D58="Tapered",IF(AND($D$9&lt;38,$D$20&lt;20),"CornerTaper",IF($D$20&gt;=20,"Age38Taper",IF($D$9&lt;41,"Service20Taper",IF($D$9-$D$20&lt;25,"Service20Taper","Age45Taper")))),"N/A")</f>
        <v>#N/A</v>
      </c>
      <c r="E59" s="185" t="str">
        <f>IF(E58="Tapered","Age45Taper","N/A")</f>
        <v>N/A</v>
      </c>
      <c r="F59" s="169" t="e">
        <f t="shared" si="4"/>
        <v>#N/A</v>
      </c>
    </row>
    <row r="60" spans="2:14" ht="13" x14ac:dyDescent="0.3">
      <c r="B60" s="671" t="s">
        <v>459</v>
      </c>
      <c r="C60" s="164" t="s">
        <v>229</v>
      </c>
      <c r="D60" s="204" t="e">
        <f>IF(D59="CornerTaper",VLOOKUP(DoB,Age38Taper,3,TRUE)&amp;"&amp;"&amp;VLOOKUP(DoB,Age38Taper,4,TRUE),"N/A")</f>
        <v>#N/A</v>
      </c>
      <c r="E60" s="191"/>
      <c r="F60" s="192" t="e">
        <f t="shared" si="4"/>
        <v>#N/A</v>
      </c>
      <c r="H60" s="8">
        <v>37343</v>
      </c>
    </row>
    <row r="61" spans="2:14" ht="13" x14ac:dyDescent="0.3">
      <c r="B61" s="673"/>
      <c r="C61" s="16" t="s">
        <v>216</v>
      </c>
      <c r="D61" s="205" t="e">
        <f>IF(D59="CornerTaper",VLOOKUP(D57,Service20Taper,3,TRUE)&amp;"&amp;"&amp;VLOOKUP(D57,Service20Taper,4,TRUE),"N/A")</f>
        <v>#N/A</v>
      </c>
      <c r="E61" s="193"/>
      <c r="F61" s="194" t="e">
        <f t="shared" si="4"/>
        <v>#N/A</v>
      </c>
      <c r="H61" s="8">
        <v>42094</v>
      </c>
    </row>
    <row r="62" spans="2:14" ht="13.5" thickBot="1" x14ac:dyDescent="0.35">
      <c r="B62" s="672"/>
      <c r="C62" s="187" t="s">
        <v>455</v>
      </c>
      <c r="D62" s="206" t="e">
        <f>IF(D59="CornerTaper",VLOOKUP(D61,CornerTaper,MATCH(" "&amp;D60&amp;" ",Tapers!$B$66:$AX$66,0),FALSE),"N/A")</f>
        <v>#N/A</v>
      </c>
      <c r="E62" s="195" t="s">
        <v>493</v>
      </c>
      <c r="F62" s="196" t="e">
        <f t="shared" si="4"/>
        <v>#N/A</v>
      </c>
      <c r="H62">
        <f>(H61-H60)/DoY</f>
        <v>13.007529089664613</v>
      </c>
    </row>
    <row r="63" spans="2:14" ht="13.5" thickBot="1" x14ac:dyDescent="0.35">
      <c r="B63" s="172"/>
      <c r="C63" s="165" t="s">
        <v>198</v>
      </c>
      <c r="D63" s="200" t="e">
        <f>IF(D58="None",NewSchDate-1,IF(D59="Service20Taper",VLOOKUP(D57,Service20Taper,8,TRUE),IF(D59="Age45Taper",VLOOKUP(DoB,Age45Taper,10,TRUE),IF(D59="Age38Taper",VLOOKUP(DoB,Age38Taper,8,TRUE),IF(D59="CornerTaper",NewSchDate-1+D62,"N/A")))))</f>
        <v>#N/A</v>
      </c>
      <c r="E63" s="197" t="str">
        <f>IF(E58="None",NewSchDate-1,IF(E58="Full","N/A",VLOOKUP(DoB,Age45Taper,10,TRUE)))</f>
        <v>N/A</v>
      </c>
      <c r="F63" s="198" t="e">
        <f>IF(CurrentScheme="PPS",D63,E63)</f>
        <v>#N/A</v>
      </c>
      <c r="H63">
        <f>13+4/365.25</f>
        <v>13.010951403148528</v>
      </c>
    </row>
    <row r="64" spans="2:14" ht="13" x14ac:dyDescent="0.3">
      <c r="B64" s="671" t="s">
        <v>458</v>
      </c>
      <c r="C64" s="165" t="s">
        <v>468</v>
      </c>
      <c r="D64" s="207" t="e">
        <f>IF(OR(D58="Full",D56&lt;D63),"",IF(PT_Status="Part-Time",Reck_Years+Reck_Days/DoY+MAX(0,(D63-DoStartSchYear)/DoY*future_PTP),MAX($D$20+((D63-ProtectDate)/DoY),0)))</f>
        <v>#N/A</v>
      </c>
      <c r="E64" s="208" t="str">
        <f>IF(OR(E58="Full",E56&lt;E63),"",IF(PT_Status="Part-Time",Reck_Years+Reck_Days/DoY+MAX(0,(E63-DoStartSchYear)/DoY*future_PTP),MAX($D$20+((E63-ProtectDate)/DoY),0)))</f>
        <v/>
      </c>
      <c r="F64" s="209" t="e">
        <f>IF(DJS&gt;=NewSchDate,0,IF(CurrentScheme="PPS",D64,E64))</f>
        <v>#N/A</v>
      </c>
    </row>
    <row r="65" spans="2:6" ht="13" x14ac:dyDescent="0.3">
      <c r="B65" s="673"/>
      <c r="C65" s="215" t="s">
        <v>467</v>
      </c>
      <c r="D65" s="207" t="e">
        <f>IF(D58="Full",IF(PT_Status="Part-Time",Reck_Years+Reck_Days/DoY+MAX(0,(D56-DoStartSchYear)/DoY*future_PTP),60-$D$9+$D$20),IF(D56&lt;D63,IF(PT_Status="Part-Time",Reck_Years+Reck_Days/DoY+MAX(0,(D56-DoStartSchYear)/DoY*future_PTP),(D56-ProtectDate)/DoY+$D$20),""))</f>
        <v>#N/A</v>
      </c>
      <c r="E65" s="208" t="e">
        <f>IF(E58="Full",IF(PT_Status="Part-Time",Reck_Years+Reck_Days/DoY+MAX(0,(E56-DoStartSchYear)/DoY*future_PTP),60-$D$9+$D$20),IF(E56&lt;E63,IF(PT_Status="Part-Time",Reck_Years+Reck_Days/DoY+MAX(0,(E56-DoStartSchYear)/DoY*future_PTP),(E56-ProtectDate)/DoY+$D$20),""))</f>
        <v>#N/A</v>
      </c>
      <c r="F65" s="209" t="e">
        <f>IF(DJS&gt;=NewSchDate,0,IF(CurrentScheme="PPS",D65,E65))</f>
        <v>#N/A</v>
      </c>
    </row>
    <row r="66" spans="2:6" ht="13" x14ac:dyDescent="0.3">
      <c r="B66" s="673"/>
      <c r="C66" s="215" t="s">
        <v>465</v>
      </c>
      <c r="D66" s="207" t="e">
        <f>MIN(IF(D64="",D65,D64),30)</f>
        <v>#N/A</v>
      </c>
      <c r="E66" s="208" t="e">
        <f>MIN(IF(E64="",E65,E64),35)</f>
        <v>#N/A</v>
      </c>
      <c r="F66" s="209" t="e">
        <f>IF(DJS&gt;=NewSchDate,0,IF(CurrentScheme="PPS",D66,E66))</f>
        <v>#N/A</v>
      </c>
    </row>
    <row r="67" spans="2:6" ht="13" x14ac:dyDescent="0.3">
      <c r="B67" s="673"/>
      <c r="C67" s="215" t="s">
        <v>504</v>
      </c>
      <c r="D67" s="207">
        <f>60-age_exact</f>
        <v>59.748117727583846</v>
      </c>
      <c r="E67" s="208">
        <f>60-age_exact</f>
        <v>59.748117727583846</v>
      </c>
      <c r="F67" s="209" t="e">
        <f>IF(CurrentScheme="PPS",D67,E67)</f>
        <v>#N/A</v>
      </c>
    </row>
    <row r="68" spans="2:6" ht="13.5" thickBot="1" x14ac:dyDescent="0.35">
      <c r="B68" s="672"/>
      <c r="C68" s="216" t="s">
        <v>466</v>
      </c>
      <c r="D68" s="217" t="e">
        <f>MIN(IF(PT_Status="Part-Time",Reck_Years+Reck_Days/DoY+(D56-DoStartSchYear)/DoY*future_PTP,60-$D$9+$D$20),30)</f>
        <v>#N/A</v>
      </c>
      <c r="E68" s="218" t="e">
        <f>MIN(IF(PT_Status="Part-Time",Reck_Years+Reck_Days/DoY+(E56-DoStartSchYear)/DoY*future_PTP,60-$D$9+$D$20),35)</f>
        <v>#N/A</v>
      </c>
      <c r="F68" s="219" t="e">
        <f t="shared" ref="F68:F69" si="5">IF(CurrentScheme="PPS",D68,E68)</f>
        <v>#N/A</v>
      </c>
    </row>
    <row r="69" spans="2:6" ht="12.75" customHeight="1" x14ac:dyDescent="0.3">
      <c r="B69" s="671" t="s">
        <v>579</v>
      </c>
      <c r="C69" s="165" t="s">
        <v>460</v>
      </c>
      <c r="D69" s="221">
        <f>CurrentSal</f>
        <v>0</v>
      </c>
      <c r="E69" s="222">
        <f>CurrentSal</f>
        <v>0</v>
      </c>
      <c r="F69" s="223" t="e">
        <f t="shared" si="5"/>
        <v>#N/A</v>
      </c>
    </row>
    <row r="70" spans="2:6" ht="13.5" thickBot="1" x14ac:dyDescent="0.35">
      <c r="B70" s="672"/>
      <c r="C70" s="159" t="str">
        <f>"Pension - "&amp;basis1</f>
        <v>Pension - CPI + 0%</v>
      </c>
      <c r="D70" s="220" t="e">
        <f>IF(D66="",0,IF(D68&lt;20,Acc_PPS,IF(D68&lt;30,(20+2*(D68-20))/D68*Acc_PPS,1/45))*D69*D66)</f>
        <v>#N/A</v>
      </c>
      <c r="E70" s="214" t="e">
        <f>IF($E$66="",0,$E$66*E69*Acc_NPPS)</f>
        <v>#N/A</v>
      </c>
      <c r="F70" s="156" t="e">
        <f>IF(DJS&gt;=NewSchDate,0,IF(CurrentScheme="PPS",D70,E70))</f>
        <v>#N/A</v>
      </c>
    </row>
  </sheetData>
  <mergeCells count="9">
    <mergeCell ref="B69:B70"/>
    <mergeCell ref="B57:B59"/>
    <mergeCell ref="B60:B62"/>
    <mergeCell ref="B64:B68"/>
    <mergeCell ref="B24:B27"/>
    <mergeCell ref="B28:B30"/>
    <mergeCell ref="B32:B36"/>
    <mergeCell ref="B44:B49"/>
    <mergeCell ref="B37:B43"/>
  </mergeCells>
  <phoneticPr fontId="29" type="noConversion"/>
  <pageMargins left="0.70866141732283472" right="0.70866141732283472" top="0.74803149606299213" bottom="0.74803149606299213" header="0.31496062992125984" footer="0.31496062992125984"/>
  <pageSetup paperSize="9" scale="56" orientation="portrait" r:id="rId1"/>
  <headerFooter>
    <oddHeader>&amp;CPROTECT - SCHEME MANAGEMENT&amp;L_x000D_&amp;Z&amp;F  [&amp;A]</oddHeader>
    <oddFooter>&amp;LPage &amp;P of &amp;N&amp;R&amp;T &amp;D</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V35"/>
  <sheetViews>
    <sheetView windowProtection="1" topLeftCell="B9" workbookViewId="0">
      <selection activeCell="H46" sqref="H46:I47"/>
    </sheetView>
  </sheetViews>
  <sheetFormatPr defaultRowHeight="12.5" x14ac:dyDescent="0.25"/>
  <cols>
    <col min="2" max="2" width="34" bestFit="1" customWidth="1"/>
    <col min="3" max="3" width="10.54296875" bestFit="1" customWidth="1"/>
    <col min="4" max="4" width="13" customWidth="1"/>
    <col min="5" max="6" width="10.1796875" bestFit="1" customWidth="1"/>
    <col min="7" max="7" width="10.54296875" customWidth="1"/>
    <col min="8" max="8" width="16.54296875" customWidth="1"/>
    <col min="9" max="9" width="10.1796875" bestFit="1" customWidth="1"/>
    <col min="10" max="17" width="12.54296875" customWidth="1"/>
    <col min="18" max="19" width="11.54296875" customWidth="1"/>
    <col min="20" max="20" width="11.453125" customWidth="1"/>
  </cols>
  <sheetData>
    <row r="1" spans="1:9" ht="20" x14ac:dyDescent="0.4">
      <c r="A1" s="13" t="s">
        <v>19</v>
      </c>
      <c r="B1" s="12"/>
      <c r="C1" s="12"/>
      <c r="D1" s="12"/>
      <c r="E1" s="12"/>
      <c r="F1" s="12"/>
      <c r="G1" s="12"/>
      <c r="H1" s="12"/>
      <c r="I1" s="12"/>
    </row>
    <row r="2" spans="1:9" ht="15.5" x14ac:dyDescent="0.35">
      <c r="A2" s="27" t="str">
        <f>IF(title="&gt; Enter workbook title here","Enter workbook title in Cover sheet",title)</f>
        <v>Scottish Police Pension Calculator</v>
      </c>
      <c r="B2" s="11"/>
      <c r="C2" s="11"/>
      <c r="D2" s="11"/>
      <c r="E2" s="11"/>
      <c r="F2" s="11"/>
      <c r="G2" s="11"/>
      <c r="H2" s="11"/>
      <c r="I2" s="11"/>
    </row>
    <row r="3" spans="1:9" ht="15.5" x14ac:dyDescent="0.35">
      <c r="A3" s="126" t="s">
        <v>411</v>
      </c>
      <c r="B3" s="11"/>
      <c r="C3" s="11"/>
      <c r="D3" s="11"/>
      <c r="E3" s="11"/>
      <c r="F3" s="11"/>
      <c r="G3" s="11"/>
      <c r="H3" s="11"/>
      <c r="I3" s="11"/>
    </row>
    <row r="4" spans="1:9" x14ac:dyDescent="0.25">
      <c r="A4" s="7" t="str">
        <f ca="1">CELL("filename",A1)</f>
        <v>C:\Users\u418711\AppData\Local\Microsoft\Windows\INetCache\Content.Outlook\PTLKNQ86\[Copy of PPS Scotland PensionCalculatorv5.5 22Dec2020.xlsx]Past Service CARE Calcs</v>
      </c>
    </row>
    <row r="6" spans="1:9" x14ac:dyDescent="0.25">
      <c r="B6" t="s">
        <v>776</v>
      </c>
      <c r="C6" s="8" t="e">
        <f>DoProtEnd</f>
        <v>#N/A</v>
      </c>
    </row>
    <row r="7" spans="1:9" x14ac:dyDescent="0.25">
      <c r="B7" s="29" t="s">
        <v>777</v>
      </c>
      <c r="C7" s="8">
        <f>DJS</f>
        <v>0</v>
      </c>
    </row>
    <row r="8" spans="1:9" x14ac:dyDescent="0.25">
      <c r="B8" s="29" t="s">
        <v>778</v>
      </c>
      <c r="C8" s="8" t="e">
        <f>MAX(C6,C7)</f>
        <v>#N/A</v>
      </c>
    </row>
    <row r="12" spans="1:9" x14ac:dyDescent="0.25">
      <c r="E12" s="8" t="s">
        <v>729</v>
      </c>
    </row>
    <row r="13" spans="1:9" ht="13" thickBot="1" x14ac:dyDescent="0.3"/>
    <row r="14" spans="1:9" x14ac:dyDescent="0.25">
      <c r="B14" s="244"/>
      <c r="C14" s="246"/>
      <c r="D14" s="8"/>
      <c r="E14" s="8"/>
      <c r="F14" s="8"/>
    </row>
    <row r="15" spans="1:9" x14ac:dyDescent="0.25">
      <c r="A15" s="29" t="s">
        <v>429</v>
      </c>
      <c r="B15" s="237" t="s">
        <v>407</v>
      </c>
      <c r="C15" s="247">
        <f>cpi</f>
        <v>0.02</v>
      </c>
      <c r="D15" s="8"/>
      <c r="E15" s="8">
        <f>DoR</f>
        <v>0</v>
      </c>
      <c r="F15" s="8"/>
    </row>
    <row r="16" spans="1:9" ht="13" thickBot="1" x14ac:dyDescent="0.3">
      <c r="A16" s="29" t="s">
        <v>430</v>
      </c>
      <c r="B16" s="238" t="s">
        <v>406</v>
      </c>
      <c r="C16" s="248">
        <f>care_rev</f>
        <v>3.2500000000000001E-2</v>
      </c>
      <c r="D16" s="8"/>
      <c r="E16" s="8"/>
      <c r="F16" s="8"/>
    </row>
    <row r="17" spans="2:256" ht="13" thickBot="1" x14ac:dyDescent="0.3">
      <c r="B17" s="299" t="s">
        <v>713</v>
      </c>
      <c r="C17" s="363" t="e">
        <f>MAX(DJS,'CARE calcs'!D7)</f>
        <v>#N/A</v>
      </c>
    </row>
    <row r="18" spans="2:256" x14ac:dyDescent="0.25">
      <c r="B18" s="499"/>
      <c r="C18" s="186">
        <v>2015</v>
      </c>
      <c r="D18" s="186">
        <v>2016</v>
      </c>
      <c r="E18" s="186">
        <v>2017</v>
      </c>
      <c r="F18" s="186">
        <v>2018</v>
      </c>
      <c r="G18" s="186">
        <v>2019</v>
      </c>
      <c r="H18" s="186">
        <v>2020</v>
      </c>
      <c r="I18" s="186">
        <v>2021</v>
      </c>
      <c r="J18" s="186">
        <v>2022</v>
      </c>
      <c r="K18" s="186">
        <v>2023</v>
      </c>
      <c r="L18" s="186">
        <v>2024</v>
      </c>
      <c r="M18" s="186">
        <v>2025</v>
      </c>
      <c r="N18" s="186">
        <v>2026</v>
      </c>
      <c r="O18" s="186">
        <v>2027</v>
      </c>
      <c r="P18" s="186">
        <v>2028</v>
      </c>
      <c r="Q18" s="186">
        <v>2029</v>
      </c>
      <c r="R18" s="186">
        <v>2030</v>
      </c>
      <c r="S18" s="186">
        <v>2031</v>
      </c>
      <c r="T18" s="186">
        <v>2032</v>
      </c>
    </row>
    <row r="19" spans="2:256" x14ac:dyDescent="0.25">
      <c r="B19" s="499" t="s">
        <v>403</v>
      </c>
      <c r="C19" s="124">
        <f>DATE(C18,4,1)</f>
        <v>42095</v>
      </c>
      <c r="D19" s="124">
        <f>DATE(D18,4,1)</f>
        <v>42461</v>
      </c>
      <c r="E19" s="124">
        <f t="shared" ref="E19:T19" si="0">DATE(E18,4,1)</f>
        <v>42826</v>
      </c>
      <c r="F19" s="124">
        <f t="shared" si="0"/>
        <v>43191</v>
      </c>
      <c r="G19" s="124">
        <f t="shared" si="0"/>
        <v>43556</v>
      </c>
      <c r="H19" s="124">
        <f t="shared" si="0"/>
        <v>43922</v>
      </c>
      <c r="I19" s="124">
        <f t="shared" si="0"/>
        <v>44287</v>
      </c>
      <c r="J19" s="124">
        <f t="shared" si="0"/>
        <v>44652</v>
      </c>
      <c r="K19" s="124">
        <f t="shared" si="0"/>
        <v>45017</v>
      </c>
      <c r="L19" s="124">
        <f t="shared" si="0"/>
        <v>45383</v>
      </c>
      <c r="M19" s="124">
        <f t="shared" si="0"/>
        <v>45748</v>
      </c>
      <c r="N19" s="124">
        <f t="shared" si="0"/>
        <v>46113</v>
      </c>
      <c r="O19" s="124">
        <f t="shared" si="0"/>
        <v>46478</v>
      </c>
      <c r="P19" s="124">
        <f t="shared" si="0"/>
        <v>46844</v>
      </c>
      <c r="Q19" s="124">
        <f t="shared" si="0"/>
        <v>47209</v>
      </c>
      <c r="R19" s="124">
        <f t="shared" si="0"/>
        <v>47574</v>
      </c>
      <c r="S19" s="124">
        <f t="shared" si="0"/>
        <v>47939</v>
      </c>
      <c r="T19" s="494">
        <f t="shared" si="0"/>
        <v>48305</v>
      </c>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2:256" x14ac:dyDescent="0.25">
      <c r="B20" s="500" t="s">
        <v>404</v>
      </c>
      <c r="C20" s="249">
        <f>DATE(C18+1,3,31)</f>
        <v>42460</v>
      </c>
      <c r="D20" s="249">
        <f t="shared" ref="D20:T20" si="1">DATE(D18+1,3,31)</f>
        <v>42825</v>
      </c>
      <c r="E20" s="249">
        <f t="shared" si="1"/>
        <v>43190</v>
      </c>
      <c r="F20" s="249">
        <f t="shared" si="1"/>
        <v>43555</v>
      </c>
      <c r="G20" s="249">
        <f t="shared" si="1"/>
        <v>43921</v>
      </c>
      <c r="H20" s="249">
        <f t="shared" si="1"/>
        <v>44286</v>
      </c>
      <c r="I20" s="249">
        <f t="shared" si="1"/>
        <v>44651</v>
      </c>
      <c r="J20" s="249">
        <f t="shared" si="1"/>
        <v>45016</v>
      </c>
      <c r="K20" s="249">
        <f t="shared" si="1"/>
        <v>45382</v>
      </c>
      <c r="L20" s="249">
        <f t="shared" si="1"/>
        <v>45747</v>
      </c>
      <c r="M20" s="249">
        <f t="shared" si="1"/>
        <v>46112</v>
      </c>
      <c r="N20" s="249">
        <f t="shared" si="1"/>
        <v>46477</v>
      </c>
      <c r="O20" s="249">
        <f t="shared" si="1"/>
        <v>46843</v>
      </c>
      <c r="P20" s="249">
        <f t="shared" si="1"/>
        <v>47208</v>
      </c>
      <c r="Q20" s="249">
        <f t="shared" si="1"/>
        <v>47573</v>
      </c>
      <c r="R20" s="249">
        <f t="shared" si="1"/>
        <v>47938</v>
      </c>
      <c r="S20" s="249">
        <f t="shared" si="1"/>
        <v>48304</v>
      </c>
      <c r="T20" s="495">
        <f t="shared" si="1"/>
        <v>48669</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2:256" ht="18" customHeight="1" x14ac:dyDescent="0.25">
      <c r="B21" s="501" t="s">
        <v>714</v>
      </c>
      <c r="C21" s="9" t="b">
        <f t="shared" ref="C21:T21" ca="1" si="2">Date_curr&gt;C20</f>
        <v>1</v>
      </c>
      <c r="D21" s="9" t="b">
        <f t="shared" ca="1" si="2"/>
        <v>1</v>
      </c>
      <c r="E21" s="9" t="b">
        <f t="shared" ca="1" si="2"/>
        <v>1</v>
      </c>
      <c r="F21" s="9" t="b">
        <f t="shared" ca="1" si="2"/>
        <v>1</v>
      </c>
      <c r="G21" s="9" t="b">
        <f t="shared" ca="1" si="2"/>
        <v>1</v>
      </c>
      <c r="H21" s="9" t="b">
        <f t="shared" ca="1" si="2"/>
        <v>0</v>
      </c>
      <c r="I21" s="9" t="b">
        <f t="shared" ca="1" si="2"/>
        <v>0</v>
      </c>
      <c r="J21" s="9" t="b">
        <f t="shared" ca="1" si="2"/>
        <v>0</v>
      </c>
      <c r="K21" s="9" t="b">
        <f t="shared" ca="1" si="2"/>
        <v>0</v>
      </c>
      <c r="L21" s="9" t="b">
        <f t="shared" ca="1" si="2"/>
        <v>0</v>
      </c>
      <c r="M21" s="9" t="b">
        <f t="shared" ca="1" si="2"/>
        <v>0</v>
      </c>
      <c r="N21" s="9" t="b">
        <f t="shared" ca="1" si="2"/>
        <v>0</v>
      </c>
      <c r="O21" s="9" t="b">
        <f t="shared" ca="1" si="2"/>
        <v>0</v>
      </c>
      <c r="P21" s="9" t="b">
        <f t="shared" ca="1" si="2"/>
        <v>0</v>
      </c>
      <c r="Q21" s="9" t="b">
        <f t="shared" ca="1" si="2"/>
        <v>0</v>
      </c>
      <c r="R21" s="9" t="b">
        <f t="shared" ca="1" si="2"/>
        <v>0</v>
      </c>
      <c r="S21" s="9" t="b">
        <f t="shared" ca="1" si="2"/>
        <v>0</v>
      </c>
      <c r="T21" s="82" t="b">
        <f t="shared" ca="1" si="2"/>
        <v>0</v>
      </c>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row>
    <row r="22" spans="2:256" ht="26.25" customHeight="1" x14ac:dyDescent="0.25">
      <c r="B22" s="502" t="s">
        <v>715</v>
      </c>
      <c r="C22" s="9" t="e">
        <f>$C17&lt;D19</f>
        <v>#N/A</v>
      </c>
      <c r="D22" s="9" t="e">
        <f t="shared" ref="D22:F22" si="3">$C17&lt;E19</f>
        <v>#N/A</v>
      </c>
      <c r="E22" s="9" t="e">
        <f t="shared" si="3"/>
        <v>#N/A</v>
      </c>
      <c r="F22" s="9" t="e">
        <f t="shared" si="3"/>
        <v>#N/A</v>
      </c>
      <c r="G22" s="9" t="e">
        <f t="shared" ref="G22" si="4">$C17&lt;H19</f>
        <v>#N/A</v>
      </c>
      <c r="H22" s="9" t="e">
        <f t="shared" ref="H22" si="5">$C17&lt;I19</f>
        <v>#N/A</v>
      </c>
      <c r="I22" s="9" t="e">
        <f t="shared" ref="I22" si="6">$C17&lt;J19</f>
        <v>#N/A</v>
      </c>
      <c r="J22" s="9" t="e">
        <f t="shared" ref="J22" si="7">$C17&lt;K19</f>
        <v>#N/A</v>
      </c>
      <c r="K22" s="9" t="e">
        <f t="shared" ref="K22" si="8">$C17&lt;L19</f>
        <v>#N/A</v>
      </c>
      <c r="L22" s="9" t="e">
        <f t="shared" ref="L22" si="9">$C17&lt;M19</f>
        <v>#N/A</v>
      </c>
      <c r="M22" s="9" t="e">
        <f t="shared" ref="M22" si="10">$C17&lt;N19</f>
        <v>#N/A</v>
      </c>
      <c r="N22" s="9" t="e">
        <f t="shared" ref="N22" si="11">$C17&lt;O19</f>
        <v>#N/A</v>
      </c>
      <c r="O22" s="9" t="e">
        <f t="shared" ref="O22" si="12">$C17&lt;P19</f>
        <v>#N/A</v>
      </c>
      <c r="P22" s="9" t="e">
        <f t="shared" ref="P22" si="13">$C17&lt;Q19</f>
        <v>#N/A</v>
      </c>
      <c r="Q22" s="9" t="e">
        <f t="shared" ref="Q22" si="14">$C17&lt;R19</f>
        <v>#N/A</v>
      </c>
      <c r="R22" s="9" t="e">
        <f t="shared" ref="R22" si="15">$C17&lt;S19</f>
        <v>#N/A</v>
      </c>
      <c r="S22" s="9" t="e">
        <f t="shared" ref="S22" si="16">$C17&lt;T19</f>
        <v>#N/A</v>
      </c>
      <c r="T22" s="82" t="e">
        <f t="shared" ref="T22" si="17">$C17&lt;U19</f>
        <v>#N/A</v>
      </c>
    </row>
    <row r="23" spans="2:256" x14ac:dyDescent="0.25">
      <c r="B23" s="501" t="s">
        <v>716</v>
      </c>
      <c r="C23" s="208" t="e">
        <f>MAX(0,MIN(C20,DoR)-$C17)/365.25</f>
        <v>#N/A</v>
      </c>
      <c r="D23" s="208" t="e">
        <f t="shared" ref="D23:T23" si="18">MAX(0,MIN(D20,DoR)-MAX(C20,$C17))/365.25</f>
        <v>#N/A</v>
      </c>
      <c r="E23" s="208" t="e">
        <f t="shared" si="18"/>
        <v>#N/A</v>
      </c>
      <c r="F23" s="208" t="e">
        <f t="shared" si="18"/>
        <v>#N/A</v>
      </c>
      <c r="G23" s="208" t="e">
        <f t="shared" si="18"/>
        <v>#N/A</v>
      </c>
      <c r="H23" s="208" t="e">
        <f t="shared" si="18"/>
        <v>#N/A</v>
      </c>
      <c r="I23" s="208" t="e">
        <f t="shared" si="18"/>
        <v>#N/A</v>
      </c>
      <c r="J23" s="208" t="e">
        <f t="shared" si="18"/>
        <v>#N/A</v>
      </c>
      <c r="K23" s="208" t="e">
        <f t="shared" si="18"/>
        <v>#N/A</v>
      </c>
      <c r="L23" s="208" t="e">
        <f t="shared" si="18"/>
        <v>#N/A</v>
      </c>
      <c r="M23" s="208" t="e">
        <f t="shared" si="18"/>
        <v>#N/A</v>
      </c>
      <c r="N23" s="208" t="e">
        <f t="shared" si="18"/>
        <v>#N/A</v>
      </c>
      <c r="O23" s="208" t="e">
        <f t="shared" si="18"/>
        <v>#N/A</v>
      </c>
      <c r="P23" s="208" t="e">
        <f t="shared" si="18"/>
        <v>#N/A</v>
      </c>
      <c r="Q23" s="208" t="e">
        <f t="shared" si="18"/>
        <v>#N/A</v>
      </c>
      <c r="R23" s="208" t="e">
        <f t="shared" si="18"/>
        <v>#N/A</v>
      </c>
      <c r="S23" s="208" t="e">
        <f t="shared" si="18"/>
        <v>#N/A</v>
      </c>
      <c r="T23" s="496" t="e">
        <f t="shared" si="18"/>
        <v>#N/A</v>
      </c>
    </row>
    <row r="24" spans="2:256" x14ac:dyDescent="0.25">
      <c r="B24" s="503" t="s">
        <v>717</v>
      </c>
      <c r="C24" s="497" t="e">
        <f ca="1">IF(AND(C21,C22),C23,0)</f>
        <v>#N/A</v>
      </c>
      <c r="D24" s="497" t="e">
        <f ca="1">IF(AND(D21,D22),D23,0)</f>
        <v>#N/A</v>
      </c>
      <c r="E24" s="497" t="e">
        <f ca="1">IF(AND(E21,E22),E23,0)</f>
        <v>#N/A</v>
      </c>
      <c r="F24" s="497" t="e">
        <f ca="1">IF(AND(F21,F22),F23,0)</f>
        <v>#N/A</v>
      </c>
      <c r="G24" s="497" t="e">
        <f t="shared" ref="G24:T24" ca="1" si="19">IF(AND(G21,G22),G23,0)</f>
        <v>#N/A</v>
      </c>
      <c r="H24" s="497" t="e">
        <f t="shared" ca="1" si="19"/>
        <v>#N/A</v>
      </c>
      <c r="I24" s="497" t="e">
        <f t="shared" ca="1" si="19"/>
        <v>#N/A</v>
      </c>
      <c r="J24" s="497" t="e">
        <f t="shared" ca="1" si="19"/>
        <v>#N/A</v>
      </c>
      <c r="K24" s="497" t="e">
        <f t="shared" ca="1" si="19"/>
        <v>#N/A</v>
      </c>
      <c r="L24" s="497" t="e">
        <f t="shared" ca="1" si="19"/>
        <v>#N/A</v>
      </c>
      <c r="M24" s="497" t="e">
        <f t="shared" ca="1" si="19"/>
        <v>#N/A</v>
      </c>
      <c r="N24" s="497" t="e">
        <f t="shared" ca="1" si="19"/>
        <v>#N/A</v>
      </c>
      <c r="O24" s="497" t="e">
        <f t="shared" ca="1" si="19"/>
        <v>#N/A</v>
      </c>
      <c r="P24" s="497" t="e">
        <f t="shared" ca="1" si="19"/>
        <v>#N/A</v>
      </c>
      <c r="Q24" s="497" t="e">
        <f t="shared" ca="1" si="19"/>
        <v>#N/A</v>
      </c>
      <c r="R24" s="497" t="e">
        <f t="shared" ca="1" si="19"/>
        <v>#N/A</v>
      </c>
      <c r="S24" s="497" t="e">
        <f t="shared" ca="1" si="19"/>
        <v>#N/A</v>
      </c>
      <c r="T24" s="498" t="e">
        <f t="shared" ca="1" si="19"/>
        <v>#N/A</v>
      </c>
    </row>
    <row r="25" spans="2:256" x14ac:dyDescent="0.25">
      <c r="B25" s="410" t="s">
        <v>779</v>
      </c>
      <c r="C25" s="493">
        <f t="shared" ref="C25:T25" si="20">MAX(0,(DoStartSchYear-C19)/DoY)</f>
        <v>0</v>
      </c>
      <c r="D25" s="493">
        <f t="shared" si="20"/>
        <v>0</v>
      </c>
      <c r="E25" s="493">
        <f t="shared" si="20"/>
        <v>0</v>
      </c>
      <c r="F25" s="493">
        <f t="shared" si="20"/>
        <v>0</v>
      </c>
      <c r="G25" s="493">
        <f t="shared" si="20"/>
        <v>0</v>
      </c>
      <c r="H25" s="493">
        <f t="shared" si="20"/>
        <v>0</v>
      </c>
      <c r="I25" s="493">
        <f t="shared" si="20"/>
        <v>0</v>
      </c>
      <c r="J25" s="493">
        <f t="shared" si="20"/>
        <v>0</v>
      </c>
      <c r="K25" s="493">
        <f t="shared" si="20"/>
        <v>0</v>
      </c>
      <c r="L25" s="493">
        <f t="shared" si="20"/>
        <v>0</v>
      </c>
      <c r="M25" s="493">
        <f t="shared" si="20"/>
        <v>0</v>
      </c>
      <c r="N25" s="493">
        <f t="shared" si="20"/>
        <v>0</v>
      </c>
      <c r="O25" s="493">
        <f t="shared" si="20"/>
        <v>0</v>
      </c>
      <c r="P25" s="493">
        <f t="shared" si="20"/>
        <v>0</v>
      </c>
      <c r="Q25" s="493">
        <f t="shared" si="20"/>
        <v>0</v>
      </c>
      <c r="R25" s="493">
        <f t="shared" si="20"/>
        <v>0</v>
      </c>
      <c r="S25" s="493">
        <f t="shared" si="20"/>
        <v>0</v>
      </c>
      <c r="T25" s="493">
        <f t="shared" si="20"/>
        <v>0</v>
      </c>
    </row>
    <row r="26" spans="2:256" ht="13" thickBot="1" x14ac:dyDescent="0.3">
      <c r="B26" s="410" t="s">
        <v>780</v>
      </c>
      <c r="C26" s="493">
        <f t="shared" ref="C26:T26" si="21">CurrentSal/(1+cpi_2)^C25</f>
        <v>0</v>
      </c>
      <c r="D26" s="493">
        <f t="shared" si="21"/>
        <v>0</v>
      </c>
      <c r="E26" s="493">
        <f t="shared" si="21"/>
        <v>0</v>
      </c>
      <c r="F26" s="493">
        <f t="shared" si="21"/>
        <v>0</v>
      </c>
      <c r="G26" s="493">
        <f t="shared" si="21"/>
        <v>0</v>
      </c>
      <c r="H26" s="493">
        <f t="shared" si="21"/>
        <v>0</v>
      </c>
      <c r="I26" s="493">
        <f t="shared" si="21"/>
        <v>0</v>
      </c>
      <c r="J26" s="493">
        <f t="shared" si="21"/>
        <v>0</v>
      </c>
      <c r="K26" s="493">
        <f t="shared" si="21"/>
        <v>0</v>
      </c>
      <c r="L26" s="493">
        <f t="shared" si="21"/>
        <v>0</v>
      </c>
      <c r="M26" s="493">
        <f t="shared" si="21"/>
        <v>0</v>
      </c>
      <c r="N26" s="493">
        <f t="shared" si="21"/>
        <v>0</v>
      </c>
      <c r="O26" s="493">
        <f t="shared" si="21"/>
        <v>0</v>
      </c>
      <c r="P26" s="493">
        <f t="shared" si="21"/>
        <v>0</v>
      </c>
      <c r="Q26" s="493">
        <f t="shared" si="21"/>
        <v>0</v>
      </c>
      <c r="R26" s="493">
        <f t="shared" si="21"/>
        <v>0</v>
      </c>
      <c r="S26" s="493">
        <f t="shared" si="21"/>
        <v>0</v>
      </c>
      <c r="T26" s="493">
        <f t="shared" si="21"/>
        <v>0</v>
      </c>
    </row>
    <row r="27" spans="2:256" x14ac:dyDescent="0.25">
      <c r="B27" s="244" t="s">
        <v>405</v>
      </c>
      <c r="C27" s="408" t="e">
        <f t="shared" ref="C27:T27" ca="1" si="22">C26*Acc_CARE*C24</f>
        <v>#N/A</v>
      </c>
      <c r="D27" s="408" t="e">
        <f t="shared" ca="1" si="22"/>
        <v>#N/A</v>
      </c>
      <c r="E27" s="408" t="e">
        <f t="shared" ca="1" si="22"/>
        <v>#N/A</v>
      </c>
      <c r="F27" s="408" t="e">
        <f t="shared" ca="1" si="22"/>
        <v>#N/A</v>
      </c>
      <c r="G27" s="408" t="e">
        <f t="shared" ca="1" si="22"/>
        <v>#N/A</v>
      </c>
      <c r="H27" s="408" t="e">
        <f t="shared" ca="1" si="22"/>
        <v>#N/A</v>
      </c>
      <c r="I27" s="408" t="e">
        <f t="shared" ca="1" si="22"/>
        <v>#N/A</v>
      </c>
      <c r="J27" s="408" t="e">
        <f t="shared" ca="1" si="22"/>
        <v>#N/A</v>
      </c>
      <c r="K27" s="408" t="e">
        <f t="shared" ca="1" si="22"/>
        <v>#N/A</v>
      </c>
      <c r="L27" s="408" t="e">
        <f t="shared" ca="1" si="22"/>
        <v>#N/A</v>
      </c>
      <c r="M27" s="408" t="e">
        <f t="shared" ca="1" si="22"/>
        <v>#N/A</v>
      </c>
      <c r="N27" s="408" t="e">
        <f t="shared" ca="1" si="22"/>
        <v>#N/A</v>
      </c>
      <c r="O27" s="408" t="e">
        <f t="shared" ca="1" si="22"/>
        <v>#N/A</v>
      </c>
      <c r="P27" s="408" t="e">
        <f t="shared" ca="1" si="22"/>
        <v>#N/A</v>
      </c>
      <c r="Q27" s="408" t="e">
        <f t="shared" ca="1" si="22"/>
        <v>#N/A</v>
      </c>
      <c r="R27" s="408" t="e">
        <f t="shared" ca="1" si="22"/>
        <v>#N/A</v>
      </c>
      <c r="S27" s="408" t="e">
        <f t="shared" ca="1" si="22"/>
        <v>#N/A</v>
      </c>
      <c r="T27" s="408" t="e">
        <f t="shared" ca="1" si="22"/>
        <v>#N/A</v>
      </c>
    </row>
    <row r="28" spans="2:256" ht="13" thickBot="1" x14ac:dyDescent="0.3">
      <c r="B28" s="409" t="s">
        <v>530</v>
      </c>
      <c r="C28" s="253" t="e">
        <f t="shared" ref="C28:T28" ca="1" si="23">C27*(1+care_rev)^((DoR-C20)/DoY)</f>
        <v>#N/A</v>
      </c>
      <c r="D28" s="253" t="e">
        <f t="shared" ca="1" si="23"/>
        <v>#N/A</v>
      </c>
      <c r="E28" s="253" t="e">
        <f t="shared" ca="1" si="23"/>
        <v>#N/A</v>
      </c>
      <c r="F28" s="253" t="e">
        <f t="shared" ca="1" si="23"/>
        <v>#N/A</v>
      </c>
      <c r="G28" s="253" t="e">
        <f t="shared" ca="1" si="23"/>
        <v>#N/A</v>
      </c>
      <c r="H28" s="253" t="e">
        <f t="shared" ca="1" si="23"/>
        <v>#N/A</v>
      </c>
      <c r="I28" s="253" t="e">
        <f t="shared" ca="1" si="23"/>
        <v>#N/A</v>
      </c>
      <c r="J28" s="253" t="e">
        <f t="shared" ca="1" si="23"/>
        <v>#N/A</v>
      </c>
      <c r="K28" s="253" t="e">
        <f t="shared" ca="1" si="23"/>
        <v>#N/A</v>
      </c>
      <c r="L28" s="253" t="e">
        <f t="shared" ca="1" si="23"/>
        <v>#N/A</v>
      </c>
      <c r="M28" s="253" t="e">
        <f t="shared" ca="1" si="23"/>
        <v>#N/A</v>
      </c>
      <c r="N28" s="253" t="e">
        <f t="shared" ca="1" si="23"/>
        <v>#N/A</v>
      </c>
      <c r="O28" s="253" t="e">
        <f t="shared" ca="1" si="23"/>
        <v>#N/A</v>
      </c>
      <c r="P28" s="253" t="e">
        <f t="shared" ca="1" si="23"/>
        <v>#N/A</v>
      </c>
      <c r="Q28" s="253" t="e">
        <f t="shared" ca="1" si="23"/>
        <v>#N/A</v>
      </c>
      <c r="R28" s="253" t="e">
        <f t="shared" ca="1" si="23"/>
        <v>#N/A</v>
      </c>
      <c r="S28" s="253" t="e">
        <f t="shared" ca="1" si="23"/>
        <v>#N/A</v>
      </c>
      <c r="T28" s="253" t="e">
        <f t="shared" ca="1" si="23"/>
        <v>#N/A</v>
      </c>
    </row>
    <row r="29" spans="2:256" x14ac:dyDescent="0.25">
      <c r="B29" s="410" t="s">
        <v>781</v>
      </c>
      <c r="C29" s="81" t="e">
        <f ca="1">SUM(C28:T28)</f>
        <v>#N/A</v>
      </c>
      <c r="D29" s="29" t="s">
        <v>787</v>
      </c>
    </row>
    <row r="30" spans="2:256" x14ac:dyDescent="0.25">
      <c r="B30" s="26"/>
    </row>
    <row r="31" spans="2:256" x14ac:dyDescent="0.25">
      <c r="B31" s="26" t="s">
        <v>782</v>
      </c>
      <c r="C31" s="81">
        <f>Calculator!M44</f>
        <v>0</v>
      </c>
    </row>
    <row r="32" spans="2:256" x14ac:dyDescent="0.25">
      <c r="B32" s="26" t="s">
        <v>783</v>
      </c>
      <c r="C32" s="8">
        <f>DATE(ABSEndDate1,4,1)</f>
        <v>92</v>
      </c>
    </row>
    <row r="33" spans="2:3" x14ac:dyDescent="0.25">
      <c r="B33" s="26" t="s">
        <v>785</v>
      </c>
      <c r="C33" s="119">
        <f>C31*(1+care_rev)^((DoR-C32)/DoY)</f>
        <v>0</v>
      </c>
    </row>
    <row r="34" spans="2:3" x14ac:dyDescent="0.25">
      <c r="B34" s="26" t="s">
        <v>784</v>
      </c>
      <c r="C34" t="b">
        <f>Parameters!B112</f>
        <v>1</v>
      </c>
    </row>
    <row r="35" spans="2:3" x14ac:dyDescent="0.25">
      <c r="B35" s="26" t="s">
        <v>786</v>
      </c>
      <c r="C35" t="e">
        <f>IF(OR(ProtStatus="full",DoStartSchYear&lt;=DoProtEnd),0,IF(C34,C33,C29))</f>
        <v>#N/A</v>
      </c>
    </row>
  </sheetData>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44"/>
  <sheetViews>
    <sheetView windowProtection="1" workbookViewId="0">
      <selection activeCell="G7" sqref="G7"/>
    </sheetView>
  </sheetViews>
  <sheetFormatPr defaultRowHeight="12.5" x14ac:dyDescent="0.25"/>
  <cols>
    <col min="2" max="2" width="30.453125" customWidth="1"/>
    <col min="3" max="3" width="53" bestFit="1" customWidth="1"/>
    <col min="4" max="4" width="12" bestFit="1" customWidth="1"/>
    <col min="5" max="5" width="16.1796875" customWidth="1"/>
    <col min="6" max="6" width="12" customWidth="1"/>
    <col min="7" max="7" width="13.54296875" customWidth="1"/>
    <col min="8" max="8" width="10.453125" bestFit="1" customWidth="1"/>
    <col min="9" max="9" width="9.54296875" bestFit="1" customWidth="1"/>
  </cols>
  <sheetData>
    <row r="1" spans="1:16" ht="20" x14ac:dyDescent="0.4">
      <c r="A1" s="13" t="s">
        <v>19</v>
      </c>
      <c r="B1" s="12"/>
      <c r="C1" s="12"/>
      <c r="D1" s="12"/>
      <c r="E1" s="12"/>
      <c r="F1" s="12"/>
      <c r="G1" s="12"/>
      <c r="H1" s="12"/>
      <c r="I1" s="12"/>
    </row>
    <row r="2" spans="1:16" ht="15.5" x14ac:dyDescent="0.35">
      <c r="A2" s="27" t="str">
        <f>IF(title="&gt; Enter workbook title here","Enter workbook title in Cover sheet",title)</f>
        <v>Scottish Police Pension Calculator</v>
      </c>
      <c r="B2" s="11"/>
      <c r="C2" s="11"/>
      <c r="D2" s="11"/>
      <c r="E2" s="11"/>
      <c r="F2" s="11"/>
      <c r="G2" s="11"/>
      <c r="H2" s="11"/>
      <c r="I2" s="11"/>
    </row>
    <row r="3" spans="1:16" ht="15.5" x14ac:dyDescent="0.35">
      <c r="A3" s="126" t="s">
        <v>195</v>
      </c>
      <c r="B3" s="11"/>
      <c r="C3" s="11"/>
      <c r="D3" s="11"/>
      <c r="E3" s="11"/>
      <c r="F3" s="11"/>
      <c r="G3" s="11"/>
      <c r="H3" s="11"/>
      <c r="I3" s="11"/>
    </row>
    <row r="4" spans="1:16" ht="13" thickBot="1" x14ac:dyDescent="0.3">
      <c r="A4" s="7" t="str">
        <f ca="1">CELL("filename",A1)</f>
        <v>C:\Users\u418711\AppData\Local\Microsoft\Windows\INetCache\Content.Outlook\PTLKNQ86\[Copy of PPS Scotland PensionCalculatorv5.5 22Dec2020.xlsx]CARE calcs</v>
      </c>
    </row>
    <row r="5" spans="1:16" ht="13" x14ac:dyDescent="0.3">
      <c r="A5" s="7"/>
      <c r="C5" s="153" t="s">
        <v>508</v>
      </c>
      <c r="D5" s="172" t="e">
        <f>'PPS and NPPS calcs'!F26</f>
        <v>#N/A</v>
      </c>
      <c r="G5" s="29"/>
    </row>
    <row r="6" spans="1:16" x14ac:dyDescent="0.25">
      <c r="A6" s="7"/>
      <c r="C6" s="504" t="s">
        <v>788</v>
      </c>
      <c r="D6" s="505" t="e">
        <f>IF(ProtStatus="Full",DoR,MAX(DJS,DoProtEnd))</f>
        <v>#N/A</v>
      </c>
      <c r="E6" s="29"/>
      <c r="F6" s="8"/>
      <c r="G6" s="29"/>
      <c r="H6" s="308"/>
      <c r="N6" s="150"/>
      <c r="O6" s="150"/>
      <c r="P6" s="150"/>
    </row>
    <row r="7" spans="1:16" x14ac:dyDescent="0.25">
      <c r="C7" s="504" t="s">
        <v>789</v>
      </c>
      <c r="D7" s="505" t="e">
        <f>MAX(D6,DoStartSchYear)</f>
        <v>#N/A</v>
      </c>
      <c r="E7" s="29"/>
      <c r="F7" s="8"/>
      <c r="I7" s="150"/>
      <c r="J7" s="150"/>
      <c r="N7" s="150"/>
      <c r="O7" s="150"/>
      <c r="P7" s="150"/>
    </row>
    <row r="8" spans="1:16" ht="13" thickBot="1" x14ac:dyDescent="0.3">
      <c r="C8" s="414" t="s">
        <v>790</v>
      </c>
      <c r="D8" s="162">
        <f ca="1">YEARFRAC(Date_curr, DoR)</f>
        <v>121.05</v>
      </c>
      <c r="E8" s="29"/>
      <c r="I8" s="150"/>
      <c r="J8" s="150"/>
      <c r="N8" s="150"/>
      <c r="O8" s="150"/>
    </row>
    <row r="9" spans="1:16" ht="13" x14ac:dyDescent="0.3">
      <c r="C9" s="157" t="s">
        <v>188</v>
      </c>
      <c r="D9" s="288" t="e">
        <f>VLOOKUP(DoB,Parameters!D45:F48,3,TRUE)</f>
        <v>#N/A</v>
      </c>
      <c r="E9" s="186" t="e">
        <f>D9</f>
        <v>#N/A</v>
      </c>
      <c r="F9" s="289" t="e">
        <f>E9</f>
        <v>#N/A</v>
      </c>
      <c r="I9" s="150"/>
      <c r="J9" s="150"/>
      <c r="N9" s="150"/>
      <c r="O9" s="150"/>
    </row>
    <row r="10" spans="1:16" ht="13" x14ac:dyDescent="0.3">
      <c r="C10" s="158" t="s">
        <v>469</v>
      </c>
      <c r="D10" s="134">
        <f>ChosenRA</f>
        <v>0</v>
      </c>
      <c r="E10" s="327">
        <f>D10</f>
        <v>0</v>
      </c>
      <c r="F10" s="328">
        <f>E10</f>
        <v>0</v>
      </c>
      <c r="I10" s="150"/>
      <c r="J10" s="150"/>
      <c r="N10" s="150"/>
      <c r="O10" s="150"/>
    </row>
    <row r="11" spans="1:16" ht="13" x14ac:dyDescent="0.3">
      <c r="C11" s="158" t="s">
        <v>521</v>
      </c>
      <c r="D11" s="25">
        <f>1+cpi_1</f>
        <v>1</v>
      </c>
      <c r="E11" s="25">
        <f>1+cpi_2</f>
        <v>1.03</v>
      </c>
      <c r="F11" s="290">
        <f>1+cpi_3</f>
        <v>1.04</v>
      </c>
      <c r="G11" s="143"/>
      <c r="I11" s="150"/>
      <c r="J11" s="150"/>
      <c r="N11" s="150"/>
      <c r="O11" s="150"/>
    </row>
    <row r="12" spans="1:16" ht="13" x14ac:dyDescent="0.3">
      <c r="C12" s="158" t="s">
        <v>477</v>
      </c>
      <c r="D12" s="25">
        <f>((1+care_rev)/D11)</f>
        <v>1.0325</v>
      </c>
      <c r="E12" s="25">
        <f>((1+care_rev)/E11)</f>
        <v>1.0024271844660193</v>
      </c>
      <c r="F12" s="290">
        <f>((1+care_rev)/F11)</f>
        <v>0.99278846153846145</v>
      </c>
      <c r="G12" s="143"/>
      <c r="I12" s="150"/>
      <c r="J12" s="150"/>
      <c r="N12" s="150"/>
      <c r="O12" s="150"/>
    </row>
    <row r="13" spans="1:16" ht="13.5" thickBot="1" x14ac:dyDescent="0.35">
      <c r="C13" s="159" t="s">
        <v>507</v>
      </c>
      <c r="D13" s="195">
        <f>(1+cpi_1)/(1+cpi)</f>
        <v>0.98039215686274506</v>
      </c>
      <c r="E13" s="195">
        <f>(1+cpi_2)/(1+cpi)</f>
        <v>1.0098039215686274</v>
      </c>
      <c r="F13" s="291">
        <f>(1+cpi_3)/(1+cpi)</f>
        <v>1.0196078431372548</v>
      </c>
      <c r="I13" s="285"/>
      <c r="J13" s="150"/>
      <c r="N13" s="150"/>
      <c r="O13" s="150"/>
    </row>
    <row r="14" spans="1:16" ht="13.5" thickBot="1" x14ac:dyDescent="0.35">
      <c r="C14" s="1"/>
      <c r="G14" s="269"/>
      <c r="H14" s="9"/>
      <c r="I14" s="213"/>
      <c r="K14" s="9"/>
      <c r="L14" s="9"/>
      <c r="N14" s="150"/>
      <c r="O14" s="150"/>
    </row>
    <row r="15" spans="1:16" ht="13" x14ac:dyDescent="0.3">
      <c r="B15" s="671" t="s">
        <v>471</v>
      </c>
      <c r="C15" s="157" t="s">
        <v>470</v>
      </c>
      <c r="D15" s="272" t="e">
        <f>MAX(0,(DoR-MAX(DoStartSchYear,D7)))/DoY</f>
        <v>#N/A</v>
      </c>
      <c r="E15" s="293"/>
      <c r="H15" s="16"/>
      <c r="I15" s="255"/>
      <c r="J15" s="255"/>
      <c r="K15" s="255"/>
      <c r="L15" s="9"/>
      <c r="N15" s="150"/>
      <c r="O15" s="150"/>
    </row>
    <row r="16" spans="1:16" ht="13" x14ac:dyDescent="0.3">
      <c r="B16" s="673"/>
      <c r="C16" s="158" t="s">
        <v>188</v>
      </c>
      <c r="D16" s="281">
        <f>IFERROR(MAX((DATE(YEAR(DoB)+$D$9,MONTH(DoB),DAY(DoB))-MAX(DoStartSchYear,D7))/DoY,0),0)</f>
        <v>0</v>
      </c>
      <c r="E16" s="293"/>
      <c r="F16" s="29" t="s">
        <v>516</v>
      </c>
      <c r="H16" s="16"/>
      <c r="I16" s="286"/>
      <c r="J16" s="211"/>
      <c r="K16" s="211"/>
      <c r="L16" s="9"/>
      <c r="N16" s="150"/>
      <c r="O16" s="150"/>
    </row>
    <row r="17" spans="1:15" ht="13.5" thickBot="1" x14ac:dyDescent="0.35">
      <c r="B17" s="672"/>
      <c r="C17" s="282" t="s">
        <v>502</v>
      </c>
      <c r="D17" s="273" t="e">
        <f>D16-D15</f>
        <v>#N/A</v>
      </c>
      <c r="H17" s="9"/>
      <c r="I17" s="213"/>
      <c r="J17" s="213"/>
      <c r="K17" s="213"/>
      <c r="L17" s="9"/>
      <c r="N17" s="150"/>
      <c r="O17" s="150"/>
    </row>
    <row r="18" spans="1:15" ht="13" x14ac:dyDescent="0.3">
      <c r="B18" s="671" t="s">
        <v>554</v>
      </c>
      <c r="C18" s="310" t="s">
        <v>529</v>
      </c>
      <c r="D18" s="309">
        <f ca="1">(DoR-Date_curr)/DoY</f>
        <v>-121.05133470225873</v>
      </c>
      <c r="H18" s="9"/>
      <c r="I18" s="213"/>
      <c r="J18" s="213"/>
      <c r="K18" s="213"/>
      <c r="L18" s="9"/>
      <c r="N18" s="150"/>
      <c r="O18" s="150"/>
    </row>
    <row r="19" spans="1:15" ht="13.5" thickBot="1" x14ac:dyDescent="0.35">
      <c r="B19" s="672"/>
      <c r="C19" s="282" t="s">
        <v>555</v>
      </c>
      <c r="D19" s="273">
        <f>IFERROR(MAX((DoProtEnd-DoStartSchYear)/DoY,0),0)</f>
        <v>0</v>
      </c>
      <c r="H19" s="9"/>
      <c r="I19" s="213"/>
      <c r="J19" s="213"/>
      <c r="K19" s="213"/>
      <c r="L19" s="9"/>
      <c r="N19" s="150"/>
      <c r="O19" s="150"/>
    </row>
    <row r="20" spans="1:15" ht="13.5" thickBot="1" x14ac:dyDescent="0.35">
      <c r="B20" s="336"/>
      <c r="C20" s="337"/>
      <c r="D20" s="208"/>
      <c r="H20" s="9"/>
      <c r="I20" s="213"/>
      <c r="J20" s="213"/>
      <c r="K20" s="213"/>
      <c r="L20" s="9"/>
      <c r="N20" s="150"/>
      <c r="O20" s="150"/>
    </row>
    <row r="21" spans="1:15" ht="13" x14ac:dyDescent="0.3">
      <c r="B21" s="677" t="s">
        <v>615</v>
      </c>
      <c r="C21" s="157" t="s">
        <v>616</v>
      </c>
      <c r="D21" s="350">
        <f>D10-INT(D10)</f>
        <v>0</v>
      </c>
      <c r="E21" s="348"/>
      <c r="K21" s="213"/>
      <c r="L21" s="9"/>
      <c r="N21" s="150"/>
      <c r="O21" s="150"/>
    </row>
    <row r="22" spans="1:15" ht="13.5" thickBot="1" x14ac:dyDescent="0.35">
      <c r="B22" s="678"/>
      <c r="C22" s="346" t="s">
        <v>617</v>
      </c>
      <c r="D22" s="351">
        <f>(ChosenRA-60)/2+60-INT((ChosenRA-60)/2+60)</f>
        <v>0</v>
      </c>
      <c r="E22" s="348"/>
      <c r="F22" s="349"/>
      <c r="G22" s="344"/>
      <c r="H22" s="344"/>
      <c r="J22" s="213"/>
      <c r="K22" s="213"/>
      <c r="L22" s="9"/>
      <c r="N22" s="150"/>
      <c r="O22" s="150"/>
    </row>
    <row r="23" spans="1:15" ht="13" x14ac:dyDescent="0.3">
      <c r="B23" s="678"/>
      <c r="C23" s="338" t="s">
        <v>621</v>
      </c>
      <c r="D23" s="340">
        <f>IF(ChosenRA&lt;=60,1,VLOOKUP(INT(RA_Year),'ERF and LRF'!$B$27:$E$37,4,0)*(1+VLOOKUP(INT(RA_Year+IF(RA_Year&lt;70,1,0)),'ERF and LRF'!$B$27:$E$37,2,0)*D21))</f>
        <v>1</v>
      </c>
      <c r="E23" s="348"/>
      <c r="H23" s="344"/>
      <c r="J23" s="213"/>
      <c r="K23" s="213"/>
      <c r="L23" s="9"/>
      <c r="N23" s="150"/>
      <c r="O23" s="150"/>
    </row>
    <row r="24" spans="1:15" ht="13" x14ac:dyDescent="0.3">
      <c r="B24" s="678"/>
      <c r="C24" s="339" t="s">
        <v>612</v>
      </c>
      <c r="D24" s="341">
        <f>IF(ChosenRA&lt;=60,1,VLOOKUP(INT((ChosenRA-60)/2+60),'ERF and LRF'!$B$27:$E$37,4,0)*(1+D22*VLOOKUP(INT((ChosenRA-60)/2+60),'ERF and LRF'!$B$27:$E$37,2,0)))</f>
        <v>1</v>
      </c>
      <c r="E24" s="348"/>
      <c r="H24" s="345"/>
      <c r="J24" s="213"/>
      <c r="K24" s="213"/>
      <c r="L24" s="9"/>
      <c r="N24" s="150"/>
      <c r="O24" s="150"/>
    </row>
    <row r="25" spans="1:15" ht="13" x14ac:dyDescent="0.3">
      <c r="B25" s="678"/>
      <c r="C25" s="339" t="s">
        <v>622</v>
      </c>
      <c r="D25" s="161" t="e">
        <f>MAX((date60-D7)/DoY,0)</f>
        <v>#N/A</v>
      </c>
      <c r="E25" s="119"/>
      <c r="G25" s="344"/>
      <c r="H25" s="345"/>
      <c r="I25" s="213"/>
      <c r="J25" s="213"/>
      <c r="K25" s="213"/>
      <c r="L25" s="9"/>
      <c r="N25" s="150"/>
      <c r="O25" s="150"/>
    </row>
    <row r="26" spans="1:15" ht="13.5" thickBot="1" x14ac:dyDescent="0.35">
      <c r="B26" s="678"/>
      <c r="C26" s="282" t="s">
        <v>623</v>
      </c>
      <c r="D26" s="347">
        <f>MAX((DoR-date60)/DoY,0)</f>
        <v>0</v>
      </c>
      <c r="E26" s="134"/>
      <c r="H26" s="9"/>
      <c r="I26" s="213"/>
      <c r="J26" s="213"/>
      <c r="K26" s="213"/>
      <c r="L26" s="9"/>
      <c r="N26" s="150"/>
      <c r="O26" s="150"/>
    </row>
    <row r="27" spans="1:15" ht="13" x14ac:dyDescent="0.3">
      <c r="B27" s="673"/>
      <c r="C27" s="310" t="s">
        <v>613</v>
      </c>
      <c r="D27" s="342">
        <f>IF(ChosenRA&lt;=60,1,SUMPRODUCT(D23:D24,D25:D26)/SUM(D25:D26))</f>
        <v>1</v>
      </c>
      <c r="E27" s="345"/>
      <c r="F27" s="345"/>
      <c r="H27" s="9"/>
      <c r="I27" s="213"/>
      <c r="J27" s="213"/>
      <c r="K27" s="213"/>
      <c r="L27" s="9"/>
      <c r="N27" s="150"/>
      <c r="O27" s="150"/>
    </row>
    <row r="28" spans="1:15" ht="13.5" thickBot="1" x14ac:dyDescent="0.35">
      <c r="B28" s="672"/>
      <c r="C28" s="282" t="s">
        <v>614</v>
      </c>
      <c r="D28" s="343">
        <f>IF(ChosenRA&lt;55,1,IF(ChosenRA&lt;60,VLOOKUP(MOD(12-RA_month_roundup,12),'ERF and LRF'!$B$12:$H$23,Parameters!H103+2,0),1))</f>
        <v>1</v>
      </c>
      <c r="H28" s="9"/>
      <c r="I28" s="213"/>
      <c r="J28" s="213"/>
      <c r="K28" s="213"/>
      <c r="L28" s="9"/>
      <c r="N28" s="150"/>
      <c r="O28" s="150"/>
    </row>
    <row r="29" spans="1:15" ht="13.5" thickBot="1" x14ac:dyDescent="0.35">
      <c r="A29" s="9"/>
      <c r="B29" s="297"/>
      <c r="C29" s="16"/>
      <c r="D29" s="208"/>
      <c r="E29" s="208"/>
      <c r="F29" s="208"/>
      <c r="G29" s="9"/>
      <c r="H29" s="9"/>
      <c r="I29" s="213"/>
      <c r="J29" s="213"/>
      <c r="K29" s="213"/>
      <c r="L29" s="9"/>
      <c r="N29" s="150"/>
      <c r="O29" s="150"/>
    </row>
    <row r="30" spans="1:15" ht="12.75" customHeight="1" x14ac:dyDescent="0.3">
      <c r="B30" s="664" t="s">
        <v>524</v>
      </c>
      <c r="C30" s="157" t="s">
        <v>549</v>
      </c>
      <c r="D30" s="299" t="e">
        <f>IF(D15=0,0,INT(D15))</f>
        <v>#N/A</v>
      </c>
      <c r="E30" s="278" t="e">
        <f t="shared" ref="E30:F32" si="0">$D30</f>
        <v>#N/A</v>
      </c>
      <c r="F30" s="279" t="e">
        <f t="shared" si="0"/>
        <v>#N/A</v>
      </c>
      <c r="H30" s="150"/>
    </row>
    <row r="31" spans="1:15" ht="12.75" customHeight="1" x14ac:dyDescent="0.3">
      <c r="B31" s="676"/>
      <c r="C31" s="158" t="s">
        <v>550</v>
      </c>
      <c r="D31" s="271" t="e">
        <f>D15-INT(D15)</f>
        <v>#N/A</v>
      </c>
      <c r="E31" s="208" t="e">
        <f t="shared" si="0"/>
        <v>#N/A</v>
      </c>
      <c r="F31" s="209" t="e">
        <f t="shared" si="0"/>
        <v>#N/A</v>
      </c>
    </row>
    <row r="32" spans="1:15" ht="13.5" thickBot="1" x14ac:dyDescent="0.35">
      <c r="B32" s="665"/>
      <c r="C32" s="158" t="s">
        <v>400</v>
      </c>
      <c r="D32" s="284" t="e">
        <f>'Past Service CARE Calcs'!C35</f>
        <v>#N/A</v>
      </c>
      <c r="E32" s="286" t="e">
        <f t="shared" si="0"/>
        <v>#N/A</v>
      </c>
      <c r="F32" s="287" t="e">
        <f t="shared" si="0"/>
        <v>#N/A</v>
      </c>
      <c r="H32" s="150"/>
    </row>
    <row r="33" spans="2:8" ht="12.75" customHeight="1" x14ac:dyDescent="0.3">
      <c r="B33" s="671" t="s">
        <v>525</v>
      </c>
      <c r="C33" s="157" t="s">
        <v>401</v>
      </c>
      <c r="D33" s="550" t="e">
        <f>IF($D$5="Tapered",0,CurrentSal*Acc_CARE*D$11^(D30)*((1-D$12^D30)/(1-D$12)*(1+care_rev)^D31+D31*D11^D31))</f>
        <v>#N/A</v>
      </c>
      <c r="E33" s="551" t="e">
        <f>IF($D$5="Tapered",0,CurrentSal*Acc_CARE*E$11^(E30)*((1-E$12^E30)/(1-E$12)*(1+care_rev)^E31+E31*E11^E31))</f>
        <v>#N/A</v>
      </c>
      <c r="F33" s="552" t="e">
        <f>IF($D$5="Tapered",0,CurrentSal*Acc_CARE*F$11^(F30)*((1-F$12^F30)/(1-F$12)*(1+care_rev)^F31+F31*F11^F31))</f>
        <v>#N/A</v>
      </c>
    </row>
    <row r="34" spans="2:8" ht="12.75" customHeight="1" thickBot="1" x14ac:dyDescent="0.35">
      <c r="B34" s="672"/>
      <c r="C34" s="159" t="s">
        <v>826</v>
      </c>
      <c r="D34" s="553" t="e">
        <f>IF(PT_Status="some Part-Time",D33*future_PTP,D33)</f>
        <v>#N/A</v>
      </c>
      <c r="E34" s="554" t="e">
        <f>IF(PT_Status="some Part-Time",E33*future_PTP,E33)</f>
        <v>#N/A</v>
      </c>
      <c r="F34" s="555" t="e">
        <f>IF(PT_Status="some Part-Time",F33*future_PTP,F33)</f>
        <v>#N/A</v>
      </c>
      <c r="G34" t="s">
        <v>827</v>
      </c>
    </row>
    <row r="35" spans="2:8" ht="12.75" customHeight="1" x14ac:dyDescent="0.3">
      <c r="B35" s="674" t="s">
        <v>526</v>
      </c>
      <c r="C35" s="157" t="s">
        <v>547</v>
      </c>
      <c r="D35" s="300">
        <f>INT((DoR-DoStartSchYear)/DoY)</f>
        <v>-1</v>
      </c>
      <c r="E35" s="298">
        <f>$D35</f>
        <v>-1</v>
      </c>
      <c r="F35" s="301">
        <f>$D35</f>
        <v>-1</v>
      </c>
      <c r="H35" s="306"/>
    </row>
    <row r="36" spans="2:8" ht="12.75" customHeight="1" x14ac:dyDescent="0.3">
      <c r="B36" s="675"/>
      <c r="C36" s="158" t="s">
        <v>548</v>
      </c>
      <c r="D36" s="307">
        <f>(DoR-DoStartSchYear)/DoY-D35</f>
        <v>0.74811772758384665</v>
      </c>
      <c r="E36" s="208">
        <f>$D36</f>
        <v>0.74811772758384665</v>
      </c>
      <c r="F36" s="209">
        <f>$D36</f>
        <v>0.74811772758384665</v>
      </c>
      <c r="H36" s="306"/>
    </row>
    <row r="37" spans="2:8" ht="13" x14ac:dyDescent="0.3">
      <c r="B37" s="675"/>
      <c r="C37" s="158" t="s">
        <v>551</v>
      </c>
      <c r="D37" s="284" t="e">
        <f>IF($D$5="Tapered",CurrentSal*Acc_CARE*D$11^(D35)*((1-D$12^D35)/(1-D$12)*(1+care_rev)^D36+D36*D11^D36),0)</f>
        <v>#N/A</v>
      </c>
      <c r="E37" s="286" t="e">
        <f>IF($D$5="Tapered",CurrentSal*Acc_CARE*E$11^(E35)*((1-E$12^E35)/(1-E$12)*(1+care_rev)^E36+E36*E11^E36),0)</f>
        <v>#N/A</v>
      </c>
      <c r="F37" s="287" t="e">
        <f>IF($D$5="Tapered",CurrentSal*Acc_CARE*F$11^(F35)*((1-F$12^F35)/(1-F$12)*(1+care_rev)^F36+F36*F11^F36),0)</f>
        <v>#N/A</v>
      </c>
      <c r="H37" s="150"/>
    </row>
    <row r="38" spans="2:8" ht="13" x14ac:dyDescent="0.3">
      <c r="B38" s="675"/>
      <c r="C38" s="158" t="s">
        <v>552</v>
      </c>
      <c r="D38" s="284" t="e">
        <f>IF($D$5="Tapered",INT($D$19),0)</f>
        <v>#N/A</v>
      </c>
      <c r="E38" s="286" t="e">
        <f>$D38</f>
        <v>#N/A</v>
      </c>
      <c r="F38" s="287" t="e">
        <f>$D38</f>
        <v>#N/A</v>
      </c>
      <c r="G38" s="150"/>
      <c r="H38" s="150"/>
    </row>
    <row r="39" spans="2:8" ht="13" x14ac:dyDescent="0.3">
      <c r="B39" s="675"/>
      <c r="C39" s="158" t="s">
        <v>553</v>
      </c>
      <c r="D39" s="284" t="e">
        <f>IF($D$5="Tapered",CurrentSal*Acc_CARE*D$11^(D38)*((1-D$12^D38)/(1-D$12)+D$11*($D$19-INT($D$19))/(1+care_rev))*(1+care_rev)^(D30+D36),0)</f>
        <v>#N/A</v>
      </c>
      <c r="E39" s="286" t="e">
        <f>IF($D$5="Tapered",CurrentSal*Acc_CARE*E$11^(E38)*((1-E$12^E38)/(1-E$12)+E$11*($D$19-INT($D$19))/(1+care_rev))*(1+care_rev)^(E30+E36),0)</f>
        <v>#N/A</v>
      </c>
      <c r="F39" s="287" t="e">
        <f>IF($D$5="Tapered",CurrentSal*Acc_CARE*F$11^(F38)*((1-F$12^F38)/(1-F$12)+F$11*($D$19-INT($D$19))/(1+care_rev))*(1+care_rev)^(F30+F36),0)</f>
        <v>#N/A</v>
      </c>
      <c r="G39" s="150"/>
      <c r="H39" s="150"/>
    </row>
    <row r="40" spans="2:8" ht="13" x14ac:dyDescent="0.3">
      <c r="B40" s="675"/>
      <c r="C40" s="158" t="s">
        <v>401</v>
      </c>
      <c r="D40" s="284" t="e">
        <f>IF(DoProtEnd&gt;DoR,0,D37-D39)</f>
        <v>#N/A</v>
      </c>
      <c r="E40" s="286" t="e">
        <f>IF(DoProtEnd&gt;DoR,0,E37-E39)</f>
        <v>#N/A</v>
      </c>
      <c r="F40" s="287" t="e">
        <f>IF(DoProtEnd&gt;DoR,0,F37-F39)</f>
        <v>#N/A</v>
      </c>
      <c r="H40" s="150"/>
    </row>
    <row r="41" spans="2:8" ht="13.5" thickBot="1" x14ac:dyDescent="0.35">
      <c r="B41" s="675"/>
      <c r="C41" s="159" t="s">
        <v>826</v>
      </c>
      <c r="D41" s="284" t="e">
        <f>IF(PT_Status="Part-Time",D40*future_PTP,D40)</f>
        <v>#N/A</v>
      </c>
      <c r="E41" s="286" t="e">
        <f>IF(PT_Status="Part-Time",E40*future_PTP,E40)</f>
        <v>#N/A</v>
      </c>
      <c r="F41" s="287" t="e">
        <f>IF(PT_Status="Part-Time",F40*future_PTP,F40)</f>
        <v>#N/A</v>
      </c>
      <c r="G41" t="s">
        <v>828</v>
      </c>
      <c r="H41" s="150"/>
    </row>
    <row r="42" spans="2:8" ht="13" x14ac:dyDescent="0.3">
      <c r="C42" s="276" t="s">
        <v>522</v>
      </c>
      <c r="D42" s="221" t="e">
        <f ca="1">SUM(D32,D34,D41)/(1+cpi)^$D$18</f>
        <v>#N/A</v>
      </c>
      <c r="E42" s="222" t="e">
        <f ca="1">SUM(E32,E34,E41)/(1+cpi)^$D$18</f>
        <v>#N/A</v>
      </c>
      <c r="F42" s="223" t="e">
        <f ca="1">SUM(F32,F34,F41)/(1+cpi)^$D$18</f>
        <v>#N/A</v>
      </c>
      <c r="G42" t="s">
        <v>821</v>
      </c>
    </row>
    <row r="43" spans="2:8" ht="13" x14ac:dyDescent="0.3">
      <c r="C43" s="170" t="s">
        <v>532</v>
      </c>
      <c r="D43" s="284" t="e">
        <f ca="1">+D42*IF(D$10&lt;55,1,IF(D$10&lt;60,$D$28,$D$27))</f>
        <v>#N/A</v>
      </c>
      <c r="E43" s="286" t="e">
        <f ca="1">+E42*IF(E$10&lt;55,1,IF(E$10&lt;60,$D$28,$D$27))</f>
        <v>#N/A</v>
      </c>
      <c r="F43" s="287" t="e">
        <f ca="1">+F42*IF(F$10&lt;55,1,IF(F$10&lt;60,$D$28,$D$27))</f>
        <v>#N/A</v>
      </c>
    </row>
    <row r="44" spans="2:8" ht="13.5" thickBot="1" x14ac:dyDescent="0.35">
      <c r="C44" s="159" t="s">
        <v>533</v>
      </c>
      <c r="D44" s="180" t="e">
        <f ca="1">D43</f>
        <v>#N/A</v>
      </c>
      <c r="E44" s="224" t="e">
        <f ca="1">E43</f>
        <v>#N/A</v>
      </c>
      <c r="F44" s="156" t="e">
        <f ca="1">F43</f>
        <v>#N/A</v>
      </c>
      <c r="G44" t="s">
        <v>820</v>
      </c>
    </row>
  </sheetData>
  <mergeCells count="6">
    <mergeCell ref="B35:B41"/>
    <mergeCell ref="B30:B32"/>
    <mergeCell ref="B15:B17"/>
    <mergeCell ref="B18:B19"/>
    <mergeCell ref="B21:B28"/>
    <mergeCell ref="B33:B34"/>
  </mergeCells>
  <phoneticPr fontId="29" type="noConversion"/>
  <pageMargins left="0.70866141732283472" right="0.70866141732283472" top="0.74803149606299213" bottom="0.74803149606299213" header="0.31496062992125984" footer="0.31496062992125984"/>
  <pageSetup paperSize="9" scale="46" orientation="portrait" r:id="rId1"/>
  <headerFooter>
    <oddHeader>&amp;CPROTECT - SCHEME MANAGEMENT&amp;L_x000D_&amp;Z&amp;F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53"/>
  <sheetViews>
    <sheetView windowProtection="1" topLeftCell="A4" zoomScale="70" zoomScaleNormal="70" workbookViewId="0">
      <selection activeCell="D26" sqref="D26"/>
    </sheetView>
  </sheetViews>
  <sheetFormatPr defaultRowHeight="13" x14ac:dyDescent="0.3"/>
  <cols>
    <col min="2" max="2" width="14.54296875" style="1" customWidth="1"/>
    <col min="3" max="3" width="36.81640625" bestFit="1" customWidth="1"/>
    <col min="4" max="6" width="12.453125" customWidth="1"/>
  </cols>
  <sheetData>
    <row r="1" spans="1:6" ht="20" x14ac:dyDescent="0.4">
      <c r="A1" s="13" t="s">
        <v>19</v>
      </c>
      <c r="B1" s="31"/>
      <c r="C1" s="12"/>
      <c r="D1" s="12"/>
      <c r="E1" s="12"/>
      <c r="F1" s="12"/>
    </row>
    <row r="2" spans="1:6" ht="15.5" x14ac:dyDescent="0.35">
      <c r="A2" s="27" t="str">
        <f>IF(title="&gt; Enter workbook title here","Enter workbook title in Cover sheet",title)</f>
        <v>Scottish Police Pension Calculator</v>
      </c>
      <c r="B2" s="32"/>
      <c r="C2" s="11"/>
      <c r="D2" s="11"/>
      <c r="E2" s="11"/>
      <c r="F2" s="11"/>
    </row>
    <row r="3" spans="1:6" ht="15.5" x14ac:dyDescent="0.35">
      <c r="A3" s="126" t="s">
        <v>201</v>
      </c>
      <c r="B3" s="32"/>
      <c r="C3" s="11"/>
      <c r="D3" s="11"/>
      <c r="E3" s="11"/>
      <c r="F3" s="11"/>
    </row>
    <row r="4" spans="1:6" x14ac:dyDescent="0.3">
      <c r="A4" s="7" t="str">
        <f ca="1">CELL("filename",A1)</f>
        <v>C:\Users\u418711\AppData\Local\Microsoft\Windows\INetCache\Content.Outlook\PTLKNQ86\[Copy of PPS Scotland PensionCalculatorv5.5 22Dec2020.xlsx]Summary</v>
      </c>
    </row>
    <row r="6" spans="1:6" ht="13.5" thickBot="1" x14ac:dyDescent="0.35"/>
    <row r="7" spans="1:6" ht="13.5" thickBot="1" x14ac:dyDescent="0.35">
      <c r="D7" s="182" t="str">
        <f>basis1</f>
        <v>CPI + 0%</v>
      </c>
      <c r="E7" s="176" t="str">
        <f>basis2</f>
        <v>CPI + 1%</v>
      </c>
      <c r="F7" s="177" t="str">
        <f>basis3</f>
        <v>CPI + 2%</v>
      </c>
    </row>
    <row r="8" spans="1:6" x14ac:dyDescent="0.3">
      <c r="B8" s="680" t="s">
        <v>485</v>
      </c>
      <c r="C8" s="157" t="s">
        <v>460</v>
      </c>
      <c r="D8" s="259">
        <f>CurrentSal</f>
        <v>0</v>
      </c>
      <c r="E8" s="259">
        <f>D8</f>
        <v>0</v>
      </c>
      <c r="F8" s="260">
        <f>D8</f>
        <v>0</v>
      </c>
    </row>
    <row r="9" spans="1:6" x14ac:dyDescent="0.3">
      <c r="B9" s="681"/>
      <c r="C9" s="158" t="s">
        <v>462</v>
      </c>
      <c r="D9" s="261" t="e">
        <f>'PPS and NPPS calcs'!F38</f>
        <v>#N/A</v>
      </c>
      <c r="E9" s="261" t="e">
        <f>'PPS and NPPS calcs'!F39</f>
        <v>#N/A</v>
      </c>
      <c r="F9" s="262" t="e">
        <f>'PPS and NPPS calcs'!F40</f>
        <v>#N/A</v>
      </c>
    </row>
    <row r="10" spans="1:6" x14ac:dyDescent="0.3">
      <c r="B10" s="681"/>
      <c r="C10" s="158" t="s">
        <v>463</v>
      </c>
      <c r="D10" s="251" t="e">
        <f>'PPS and NPPS calcs'!F41</f>
        <v>#N/A</v>
      </c>
      <c r="E10" s="251" t="e">
        <f>'PPS and NPPS calcs'!F42</f>
        <v>#N/A</v>
      </c>
      <c r="F10" s="252" t="e">
        <f>'PPS and NPPS calcs'!F43</f>
        <v>#N/A</v>
      </c>
    </row>
    <row r="11" spans="1:6" x14ac:dyDescent="0.3">
      <c r="B11" s="681"/>
      <c r="C11" s="158" t="s">
        <v>205</v>
      </c>
      <c r="D11" s="134">
        <f>'PPS and NPPS calcs'!D9</f>
        <v>112.25188227241615</v>
      </c>
      <c r="E11" s="134">
        <f t="shared" ref="E11:E16" si="0">D11</f>
        <v>112.25188227241615</v>
      </c>
      <c r="F11" s="135">
        <f t="shared" ref="F11:F16" si="1">D11</f>
        <v>112.25188227241615</v>
      </c>
    </row>
    <row r="12" spans="1:6" x14ac:dyDescent="0.3">
      <c r="B12" s="681"/>
      <c r="C12" s="158" t="s">
        <v>208</v>
      </c>
      <c r="D12" s="134" t="e">
        <f>'PPS and NPPS calcs'!D20</f>
        <v>#N/A</v>
      </c>
      <c r="E12" s="134" t="e">
        <f t="shared" si="0"/>
        <v>#N/A</v>
      </c>
      <c r="F12" s="135" t="e">
        <f t="shared" si="1"/>
        <v>#N/A</v>
      </c>
    </row>
    <row r="13" spans="1:6" x14ac:dyDescent="0.3">
      <c r="B13" s="681"/>
      <c r="C13" s="158" t="s">
        <v>198</v>
      </c>
      <c r="D13" s="249" t="e">
        <f>DoProtEnd</f>
        <v>#N/A</v>
      </c>
      <c r="E13" s="249" t="e">
        <f>DoProtEnd</f>
        <v>#N/A</v>
      </c>
      <c r="F13" s="250" t="e">
        <f>DoProtEnd</f>
        <v>#N/A</v>
      </c>
    </row>
    <row r="14" spans="1:6" x14ac:dyDescent="0.3">
      <c r="B14" s="681"/>
      <c r="C14" s="158" t="s">
        <v>217</v>
      </c>
      <c r="D14" s="249">
        <f>DoR</f>
        <v>0</v>
      </c>
      <c r="E14" s="249">
        <f>DoR</f>
        <v>0</v>
      </c>
      <c r="F14" s="250">
        <f>DoR</f>
        <v>0</v>
      </c>
    </row>
    <row r="15" spans="1:6" x14ac:dyDescent="0.3">
      <c r="B15" s="681"/>
      <c r="C15" s="158" t="s">
        <v>218</v>
      </c>
      <c r="D15" s="263">
        <f>ChosenRA</f>
        <v>0</v>
      </c>
      <c r="E15" s="263">
        <f>ChosenRA</f>
        <v>0</v>
      </c>
      <c r="F15" s="264">
        <f>ChosenRA</f>
        <v>0</v>
      </c>
    </row>
    <row r="16" spans="1:6" x14ac:dyDescent="0.3">
      <c r="B16" s="681"/>
      <c r="C16" s="158" t="s">
        <v>216</v>
      </c>
      <c r="D16" s="134" t="e">
        <f>'PPS and NPPS calcs'!F34</f>
        <v>#N/A</v>
      </c>
      <c r="E16" s="134" t="e">
        <f t="shared" si="0"/>
        <v>#N/A</v>
      </c>
      <c r="F16" s="135" t="e">
        <f t="shared" si="1"/>
        <v>#N/A</v>
      </c>
    </row>
    <row r="17" spans="2:7" x14ac:dyDescent="0.3">
      <c r="B17" s="681"/>
      <c r="C17" s="158" t="s">
        <v>448</v>
      </c>
      <c r="D17" s="261" t="e">
        <f>'Lump Sum'!D25</f>
        <v>#N/A</v>
      </c>
      <c r="E17" s="261" t="e">
        <f>'Lump Sum'!E25</f>
        <v>#N/A</v>
      </c>
      <c r="F17" s="262" t="e">
        <f>'Lump Sum'!F25</f>
        <v>#N/A</v>
      </c>
    </row>
    <row r="18" spans="2:7" x14ac:dyDescent="0.3">
      <c r="B18" s="681"/>
      <c r="C18" s="158" t="s">
        <v>415</v>
      </c>
      <c r="D18" s="261" t="e">
        <f>'Lump Sum'!D28</f>
        <v>#N/A</v>
      </c>
      <c r="E18" s="261" t="e">
        <f>'Lump Sum'!E28</f>
        <v>#N/A</v>
      </c>
      <c r="F18" s="262" t="e">
        <f>'Lump Sum'!F28</f>
        <v>#N/A</v>
      </c>
    </row>
    <row r="19" spans="2:7" x14ac:dyDescent="0.3">
      <c r="B19" s="681"/>
      <c r="C19" s="158" t="s">
        <v>472</v>
      </c>
      <c r="D19" s="261" t="e">
        <f>'Lump Sum'!D26</f>
        <v>#N/A</v>
      </c>
      <c r="E19" s="261" t="e">
        <f>'Lump Sum'!E26</f>
        <v>#N/A</v>
      </c>
      <c r="F19" s="262" t="e">
        <f>'Lump Sum'!F26</f>
        <v>#N/A</v>
      </c>
    </row>
    <row r="20" spans="2:7" x14ac:dyDescent="0.3">
      <c r="B20" s="681"/>
      <c r="C20" s="158" t="s">
        <v>447</v>
      </c>
      <c r="D20" s="261" t="e">
        <f>'Lump Sum'!D27</f>
        <v>#N/A</v>
      </c>
      <c r="E20" s="261" t="e">
        <f>'Lump Sum'!E27</f>
        <v>#N/A</v>
      </c>
      <c r="F20" s="262" t="e">
        <f>'Lump Sum'!F27</f>
        <v>#N/A</v>
      </c>
    </row>
    <row r="21" spans="2:7" ht="13.5" thickBot="1" x14ac:dyDescent="0.35">
      <c r="B21" s="682"/>
      <c r="C21" s="159" t="s">
        <v>219</v>
      </c>
      <c r="D21" s="265" t="e">
        <f>IF(AND(CurrentScheme="PPS",D16&gt;PPSmax),45,IF(AND(CurrentScheme="NPPS",D16&gt;NPPSmax),70,MAX(45,D8*D16/D17)))</f>
        <v>#N/A</v>
      </c>
      <c r="E21" s="265" t="e">
        <f>D21</f>
        <v>#N/A</v>
      </c>
      <c r="F21" s="266" t="e">
        <f>D21</f>
        <v>#N/A</v>
      </c>
    </row>
    <row r="22" spans="2:7" ht="13.5" thickBot="1" x14ac:dyDescent="0.35"/>
    <row r="23" spans="2:7" ht="13.5" thickBot="1" x14ac:dyDescent="0.35">
      <c r="D23" s="153" t="str">
        <f>basis1</f>
        <v>CPI + 0%</v>
      </c>
      <c r="E23" s="164" t="str">
        <f>basis2</f>
        <v>CPI + 1%</v>
      </c>
      <c r="F23" s="165" t="str">
        <f>basis3</f>
        <v>CPI + 2%</v>
      </c>
      <c r="G23" s="9"/>
    </row>
    <row r="24" spans="2:7" x14ac:dyDescent="0.3">
      <c r="B24" s="680" t="s">
        <v>503</v>
      </c>
      <c r="C24" s="276" t="s">
        <v>486</v>
      </c>
      <c r="D24" s="277">
        <f>'CARE calcs'!D10</f>
        <v>0</v>
      </c>
      <c r="E24" s="278">
        <f>'CARE calcs'!E10</f>
        <v>0</v>
      </c>
      <c r="F24" s="279">
        <f>'CARE calcs'!F10</f>
        <v>0</v>
      </c>
      <c r="G24" s="9"/>
    </row>
    <row r="25" spans="2:7" x14ac:dyDescent="0.3">
      <c r="B25" s="681"/>
      <c r="C25" s="170" t="s">
        <v>188</v>
      </c>
      <c r="D25" s="302" t="e">
        <f>'CARE calcs'!D9</f>
        <v>#N/A</v>
      </c>
      <c r="E25" s="298" t="e">
        <f>'CARE calcs'!E9</f>
        <v>#N/A</v>
      </c>
      <c r="F25" s="301" t="e">
        <f>'CARE calcs'!F9</f>
        <v>#N/A</v>
      </c>
      <c r="G25" s="9"/>
    </row>
    <row r="26" spans="2:7" x14ac:dyDescent="0.3">
      <c r="B26" s="681"/>
      <c r="C26" s="158" t="str">
        <f>CONCATENATE(IF(ChosenRA&lt;55,"Deferred p","P"),"re-Commutation Pension")</f>
        <v>Deferred pre-Commutation Pension</v>
      </c>
      <c r="D26" s="274" t="e">
        <f ca="1">'Lump Sum'!D32</f>
        <v>#N/A</v>
      </c>
      <c r="E26" s="251" t="e">
        <f ca="1">'Lump Sum'!E32</f>
        <v>#N/A</v>
      </c>
      <c r="F26" s="252" t="e">
        <f ca="1">'Lump Sum'!F32</f>
        <v>#N/A</v>
      </c>
      <c r="G26" s="9"/>
    </row>
    <row r="27" spans="2:7" x14ac:dyDescent="0.3">
      <c r="B27" s="681"/>
      <c r="C27" s="158" t="s">
        <v>415</v>
      </c>
      <c r="D27" s="274" t="e">
        <f ca="1">'Lump Sum'!D35</f>
        <v>#N/A</v>
      </c>
      <c r="E27" s="251" t="e">
        <f ca="1">'Lump Sum'!E35</f>
        <v>#N/A</v>
      </c>
      <c r="F27" s="252" t="e">
        <f ca="1">'Lump Sum'!F35</f>
        <v>#N/A</v>
      </c>
      <c r="G27" s="9"/>
    </row>
    <row r="28" spans="2:7" x14ac:dyDescent="0.3">
      <c r="B28" s="681"/>
      <c r="C28" s="158" t="s">
        <v>472</v>
      </c>
      <c r="D28" s="274" t="e">
        <f ca="1">'Lump Sum'!D33</f>
        <v>#N/A</v>
      </c>
      <c r="E28" s="251" t="e">
        <f ca="1">'Lump Sum'!E33</f>
        <v>#N/A</v>
      </c>
      <c r="F28" s="252" t="e">
        <f ca="1">'Lump Sum'!F33</f>
        <v>#N/A</v>
      </c>
    </row>
    <row r="29" spans="2:7" ht="13.5" thickBot="1" x14ac:dyDescent="0.35">
      <c r="B29" s="682"/>
      <c r="C29" s="159" t="s">
        <v>531</v>
      </c>
      <c r="D29" s="275" t="e">
        <f ca="1">'Lump Sum'!D34</f>
        <v>#N/A</v>
      </c>
      <c r="E29" s="253" t="e">
        <f ca="1">'Lump Sum'!E34</f>
        <v>#N/A</v>
      </c>
      <c r="F29" s="254" t="e">
        <f ca="1">'Lump Sum'!F34</f>
        <v>#N/A</v>
      </c>
    </row>
    <row r="30" spans="2:7" ht="13.5" thickBot="1" x14ac:dyDescent="0.35">
      <c r="B30" s="280"/>
      <c r="C30" s="16"/>
      <c r="D30" s="251"/>
      <c r="E30" s="251"/>
      <c r="F30" s="251"/>
      <c r="G30" s="9"/>
    </row>
    <row r="31" spans="2:7" x14ac:dyDescent="0.3">
      <c r="B31" s="683" t="s">
        <v>580</v>
      </c>
      <c r="C31" s="276" t="s">
        <v>584</v>
      </c>
      <c r="D31" s="322" t="e">
        <f>'PPS and NPPS calcs'!F70</f>
        <v>#N/A</v>
      </c>
      <c r="E31" s="9"/>
      <c r="F31" s="9"/>
    </row>
    <row r="32" spans="2:7" x14ac:dyDescent="0.3">
      <c r="B32" s="684"/>
      <c r="C32" s="170" t="s">
        <v>583</v>
      </c>
      <c r="D32" s="330" t="e">
        <f ca="1">'CARE calcs ABS'!D29</f>
        <v>#N/A</v>
      </c>
    </row>
    <row r="33" spans="2:6" x14ac:dyDescent="0.3">
      <c r="B33" s="684"/>
      <c r="C33" s="158" t="s">
        <v>585</v>
      </c>
      <c r="D33" s="330" t="e">
        <f>SUM(D31:D32)</f>
        <v>#N/A</v>
      </c>
    </row>
    <row r="34" spans="2:6" ht="13.5" thickBot="1" x14ac:dyDescent="0.35">
      <c r="B34" s="685"/>
      <c r="C34" s="171" t="s">
        <v>598</v>
      </c>
      <c r="D34" s="323" t="e">
        <f>IF(CurrentScheme="NPPS",D31*4,0)</f>
        <v>#N/A</v>
      </c>
    </row>
    <row r="35" spans="2:6" ht="13.5" thickBot="1" x14ac:dyDescent="0.35"/>
    <row r="36" spans="2:6" ht="13.5" thickBot="1" x14ac:dyDescent="0.35">
      <c r="C36" s="1" t="s">
        <v>635</v>
      </c>
      <c r="D36" s="153" t="str">
        <f>basis1</f>
        <v>CPI + 0%</v>
      </c>
      <c r="E36" s="164" t="str">
        <f>basis2</f>
        <v>CPI + 1%</v>
      </c>
      <c r="F36" s="165" t="str">
        <f>basis3</f>
        <v>CPI + 2%</v>
      </c>
    </row>
    <row r="37" spans="2:6" x14ac:dyDescent="0.3">
      <c r="C37" s="276" t="s">
        <v>636</v>
      </c>
      <c r="D37" s="355">
        <f>ROUND(CurrentSal,0)</f>
        <v>0</v>
      </c>
      <c r="E37" s="355">
        <f>$D37</f>
        <v>0</v>
      </c>
      <c r="F37" s="356">
        <f>$D37</f>
        <v>0</v>
      </c>
    </row>
    <row r="38" spans="2:6" ht="12.75" customHeight="1" thickBot="1" x14ac:dyDescent="0.35">
      <c r="C38" s="158" t="s">
        <v>597</v>
      </c>
      <c r="D38" s="173" t="e">
        <f>ROUND(Summary!D9,0)</f>
        <v>#N/A</v>
      </c>
      <c r="E38" s="173" t="e">
        <f>ROUND(Summary!E9,0)</f>
        <v>#N/A</v>
      </c>
      <c r="F38" s="154" t="e">
        <f>ROUND(Summary!F9,0)</f>
        <v>#N/A</v>
      </c>
    </row>
    <row r="39" spans="2:6" x14ac:dyDescent="0.3">
      <c r="B39" s="677" t="s">
        <v>640</v>
      </c>
      <c r="C39" s="157" t="str">
        <f>Scheme_Full&amp;" pension"</f>
        <v xml:space="preserve"> pension</v>
      </c>
      <c r="D39" s="355" t="e">
        <f>IF(Summary!D20&lt;0,"input error",ROUND(Summary!D20,0))</f>
        <v>#N/A</v>
      </c>
      <c r="E39" s="355" t="e">
        <f>IF(Summary!E20&lt;0,"input error",ROUND(Summary!E20,0))</f>
        <v>#N/A</v>
      </c>
      <c r="F39" s="356" t="e">
        <f>IF(Summary!F20&lt;0,"input error",ROUND(Summary!F20,0))</f>
        <v>#N/A</v>
      </c>
    </row>
    <row r="40" spans="2:6" x14ac:dyDescent="0.3">
      <c r="B40" s="678"/>
      <c r="C40" s="158" t="str">
        <f>Scheme_Full&amp;" lump sum"</f>
        <v xml:space="preserve"> lump sum</v>
      </c>
      <c r="D40" s="173" t="e">
        <f>ROUND(Summary!D18,0)</f>
        <v>#N/A</v>
      </c>
      <c r="E40" s="173" t="e">
        <f>ROUND(Summary!E18,0)</f>
        <v>#N/A</v>
      </c>
      <c r="F40" s="154" t="e">
        <f>ROUND(Summary!F18,0)</f>
        <v>#N/A</v>
      </c>
    </row>
    <row r="41" spans="2:6" x14ac:dyDescent="0.3">
      <c r="B41" s="678"/>
      <c r="C41" s="158" t="str">
        <f>"2015 Scheme pension" &amp; IF(ChosenRA&gt;=55,""," deferred until SPA")</f>
        <v>2015 Scheme pension deferred until SPA</v>
      </c>
      <c r="D41" s="173" t="e">
        <f ca="1">IF(Summary!D29&lt;0,"input error",ROUND(Summary!D29,0))</f>
        <v>#N/A</v>
      </c>
      <c r="E41" s="173" t="e">
        <f ca="1">IF(Summary!E29&lt;0,"input error",ROUND(Summary!E29,0))</f>
        <v>#N/A</v>
      </c>
      <c r="F41" s="154" t="e">
        <f ca="1">IF(Summary!F29&lt;0,"input error",ROUND(Summary!F29,0))</f>
        <v>#N/A</v>
      </c>
    </row>
    <row r="42" spans="2:6" x14ac:dyDescent="0.3">
      <c r="B42" s="678"/>
      <c r="C42" s="158" t="str">
        <f>"2015 Scheme lump sum" &amp; IF(ChosenRA&gt;=55,""," deferred until SPA")</f>
        <v>2015 Scheme lump sum deferred until SPA</v>
      </c>
      <c r="D42" s="173" t="e">
        <f ca="1">ROUND(Summary!D27,0)</f>
        <v>#N/A</v>
      </c>
      <c r="E42" s="173" t="e">
        <f ca="1">ROUND(Summary!E27,0)</f>
        <v>#N/A</v>
      </c>
      <c r="F42" s="154" t="e">
        <f ca="1">ROUND(Summary!F27,0)</f>
        <v>#N/A</v>
      </c>
    </row>
    <row r="43" spans="2:6" x14ac:dyDescent="0.3">
      <c r="B43" s="678"/>
      <c r="C43" s="158" t="s">
        <v>578</v>
      </c>
      <c r="D43" s="173" t="str">
        <f>IF(ChosenRA&lt;55,"",IF(OR(Summary!D20&lt;0,Summary!D29&lt;0),"input error",ROUND(SUM(Summary!D39,Summary!D41),0)))</f>
        <v/>
      </c>
      <c r="E43" s="173" t="str">
        <f>IF(ChosenRA&lt;55,"",IF(OR(Summary!E20&lt;0,Summary!E29&lt;0),"input error",ROUND(SUM(Summary!E39,Summary!E41),0)))</f>
        <v/>
      </c>
      <c r="F43" s="154" t="str">
        <f>IF(ChosenRA&lt;55,"",IF(OR(Summary!F20&lt;0,Summary!F29&lt;0),"input error",ROUND(SUM(Summary!F39,Summary!F41),0)))</f>
        <v/>
      </c>
    </row>
    <row r="44" spans="2:6" ht="13.5" thickBot="1" x14ac:dyDescent="0.35">
      <c r="B44" s="679"/>
      <c r="C44" s="159" t="s">
        <v>639</v>
      </c>
      <c r="D44" s="181" t="str">
        <f>IF(ChosenRA&lt;55,"",ROUND(SUM(D40,D42),0))</f>
        <v/>
      </c>
      <c r="E44" s="181" t="str">
        <f>IF(ChosenRA&lt;55,"",ROUND(SUM(E40,E42),0))</f>
        <v/>
      </c>
      <c r="F44" s="235" t="str">
        <f>IF(ChosenRA&lt;55,"",ROUND(SUM(F40,F42),0))</f>
        <v/>
      </c>
    </row>
    <row r="45" spans="2:6" ht="12.75" customHeight="1" x14ac:dyDescent="0.3">
      <c r="B45" s="677" t="s">
        <v>641</v>
      </c>
      <c r="C45" s="157" t="str">
        <f>Scheme_Full&amp;" pension"</f>
        <v xml:space="preserve"> pension</v>
      </c>
      <c r="D45" s="355" t="e">
        <f>IF(Summary!D17&lt;0,"input error",ROUND(Summary!D17,0))</f>
        <v>#N/A</v>
      </c>
      <c r="E45" s="355" t="e">
        <f>IF(Summary!E17&lt;0,"input error",ROUND(Summary!E17,0))</f>
        <v>#N/A</v>
      </c>
      <c r="F45" s="356" t="e">
        <f>IF(Summary!F17&lt;0,"input error",ROUND(Summary!F17,0))</f>
        <v>#N/A</v>
      </c>
    </row>
    <row r="46" spans="2:6" x14ac:dyDescent="0.3">
      <c r="B46" s="678"/>
      <c r="C46" s="158" t="str">
        <f>Scheme_Full&amp;" lump sum"</f>
        <v xml:space="preserve"> lump sum</v>
      </c>
      <c r="D46" s="173" t="e">
        <f>IF(CurrentScheme="NPPS",ROUND(Summary!D18,0),0)</f>
        <v>#N/A</v>
      </c>
      <c r="E46" s="173" t="e">
        <f>IF(CurrentScheme="NPPS",ROUND(Summary!E18,0),0)</f>
        <v>#N/A</v>
      </c>
      <c r="F46" s="154" t="e">
        <f>IF(CurrentScheme="NPPS",ROUND(Summary!F18,0),0)</f>
        <v>#N/A</v>
      </c>
    </row>
    <row r="47" spans="2:6" x14ac:dyDescent="0.3">
      <c r="B47" s="678"/>
      <c r="C47" s="158" t="str">
        <f>"2015 Scheme pension" &amp; IF(ChosenRA&gt;=55,""," deferred until SPA")</f>
        <v>2015 Scheme pension deferred until SPA</v>
      </c>
      <c r="D47" s="173" t="e">
        <f ca="1">IF(Summary!D26&lt;0,"input error",ROUND(Summary!D26,0))</f>
        <v>#N/A</v>
      </c>
      <c r="E47" s="173" t="e">
        <f ca="1">IF(Summary!E26&lt;0,"input error",ROUND(Summary!E26,0))</f>
        <v>#N/A</v>
      </c>
      <c r="F47" s="154" t="e">
        <f ca="1">IF(Summary!F26&lt;0,"input error",ROUND(Summary!F26,0))</f>
        <v>#N/A</v>
      </c>
    </row>
    <row r="48" spans="2:6" x14ac:dyDescent="0.3">
      <c r="B48" s="678"/>
      <c r="C48" s="158" t="s">
        <v>578</v>
      </c>
      <c r="D48" s="173" t="str">
        <f>IF(ChosenRA&lt;55,"",IF(OR(Summary!D17&lt;0,Summary!D26&lt;0),"input error",ROUND(SUM(Summary!D45,Summary!D47),0)))</f>
        <v/>
      </c>
      <c r="E48" s="173" t="str">
        <f>IF(ChosenRA&lt;55,"",IF(OR(Summary!E17&lt;0,Summary!E26&lt;0),"input error",ROUND(SUM(Summary!E45,Summary!E47),0)))</f>
        <v/>
      </c>
      <c r="F48" s="154" t="str">
        <f>IF(ChosenRA&lt;55,"",IF(OR(Summary!F17&lt;0,Summary!F26&lt;0),"input error",ROUND(SUM(Summary!F45,Summary!F47),0)))</f>
        <v/>
      </c>
    </row>
    <row r="49" spans="2:6" ht="13.5" thickBot="1" x14ac:dyDescent="0.35">
      <c r="B49" s="678"/>
      <c r="C49" s="158" t="s">
        <v>639</v>
      </c>
      <c r="D49" s="173" t="e">
        <f>D46</f>
        <v>#N/A</v>
      </c>
      <c r="E49" s="173" t="e">
        <f>E46</f>
        <v>#N/A</v>
      </c>
      <c r="F49" s="154" t="e">
        <f>F46</f>
        <v>#N/A</v>
      </c>
    </row>
    <row r="50" spans="2:6" ht="12.75" customHeight="1" x14ac:dyDescent="0.3">
      <c r="B50" s="671" t="s">
        <v>580</v>
      </c>
      <c r="C50" s="157" t="s">
        <v>637</v>
      </c>
      <c r="D50" s="357" t="e">
        <f>IF(Summary!D31&lt;0,"input error",ROUND(Summary!D31,0))</f>
        <v>#N/A</v>
      </c>
      <c r="E50" s="355" t="e">
        <f>$D50</f>
        <v>#N/A</v>
      </c>
      <c r="F50" s="356" t="e">
        <f t="shared" ref="E50:F51" si="2">$D50</f>
        <v>#N/A</v>
      </c>
    </row>
    <row r="51" spans="2:6" x14ac:dyDescent="0.3">
      <c r="B51" s="673"/>
      <c r="C51" s="158" t="s">
        <v>638</v>
      </c>
      <c r="D51" s="179" t="e">
        <f ca="1">IF(Summary!D32&lt;0,"input error",ROUND(Summary!D32,0))</f>
        <v>#N/A</v>
      </c>
      <c r="E51" s="173" t="e">
        <f t="shared" ca="1" si="2"/>
        <v>#N/A</v>
      </c>
      <c r="F51" s="154" t="e">
        <f t="shared" ca="1" si="2"/>
        <v>#N/A</v>
      </c>
    </row>
    <row r="52" spans="2:6" x14ac:dyDescent="0.3">
      <c r="B52" s="673"/>
      <c r="C52" s="158" t="s">
        <v>578</v>
      </c>
      <c r="D52" s="179" t="e">
        <f ca="1">IF(OR(D31&lt;0,D32&lt;0),"input error",ROUND(SUM(D50,D51),0))</f>
        <v>#N/A</v>
      </c>
      <c r="E52" s="173" t="e">
        <f ca="1">$D52</f>
        <v>#N/A</v>
      </c>
      <c r="F52" s="154" t="e">
        <f ca="1">$D52</f>
        <v>#N/A</v>
      </c>
    </row>
    <row r="53" spans="2:6" ht="13.5" thickBot="1" x14ac:dyDescent="0.35">
      <c r="B53" s="672"/>
      <c r="C53" s="171" t="s">
        <v>644</v>
      </c>
      <c r="D53" s="180" t="e">
        <f>ROUND(Summary!D34,0)</f>
        <v>#N/A</v>
      </c>
      <c r="E53" s="224" t="e">
        <f t="shared" ref="E53:F53" si="3">$D53</f>
        <v>#N/A</v>
      </c>
      <c r="F53" s="156" t="e">
        <f t="shared" si="3"/>
        <v>#N/A</v>
      </c>
    </row>
  </sheetData>
  <mergeCells count="6">
    <mergeCell ref="B39:B44"/>
    <mergeCell ref="B45:B49"/>
    <mergeCell ref="B50:B53"/>
    <mergeCell ref="B8:B21"/>
    <mergeCell ref="B24:B29"/>
    <mergeCell ref="B31:B34"/>
  </mergeCells>
  <phoneticPr fontId="29" type="noConversion"/>
  <pageMargins left="0.7" right="0.7" top="0.75" bottom="0.75" header="0.3" footer="0.3"/>
  <pageSetup paperSize="9" orientation="landscape" r:id="rId1"/>
  <headerFooter>
    <oddHeader>&amp;CPROTECT - SCHEME MANAGEMENT&amp;L_x000D_&amp;Z&amp;F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37"/>
  <sheetViews>
    <sheetView windowProtection="1" workbookViewId="0">
      <selection activeCell="H46" sqref="H46:I47"/>
    </sheetView>
  </sheetViews>
  <sheetFormatPr defaultRowHeight="12.5" x14ac:dyDescent="0.25"/>
  <cols>
    <col min="2" max="2" width="30.453125" customWidth="1"/>
    <col min="3" max="3" width="53" bestFit="1" customWidth="1"/>
    <col min="4" max="4" width="10.54296875" bestFit="1" customWidth="1"/>
    <col min="5" max="5" width="13.54296875" customWidth="1"/>
    <col min="6" max="6" width="10.453125" bestFit="1" customWidth="1"/>
    <col min="7" max="7" width="9.54296875" bestFit="1" customWidth="1"/>
  </cols>
  <sheetData>
    <row r="1" spans="1:14" ht="20" x14ac:dyDescent="0.4">
      <c r="A1" s="13" t="s">
        <v>19</v>
      </c>
      <c r="B1" s="12"/>
      <c r="C1" s="12"/>
      <c r="D1" s="12"/>
      <c r="E1" s="12"/>
      <c r="F1" s="12"/>
      <c r="G1" s="12"/>
    </row>
    <row r="2" spans="1:14" ht="15.5" x14ac:dyDescent="0.35">
      <c r="A2" s="27" t="str">
        <f>IF(title="&gt; Enter workbook title here","Enter workbook title in Cover sheet",title)</f>
        <v>Scottish Police Pension Calculator</v>
      </c>
      <c r="B2" s="11"/>
      <c r="C2" s="11"/>
      <c r="D2" s="11"/>
      <c r="E2" s="11"/>
      <c r="F2" s="11"/>
      <c r="G2" s="11"/>
    </row>
    <row r="3" spans="1:14" ht="15.5" x14ac:dyDescent="0.35">
      <c r="A3" s="126" t="s">
        <v>195</v>
      </c>
      <c r="B3" s="11"/>
      <c r="C3" s="11"/>
      <c r="D3" s="11"/>
      <c r="E3" s="11"/>
      <c r="F3" s="11"/>
      <c r="G3" s="11"/>
    </row>
    <row r="4" spans="1:14" x14ac:dyDescent="0.25">
      <c r="A4" s="7" t="str">
        <f ca="1">CELL("filename",A1)</f>
        <v>C:\Users\u418711\AppData\Local\Microsoft\Windows\INetCache\Content.Outlook\PTLKNQ86\[Copy of PPS Scotland PensionCalculatorv5.5 22Dec2020.xlsx]CARE calcs ABS</v>
      </c>
    </row>
    <row r="5" spans="1:14" ht="13" thickBot="1" x14ac:dyDescent="0.3">
      <c r="A5" s="7"/>
      <c r="E5" s="29"/>
    </row>
    <row r="6" spans="1:14" ht="13" x14ac:dyDescent="0.3">
      <c r="A6" s="7"/>
      <c r="B6" s="1" t="s">
        <v>581</v>
      </c>
      <c r="C6" s="157" t="s">
        <v>508</v>
      </c>
      <c r="D6" s="172" t="e">
        <f>'PPS and NPPS calcs'!F26</f>
        <v>#N/A</v>
      </c>
      <c r="E6" s="29"/>
      <c r="F6" s="308"/>
      <c r="L6" s="150"/>
      <c r="M6" s="150"/>
      <c r="N6" s="150"/>
    </row>
    <row r="7" spans="1:14" ht="13.5" thickBot="1" x14ac:dyDescent="0.35">
      <c r="C7" s="159" t="s">
        <v>509</v>
      </c>
      <c r="D7" s="292" t="e">
        <f>IF(D6="Full",date60,DoProtEnd)</f>
        <v>#N/A</v>
      </c>
      <c r="G7" s="150"/>
      <c r="H7" s="150"/>
      <c r="L7" s="150"/>
      <c r="M7" s="150"/>
      <c r="N7" s="150"/>
    </row>
    <row r="8" spans="1:14" ht="13" thickBot="1" x14ac:dyDescent="0.3">
      <c r="G8" s="150"/>
      <c r="H8" s="150"/>
      <c r="L8" s="150"/>
      <c r="M8" s="150"/>
    </row>
    <row r="9" spans="1:14" ht="13" x14ac:dyDescent="0.3">
      <c r="C9" s="157" t="s">
        <v>188</v>
      </c>
      <c r="D9" s="324" t="e">
        <f>VLOOKUP(DoB,Parameters!D45:F48,3,TRUE)</f>
        <v>#N/A</v>
      </c>
      <c r="G9" s="150"/>
      <c r="H9" s="150"/>
      <c r="L9" s="150"/>
      <c r="M9" s="150"/>
    </row>
    <row r="10" spans="1:14" ht="13.5" thickBot="1" x14ac:dyDescent="0.35">
      <c r="C10" s="159" t="s">
        <v>469</v>
      </c>
      <c r="D10" s="325">
        <f>60</f>
        <v>60</v>
      </c>
      <c r="G10" s="150"/>
      <c r="H10" s="150"/>
      <c r="L10" s="150"/>
      <c r="M10" s="150"/>
    </row>
    <row r="11" spans="1:14" ht="13.5" thickBot="1" x14ac:dyDescent="0.35">
      <c r="C11" s="1"/>
      <c r="E11" s="269"/>
      <c r="F11" s="9"/>
      <c r="G11" s="213"/>
      <c r="I11" s="9"/>
      <c r="J11" s="9"/>
      <c r="L11" s="150"/>
      <c r="M11" s="150"/>
    </row>
    <row r="12" spans="1:14" ht="13" x14ac:dyDescent="0.3">
      <c r="B12" s="671" t="s">
        <v>471</v>
      </c>
      <c r="C12" s="157" t="s">
        <v>470</v>
      </c>
      <c r="D12" s="272" t="e">
        <f>MAX((date60-MAX(DoStartSchYear,D7))/DoY,0)</f>
        <v>#N/A</v>
      </c>
      <c r="F12" s="16"/>
      <c r="G12" s="255"/>
      <c r="H12" s="255"/>
      <c r="I12" s="255"/>
      <c r="J12" s="9"/>
      <c r="L12" s="150"/>
      <c r="M12" s="150"/>
    </row>
    <row r="13" spans="1:14" ht="13" x14ac:dyDescent="0.3">
      <c r="B13" s="673"/>
      <c r="C13" s="158" t="s">
        <v>188</v>
      </c>
      <c r="D13" s="281">
        <f>IFERROR((DATE(YEAR(DoB)+$D$9,MONTH(DoB),DAY(DoB))-MAX(DoStartSchYear,D7))/DoY,0)</f>
        <v>0</v>
      </c>
      <c r="F13" s="16"/>
      <c r="G13" s="286"/>
      <c r="H13" s="211"/>
      <c r="I13" s="211"/>
      <c r="J13" s="9"/>
      <c r="L13" s="150"/>
      <c r="M13" s="150"/>
    </row>
    <row r="14" spans="1:14" ht="13.5" thickBot="1" x14ac:dyDescent="0.35">
      <c r="B14" s="672"/>
      <c r="C14" s="282" t="s">
        <v>502</v>
      </c>
      <c r="D14" s="273" t="e">
        <f>D13-D12</f>
        <v>#N/A</v>
      </c>
      <c r="F14" s="9"/>
      <c r="G14" s="213"/>
      <c r="H14" s="213"/>
      <c r="I14" s="213"/>
      <c r="J14" s="9"/>
      <c r="L14" s="150"/>
      <c r="M14" s="150"/>
    </row>
    <row r="15" spans="1:14" ht="13" x14ac:dyDescent="0.3">
      <c r="B15" s="671" t="s">
        <v>554</v>
      </c>
      <c r="C15" s="310" t="s">
        <v>529</v>
      </c>
      <c r="D15" s="309">
        <f ca="1">(DoR-Date_curr)/DoY</f>
        <v>-121.05133470225873</v>
      </c>
      <c r="F15" s="9"/>
      <c r="G15" s="213"/>
      <c r="H15" s="213"/>
      <c r="I15" s="213"/>
      <c r="J15" s="9"/>
      <c r="L15" s="150"/>
      <c r="M15" s="150"/>
    </row>
    <row r="16" spans="1:14" ht="13.5" thickBot="1" x14ac:dyDescent="0.35">
      <c r="B16" s="672"/>
      <c r="C16" s="282" t="s">
        <v>555</v>
      </c>
      <c r="D16" s="273" t="e">
        <f>MAX((DoProtEnd-DoStartSchYear)/DoY,0)</f>
        <v>#N/A</v>
      </c>
      <c r="F16" s="9"/>
      <c r="G16" s="213"/>
      <c r="H16" s="213"/>
      <c r="I16" s="213"/>
      <c r="J16" s="9"/>
      <c r="L16" s="150"/>
      <c r="M16" s="150"/>
    </row>
    <row r="17" spans="1:13" ht="13.5" thickBot="1" x14ac:dyDescent="0.35">
      <c r="A17" s="9"/>
      <c r="B17" s="312"/>
      <c r="C17" s="16"/>
      <c r="D17" s="270"/>
      <c r="E17" s="9"/>
      <c r="F17" s="9"/>
      <c r="G17" s="213"/>
      <c r="H17" s="213"/>
      <c r="I17" s="213"/>
      <c r="J17" s="9"/>
      <c r="L17" s="150"/>
      <c r="M17" s="150"/>
    </row>
    <row r="18" spans="1:13" ht="12.75" customHeight="1" x14ac:dyDescent="0.3">
      <c r="B18" s="664" t="s">
        <v>524</v>
      </c>
      <c r="C18" s="157" t="s">
        <v>549</v>
      </c>
      <c r="D18" s="172" t="e">
        <f>IF(D12=0,0,INT(D12))</f>
        <v>#N/A</v>
      </c>
      <c r="F18" s="150"/>
    </row>
    <row r="19" spans="1:13" ht="12.75" customHeight="1" x14ac:dyDescent="0.3">
      <c r="B19" s="676"/>
      <c r="C19" s="158" t="s">
        <v>550</v>
      </c>
      <c r="D19" s="317" t="e">
        <f>D12-INT(D12)</f>
        <v>#N/A</v>
      </c>
    </row>
    <row r="20" spans="1:13" ht="13.5" thickBot="1" x14ac:dyDescent="0.35">
      <c r="B20" s="665"/>
      <c r="C20" s="158" t="s">
        <v>400</v>
      </c>
      <c r="D20" s="318" t="e">
        <f ca="1">SUM('Past Service CARE Calcs'!C27:F27)/IF(PT_Status="Part-Time",future_PTP,1)</f>
        <v>#N/A</v>
      </c>
      <c r="F20" s="150"/>
    </row>
    <row r="21" spans="1:13" ht="12.75" customHeight="1" thickBot="1" x14ac:dyDescent="0.35">
      <c r="B21" s="311" t="s">
        <v>525</v>
      </c>
      <c r="C21" s="157" t="s">
        <v>401</v>
      </c>
      <c r="D21" s="319" t="e">
        <f>IF($D$6="Tapered",0,CurrentSal*Acc_CARE*(D18+D19))</f>
        <v>#N/A</v>
      </c>
    </row>
    <row r="22" spans="1:13" ht="12.75" customHeight="1" x14ac:dyDescent="0.3">
      <c r="B22" s="671" t="s">
        <v>526</v>
      </c>
      <c r="C22" s="157" t="s">
        <v>547</v>
      </c>
      <c r="D22" s="320">
        <f>INT((DATE(YEAR(DoB)+60,MONTH(DoB),DAY(DoB))-DoStartSchYear)/DoY)</f>
        <v>59</v>
      </c>
      <c r="F22" s="306"/>
    </row>
    <row r="23" spans="1:13" ht="12.75" customHeight="1" x14ac:dyDescent="0.3">
      <c r="B23" s="673"/>
      <c r="C23" s="158" t="s">
        <v>548</v>
      </c>
      <c r="D23" s="321">
        <f>(DATE(YEAR(DoB)+60,MONTH(DoB),DAY(DoB))-DoStartSchYear)/DoY-D22</f>
        <v>0.7481177275838462</v>
      </c>
      <c r="F23" s="306"/>
    </row>
    <row r="24" spans="1:13" ht="13" x14ac:dyDescent="0.3">
      <c r="B24" s="673"/>
      <c r="C24" s="158" t="s">
        <v>551</v>
      </c>
      <c r="D24" s="318" t="e">
        <f>IF($D$6="Tapered",CurrentSal*Acc_CARE*(D22+D23),0)</f>
        <v>#N/A</v>
      </c>
      <c r="F24" s="150"/>
    </row>
    <row r="25" spans="1:13" ht="13" x14ac:dyDescent="0.3">
      <c r="B25" s="673"/>
      <c r="C25" s="158" t="s">
        <v>552</v>
      </c>
      <c r="D25" s="318" t="e">
        <f>IF($D$6="Tapered",INT($D$16),0)</f>
        <v>#N/A</v>
      </c>
      <c r="E25" s="150"/>
      <c r="F25" s="150"/>
    </row>
    <row r="26" spans="1:13" ht="13" x14ac:dyDescent="0.3">
      <c r="B26" s="673"/>
      <c r="C26" s="158" t="s">
        <v>553</v>
      </c>
      <c r="D26" s="318" t="e">
        <f>IF($D$6="Tapered",CurrentSal*Acc_CARE*(D25+($D$16-INT($D$16))),0)</f>
        <v>#N/A</v>
      </c>
      <c r="E26" s="150"/>
      <c r="F26" s="150"/>
    </row>
    <row r="27" spans="1:13" ht="13.5" thickBot="1" x14ac:dyDescent="0.35">
      <c r="B27" s="672"/>
      <c r="C27" s="158" t="s">
        <v>401</v>
      </c>
      <c r="D27" s="318" t="e">
        <f>D24-D26</f>
        <v>#N/A</v>
      </c>
      <c r="F27" s="150"/>
    </row>
    <row r="28" spans="1:13" ht="13" x14ac:dyDescent="0.3">
      <c r="C28" s="276" t="s">
        <v>582</v>
      </c>
      <c r="D28" s="322" t="e">
        <f ca="1">SUM(D20,D21,D27)</f>
        <v>#N/A</v>
      </c>
    </row>
    <row r="29" spans="1:13" ht="13.5" thickBot="1" x14ac:dyDescent="0.35">
      <c r="C29" s="159" t="s">
        <v>533</v>
      </c>
      <c r="D29" s="323" t="e">
        <f ca="1">IF(PT_Status="Part-Time",D28*future_PTP,D28)</f>
        <v>#N/A</v>
      </c>
    </row>
    <row r="30" spans="1:13" x14ac:dyDescent="0.25">
      <c r="D30" s="150"/>
    </row>
    <row r="31" spans="1:13" x14ac:dyDescent="0.25">
      <c r="D31" s="150"/>
    </row>
    <row r="32" spans="1:13" x14ac:dyDescent="0.25">
      <c r="D32" s="120"/>
    </row>
    <row r="34" spans="4:4" x14ac:dyDescent="0.25">
      <c r="D34" s="120"/>
    </row>
    <row r="35" spans="4:4" x14ac:dyDescent="0.25">
      <c r="D35" s="150"/>
    </row>
    <row r="36" spans="4:4" x14ac:dyDescent="0.25">
      <c r="D36" s="150"/>
    </row>
    <row r="37" spans="4:4" x14ac:dyDescent="0.25">
      <c r="D37" s="150"/>
    </row>
  </sheetData>
  <mergeCells count="4">
    <mergeCell ref="B12:B14"/>
    <mergeCell ref="B15:B16"/>
    <mergeCell ref="B18:B20"/>
    <mergeCell ref="B22:B27"/>
  </mergeCells>
  <pageMargins left="0.70866141732283472" right="0.70866141732283472" top="0.74803149606299213" bottom="0.74803149606299213" header="0.31496062992125984" footer="0.31496062992125984"/>
  <pageSetup paperSize="9" scale="65" orientation="portrait" r:id="rId1"/>
  <headerFooter>
    <oddHeader>&amp;CPROTECT - SCHEME MANAGEMENT&amp;L_x000D_&amp;Z&amp;F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M52"/>
  <sheetViews>
    <sheetView windowProtection="1" topLeftCell="A15" workbookViewId="0">
      <selection activeCell="D33" sqref="D33"/>
    </sheetView>
  </sheetViews>
  <sheetFormatPr defaultRowHeight="12.5" x14ac:dyDescent="0.25"/>
  <cols>
    <col min="2" max="2" width="12.453125" customWidth="1"/>
    <col min="3" max="3" width="28.81640625" bestFit="1" customWidth="1"/>
    <col min="4" max="6" width="17.54296875" customWidth="1"/>
    <col min="7" max="7" width="11.453125" customWidth="1"/>
    <col min="8" max="9" width="10.1796875" bestFit="1" customWidth="1"/>
  </cols>
  <sheetData>
    <row r="1" spans="1:13" ht="20" x14ac:dyDescent="0.4">
      <c r="A1" s="13" t="s">
        <v>19</v>
      </c>
      <c r="B1" s="12"/>
      <c r="C1" s="12"/>
      <c r="D1" s="12"/>
      <c r="E1" s="12"/>
      <c r="F1" s="12"/>
      <c r="G1" s="12"/>
      <c r="H1" s="12"/>
      <c r="I1" s="12"/>
    </row>
    <row r="2" spans="1:13" ht="15.5" x14ac:dyDescent="0.35">
      <c r="A2" s="27" t="str">
        <f>IF(title="&gt; Enter workbook title here","Enter workbook title in Cover sheet",title)</f>
        <v>Scottish Police Pension Calculator</v>
      </c>
      <c r="B2" s="11"/>
      <c r="C2" s="11"/>
      <c r="D2" s="11"/>
      <c r="E2" s="11"/>
      <c r="F2" s="11"/>
      <c r="G2" s="11"/>
      <c r="H2" s="11"/>
      <c r="I2" s="11"/>
    </row>
    <row r="3" spans="1:13" ht="15.5" x14ac:dyDescent="0.35">
      <c r="A3" s="126" t="s">
        <v>414</v>
      </c>
      <c r="B3" s="11"/>
      <c r="C3" s="11"/>
      <c r="D3" s="11"/>
      <c r="E3" s="11"/>
      <c r="F3" s="11"/>
      <c r="G3" s="11"/>
      <c r="H3" s="11"/>
      <c r="I3" s="11"/>
    </row>
    <row r="4" spans="1:13" x14ac:dyDescent="0.25">
      <c r="A4" s="7" t="str">
        <f ca="1">CELL("filename",A1)</f>
        <v>C:\Users\u418711\AppData\Local\Microsoft\Windows\INetCache\Content.Outlook\PTLKNQ86\[Copy of PPS Scotland PensionCalculatorv5.5 22Dec2020.xlsx]Lump Sum</v>
      </c>
      <c r="K4" s="29" t="s">
        <v>416</v>
      </c>
    </row>
    <row r="5" spans="1:13" ht="13" thickBot="1" x14ac:dyDescent="0.3"/>
    <row r="6" spans="1:13" ht="13.5" thickBot="1" x14ac:dyDescent="0.35">
      <c r="C6" s="686" t="s">
        <v>423</v>
      </c>
      <c r="D6" s="687"/>
      <c r="G6" s="116"/>
      <c r="H6" s="8"/>
      <c r="M6" s="29"/>
    </row>
    <row r="7" spans="1:13" ht="13" x14ac:dyDescent="0.3">
      <c r="C7" s="157" t="s">
        <v>419</v>
      </c>
      <c r="D7" s="160">
        <f>ChosenRA</f>
        <v>0</v>
      </c>
      <c r="G7" s="116"/>
      <c r="H7" s="116"/>
      <c r="I7" s="29"/>
    </row>
    <row r="8" spans="1:13" ht="13" x14ac:dyDescent="0.3">
      <c r="C8" s="158" t="s">
        <v>417</v>
      </c>
      <c r="D8" s="161">
        <f>INT(D7)</f>
        <v>0</v>
      </c>
      <c r="G8" s="29"/>
      <c r="I8" s="29"/>
    </row>
    <row r="9" spans="1:13" ht="13.5" thickBot="1" x14ac:dyDescent="0.35">
      <c r="C9" s="159" t="s">
        <v>418</v>
      </c>
      <c r="D9" s="162">
        <f>INT((D7-D8)*12)</f>
        <v>0</v>
      </c>
      <c r="G9" s="403"/>
      <c r="I9" s="120"/>
    </row>
    <row r="10" spans="1:13" ht="13" x14ac:dyDescent="0.3">
      <c r="C10" s="16"/>
      <c r="D10" s="9"/>
    </row>
    <row r="11" spans="1:13" ht="13.5" thickBot="1" x14ac:dyDescent="0.35">
      <c r="C11" s="16" t="s">
        <v>651</v>
      </c>
      <c r="D11" s="9"/>
    </row>
    <row r="12" spans="1:13" ht="13" x14ac:dyDescent="0.3">
      <c r="C12" s="157" t="s">
        <v>645</v>
      </c>
      <c r="D12" s="289">
        <f>IF(D8&lt;48,'Commutation Factors'!C13,VLOOKUP(D8,'Commutation Factors'!$B$12:$N$40,D9+2))</f>
        <v>24.3</v>
      </c>
    </row>
    <row r="13" spans="1:13" ht="13" x14ac:dyDescent="0.3">
      <c r="C13" s="158" t="s">
        <v>646</v>
      </c>
      <c r="D13" s="167">
        <f>IF(D8&lt;48,'Commutation Factors'!R12,VLOOKUP(D8,'Commutation Factors'!$Q$12:$AC$40,D9+2))</f>
        <v>24.7</v>
      </c>
    </row>
    <row r="14" spans="1:13" ht="13" x14ac:dyDescent="0.3">
      <c r="C14" s="158" t="s">
        <v>647</v>
      </c>
      <c r="D14" s="167" t="b">
        <f>DoR&lt;=DoUnderpin</f>
        <v>1</v>
      </c>
    </row>
    <row r="15" spans="1:13" ht="13.5" thickBot="1" x14ac:dyDescent="0.35">
      <c r="C15" s="159" t="s">
        <v>445</v>
      </c>
      <c r="D15" s="169" t="e">
        <f>IF(AND(D14=TRUE,CurrentScheme="PPS"),MAX(D12,D13),D12)</f>
        <v>#N/A</v>
      </c>
      <c r="F15" s="361"/>
    </row>
    <row r="16" spans="1:13" ht="13.5" thickBot="1" x14ac:dyDescent="0.35">
      <c r="C16" s="16"/>
      <c r="D16" s="9"/>
      <c r="F16" s="108"/>
      <c r="H16" s="404" t="s">
        <v>658</v>
      </c>
      <c r="I16" s="122"/>
      <c r="J16" s="122"/>
      <c r="K16" s="122"/>
      <c r="L16" s="86"/>
    </row>
    <row r="17" spans="1:12" ht="13.5" thickBot="1" x14ac:dyDescent="0.35">
      <c r="C17" s="157"/>
      <c r="D17" s="164" t="s">
        <v>443</v>
      </c>
      <c r="E17" s="164" t="s">
        <v>484</v>
      </c>
      <c r="F17" s="360" t="s">
        <v>654</v>
      </c>
      <c r="H17" s="405" t="s">
        <v>659</v>
      </c>
      <c r="I17" s="9"/>
      <c r="J17" s="9"/>
      <c r="K17" s="9"/>
      <c r="L17" s="82"/>
    </row>
    <row r="18" spans="1:12" ht="13" x14ac:dyDescent="0.3">
      <c r="C18" s="157" t="s">
        <v>434</v>
      </c>
      <c r="D18" s="362">
        <f>ROUND(F18,4)</f>
        <v>0</v>
      </c>
      <c r="E18" s="358"/>
      <c r="F18" s="359">
        <f>MAX(0,IF(AND(J19=0,J20=0),J21,J22)+TVinYears+TVinDays/DoY)</f>
        <v>0</v>
      </c>
      <c r="G18" s="119"/>
      <c r="H18" s="406" t="s">
        <v>710</v>
      </c>
      <c r="I18" s="9"/>
      <c r="J18" s="9"/>
      <c r="K18" s="9"/>
      <c r="L18" s="82"/>
    </row>
    <row r="19" spans="1:12" ht="13" x14ac:dyDescent="0.3">
      <c r="C19" s="158" t="s">
        <v>435</v>
      </c>
      <c r="D19" s="25" t="str">
        <f>IFERROR(HLOOKUP(Calculator!J33,Parameters!C88:L89,2,0),"")</f>
        <v/>
      </c>
      <c r="E19" s="166"/>
      <c r="H19" s="87">
        <f>DAY(DJS)</f>
        <v>0</v>
      </c>
      <c r="I19" s="87">
        <f>DAY(DoR)</f>
        <v>0</v>
      </c>
      <c r="J19" s="9">
        <f>I19-H19</f>
        <v>0</v>
      </c>
      <c r="K19" s="9"/>
      <c r="L19" s="82"/>
    </row>
    <row r="20" spans="1:12" ht="13" x14ac:dyDescent="0.3">
      <c r="C20" s="170" t="s">
        <v>445</v>
      </c>
      <c r="D20" s="134" t="e">
        <f>D15</f>
        <v>#N/A</v>
      </c>
      <c r="E20" s="305">
        <v>12</v>
      </c>
      <c r="G20" s="119"/>
      <c r="H20" s="87">
        <f>MONTH(DJS)</f>
        <v>1</v>
      </c>
      <c r="I20" s="87">
        <f>MONTH(DoR)</f>
        <v>1</v>
      </c>
      <c r="J20" s="9">
        <f>I20-H20</f>
        <v>0</v>
      </c>
      <c r="K20" s="9"/>
      <c r="L20" s="82"/>
    </row>
    <row r="21" spans="1:12" ht="13.5" thickBot="1" x14ac:dyDescent="0.35">
      <c r="A21" s="268" t="s">
        <v>480</v>
      </c>
      <c r="C21" s="171" t="s">
        <v>420</v>
      </c>
      <c r="D21" s="168">
        <f>IF(Reckonable_service&gt;=30,0.25*Comm_Factor,IF(AND(VRA&lt;&gt;0,ChosenRA&gt;=VRA),0.25*Comm_Factor,IF(AND(VRA=0,ChosenRA&gt;=65),0.25*Comm_Factor,2.25)))</f>
        <v>2.25</v>
      </c>
      <c r="E21" s="303">
        <v>0.35699999999999998</v>
      </c>
      <c r="G21" s="119"/>
      <c r="H21" s="87">
        <f>YEAR(DJS)</f>
        <v>1900</v>
      </c>
      <c r="I21" s="87">
        <f>YEAR(DoR)</f>
        <v>1900</v>
      </c>
      <c r="J21" s="9">
        <f>I21-H21</f>
        <v>0</v>
      </c>
      <c r="K21" s="9"/>
      <c r="L21" s="82"/>
    </row>
    <row r="22" spans="1:12" ht="13.5" thickBot="1" x14ac:dyDescent="0.35">
      <c r="A22" s="268"/>
      <c r="C22" s="163"/>
      <c r="D22" s="119"/>
      <c r="G22" s="119"/>
      <c r="H22" s="88"/>
      <c r="I22" s="407"/>
      <c r="J22" s="407">
        <f>YEARFRAC(DJS,DoR,1)-0.00001</f>
        <v>-1.0000000000000001E-5</v>
      </c>
      <c r="K22" s="407"/>
      <c r="L22" s="83"/>
    </row>
    <row r="23" spans="1:12" ht="13.5" thickBot="1" x14ac:dyDescent="0.35">
      <c r="A23" s="268"/>
      <c r="D23" s="182" t="str">
        <f>basis1</f>
        <v>CPI + 0%</v>
      </c>
      <c r="E23" s="176" t="str">
        <f>basis2</f>
        <v>CPI + 1%</v>
      </c>
      <c r="F23" s="177" t="str">
        <f>basis3</f>
        <v>CPI + 2%</v>
      </c>
    </row>
    <row r="24" spans="1:12" ht="13.5" thickBot="1" x14ac:dyDescent="0.35">
      <c r="A24" s="268"/>
      <c r="C24" s="178" t="s">
        <v>443</v>
      </c>
      <c r="D24" s="686" t="s">
        <v>413</v>
      </c>
      <c r="E24" s="688"/>
      <c r="F24" s="687"/>
    </row>
    <row r="25" spans="1:12" ht="13" x14ac:dyDescent="0.3">
      <c r="A25" s="268" t="s">
        <v>480</v>
      </c>
      <c r="C25" s="158" t="s">
        <v>446</v>
      </c>
      <c r="D25" s="179" t="e">
        <f>'PPS and NPPS calcs'!F44</f>
        <v>#N/A</v>
      </c>
      <c r="E25" s="173" t="e">
        <f>'PPS and NPPS calcs'!F45</f>
        <v>#N/A</v>
      </c>
      <c r="F25" s="154" t="e">
        <f>'PPS and NPPS calcs'!F46</f>
        <v>#N/A</v>
      </c>
      <c r="H25" s="150"/>
    </row>
    <row r="26" spans="1:12" ht="13" x14ac:dyDescent="0.3">
      <c r="A26" s="268" t="s">
        <v>480</v>
      </c>
      <c r="C26" s="158" t="s">
        <v>481</v>
      </c>
      <c r="D26" s="179" t="e">
        <f>IF(CurrentScheme="PPS",$D$21*D25/$D$20,0)</f>
        <v>#N/A</v>
      </c>
      <c r="E26" s="173" t="e">
        <f>IF(CurrentScheme="PPS",$D$21*E25/$D$20,0)</f>
        <v>#N/A</v>
      </c>
      <c r="F26" s="154" t="e">
        <f>IF(CurrentScheme="PPS",$D$21*F25/$D$20,0)</f>
        <v>#N/A</v>
      </c>
      <c r="H26" s="150"/>
    </row>
    <row r="27" spans="1:12" ht="13" x14ac:dyDescent="0.3">
      <c r="A27" s="268" t="s">
        <v>480</v>
      </c>
      <c r="C27" s="158" t="s">
        <v>531</v>
      </c>
      <c r="D27" s="183" t="e">
        <f>D25-D26</f>
        <v>#N/A</v>
      </c>
      <c r="E27" s="173" t="e">
        <f>E25-E26</f>
        <v>#N/A</v>
      </c>
      <c r="F27" s="154" t="e">
        <f>F25-F26</f>
        <v>#N/A</v>
      </c>
      <c r="H27" s="150"/>
    </row>
    <row r="28" spans="1:12" ht="13.5" thickBot="1" x14ac:dyDescent="0.35">
      <c r="A28" s="268" t="s">
        <v>480</v>
      </c>
      <c r="C28" s="159" t="s">
        <v>415</v>
      </c>
      <c r="D28" s="184" t="e">
        <f>IF(CurrentScheme="PPS",$D$21*D25,'PPS and NPPS calcs'!$F$47)</f>
        <v>#N/A</v>
      </c>
      <c r="E28" s="181" t="e">
        <f>IF(CurrentScheme="PPS",$D$21*E25,'PPS and NPPS calcs'!$F$48)</f>
        <v>#N/A</v>
      </c>
      <c r="F28" s="235" t="e">
        <f>IF(CurrentScheme="PPS",$D$21*F25,'PPS and NPPS calcs'!$F$49)</f>
        <v>#N/A</v>
      </c>
    </row>
    <row r="29" spans="1:12" ht="13" x14ac:dyDescent="0.3">
      <c r="A29" s="268"/>
      <c r="C29" s="16"/>
      <c r="D29" s="174"/>
      <c r="E29" s="173"/>
      <c r="F29" s="173"/>
    </row>
    <row r="30" spans="1:12" ht="13.5" thickBot="1" x14ac:dyDescent="0.35">
      <c r="C30" s="16"/>
    </row>
    <row r="31" spans="1:12" ht="13.5" thickBot="1" x14ac:dyDescent="0.35">
      <c r="C31" s="178" t="s">
        <v>444</v>
      </c>
      <c r="D31" s="182" t="str">
        <f>basis1</f>
        <v>CPI + 0%</v>
      </c>
      <c r="E31" s="176" t="str">
        <f>basis2</f>
        <v>CPI + 1%</v>
      </c>
      <c r="F31" s="177" t="str">
        <f>basis3</f>
        <v>CPI + 2%</v>
      </c>
    </row>
    <row r="32" spans="1:12" ht="13" x14ac:dyDescent="0.3">
      <c r="B32" s="689"/>
      <c r="C32" s="157" t="s">
        <v>446</v>
      </c>
      <c r="D32" s="283" t="e">
        <f ca="1">'CARE calcs'!D44</f>
        <v>#N/A</v>
      </c>
      <c r="E32" s="283" t="e">
        <f ca="1">'CARE calcs'!E44</f>
        <v>#N/A</v>
      </c>
      <c r="F32" s="283" t="e">
        <f ca="1">'CARE calcs'!F44</f>
        <v>#N/A</v>
      </c>
    </row>
    <row r="33" spans="2:7" ht="13" x14ac:dyDescent="0.3">
      <c r="B33" s="689"/>
      <c r="C33" s="158" t="s">
        <v>442</v>
      </c>
      <c r="D33" s="258" t="e">
        <f ca="1">$E$21*D32</f>
        <v>#N/A</v>
      </c>
      <c r="E33" s="258" t="e">
        <f ca="1">$E$21*E32</f>
        <v>#N/A</v>
      </c>
      <c r="F33" s="258" t="e">
        <f ca="1">$E$21*F32</f>
        <v>#N/A</v>
      </c>
    </row>
    <row r="34" spans="2:7" ht="13" x14ac:dyDescent="0.3">
      <c r="B34" s="689"/>
      <c r="C34" s="158" t="s">
        <v>531</v>
      </c>
      <c r="D34" s="256" t="e">
        <f ca="1">D32-D33</f>
        <v>#N/A</v>
      </c>
      <c r="E34" s="256" t="e">
        <f ca="1">E32-E33</f>
        <v>#N/A</v>
      </c>
      <c r="F34" s="256" t="e">
        <f ca="1">F32-F33</f>
        <v>#N/A</v>
      </c>
    </row>
    <row r="35" spans="2:7" ht="13.5" thickBot="1" x14ac:dyDescent="0.35">
      <c r="B35" s="689"/>
      <c r="C35" s="159" t="s">
        <v>415</v>
      </c>
      <c r="D35" s="257" t="e">
        <f ca="1">D33*$E$20</f>
        <v>#N/A</v>
      </c>
      <c r="E35" s="257" t="e">
        <f ca="1">E33*$E$20</f>
        <v>#N/A</v>
      </c>
      <c r="F35" s="257" t="e">
        <f ca="1">F33*$E$20</f>
        <v>#N/A</v>
      </c>
    </row>
    <row r="37" spans="2:7" ht="13" x14ac:dyDescent="0.3">
      <c r="D37" s="174"/>
      <c r="E37" s="1"/>
    </row>
    <row r="38" spans="2:7" ht="13" x14ac:dyDescent="0.3">
      <c r="C38" s="1"/>
      <c r="D38" s="130"/>
      <c r="E38" s="142"/>
      <c r="F38" s="143"/>
    </row>
    <row r="39" spans="2:7" ht="13" x14ac:dyDescent="0.3">
      <c r="C39" s="1"/>
      <c r="D39" s="130"/>
    </row>
    <row r="40" spans="2:7" ht="13" x14ac:dyDescent="0.3">
      <c r="C40" s="1"/>
      <c r="D40" s="130"/>
    </row>
    <row r="41" spans="2:7" ht="13" x14ac:dyDescent="0.3">
      <c r="C41" s="1"/>
      <c r="D41" s="1"/>
      <c r="E41" s="1"/>
      <c r="F41" s="1"/>
      <c r="G41" s="1"/>
    </row>
    <row r="42" spans="2:7" ht="13" x14ac:dyDescent="0.3">
      <c r="C42" s="1"/>
      <c r="D42" s="129"/>
      <c r="E42" s="129"/>
      <c r="F42" s="129"/>
      <c r="G42" s="129"/>
    </row>
    <row r="44" spans="2:7" ht="13" x14ac:dyDescent="0.3">
      <c r="C44" s="1"/>
      <c r="D44" s="1"/>
      <c r="E44" s="1"/>
      <c r="F44" s="1"/>
    </row>
    <row r="45" spans="2:7" ht="13" x14ac:dyDescent="0.3">
      <c r="C45" s="1"/>
      <c r="D45" s="129"/>
      <c r="E45" s="129"/>
      <c r="F45" s="129"/>
    </row>
    <row r="46" spans="2:7" ht="13" x14ac:dyDescent="0.3">
      <c r="C46" s="1"/>
      <c r="D46" s="129"/>
      <c r="E46" s="129"/>
      <c r="F46" s="129"/>
    </row>
    <row r="47" spans="2:7" ht="13" x14ac:dyDescent="0.3">
      <c r="C47" s="1"/>
      <c r="E47" s="129"/>
      <c r="F47" s="129"/>
    </row>
    <row r="48" spans="2:7" ht="13" x14ac:dyDescent="0.3">
      <c r="C48" s="1"/>
      <c r="D48" s="129"/>
      <c r="E48" s="129"/>
      <c r="F48" s="129"/>
    </row>
    <row r="50" spans="3:4" ht="13" x14ac:dyDescent="0.3">
      <c r="C50" s="1"/>
    </row>
    <row r="51" spans="3:4" ht="13" x14ac:dyDescent="0.3">
      <c r="C51" s="1"/>
      <c r="D51" s="147"/>
    </row>
    <row r="52" spans="3:4" x14ac:dyDescent="0.25">
      <c r="D52" s="148"/>
    </row>
  </sheetData>
  <mergeCells count="3">
    <mergeCell ref="C6:D6"/>
    <mergeCell ref="D24:F24"/>
    <mergeCell ref="B32:B35"/>
  </mergeCells>
  <pageMargins left="0.7" right="0.7" top="0.75" bottom="0.75" header="0.3" footer="0.3"/>
  <pageSetup paperSize="9" orientation="portrait" r:id="rId1"/>
  <headerFooter>
    <oddHeader>&amp;CPROTECT - SCHEME MANAGEMENT&amp;L_x000D_&amp;Z&amp;F  [&amp;A]</oddHeader>
    <oddFooter>&amp;LPage &amp;P of &amp;N&amp;R&amp;T &amp;D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10"/>
  <sheetViews>
    <sheetView windowProtection="1" topLeftCell="F100" zoomScale="85" zoomScaleNormal="85" workbookViewId="0">
      <selection activeCell="H118" sqref="H118"/>
    </sheetView>
  </sheetViews>
  <sheetFormatPr defaultRowHeight="12.5" x14ac:dyDescent="0.25"/>
  <cols>
    <col min="2" max="2" width="66" customWidth="1"/>
    <col min="3" max="4" width="11.54296875" customWidth="1"/>
    <col min="5" max="5" width="26.453125" customWidth="1"/>
    <col min="6" max="6" width="17.54296875" customWidth="1"/>
    <col min="7" max="7" width="11.453125" customWidth="1"/>
    <col min="8" max="8" width="65.54296875" style="411" customWidth="1"/>
    <col min="9" max="9" width="17.54296875" customWidth="1"/>
    <col min="10" max="10" width="11.453125" customWidth="1"/>
    <col min="11" max="11" width="65.54296875" customWidth="1"/>
    <col min="12" max="12" width="14.1796875" customWidth="1"/>
    <col min="15" max="15" width="15.453125" bestFit="1" customWidth="1"/>
    <col min="16" max="16" width="21" bestFit="1" customWidth="1"/>
    <col min="17" max="17" width="9.453125" customWidth="1"/>
    <col min="18" max="22" width="9.54296875" customWidth="1"/>
    <col min="23" max="23" width="13.1796875" customWidth="1"/>
    <col min="30" max="30" width="10.453125" customWidth="1"/>
    <col min="31" max="31" width="10.54296875" customWidth="1"/>
    <col min="34" max="34" width="15.453125" bestFit="1" customWidth="1"/>
    <col min="35" max="35" width="21" bestFit="1" customWidth="1"/>
    <col min="36" max="37" width="9.54296875" bestFit="1" customWidth="1"/>
    <col min="38" max="38" width="9.54296875" customWidth="1"/>
  </cols>
  <sheetData>
    <row r="1" spans="1:12" ht="20" x14ac:dyDescent="0.4">
      <c r="A1" s="4" t="s">
        <v>19</v>
      </c>
      <c r="B1" s="4"/>
      <c r="C1" s="4"/>
      <c r="D1" s="4"/>
      <c r="E1" s="4"/>
      <c r="F1" s="4"/>
      <c r="G1" s="4"/>
      <c r="H1" s="4"/>
      <c r="I1" s="4"/>
      <c r="J1" s="4"/>
      <c r="K1" s="4"/>
      <c r="L1" s="4"/>
    </row>
    <row r="2" spans="1:12" ht="15.5" x14ac:dyDescent="0.35">
      <c r="A2" s="5" t="str">
        <f>IF(title="&gt; Enter workbook title here","Enter workbook title in Cover sheet",title)</f>
        <v>Scottish Police Pension Calculator</v>
      </c>
      <c r="B2" s="5"/>
      <c r="C2" s="5"/>
      <c r="D2" s="5"/>
      <c r="E2" s="5"/>
      <c r="F2" s="5"/>
      <c r="G2" s="5"/>
      <c r="H2" s="5"/>
      <c r="I2" s="5"/>
      <c r="J2" s="5"/>
      <c r="K2" s="5"/>
      <c r="L2" s="5"/>
    </row>
    <row r="3" spans="1:12" ht="15.5" x14ac:dyDescent="0.35">
      <c r="A3" s="127" t="s">
        <v>0</v>
      </c>
      <c r="B3" s="6"/>
      <c r="C3" s="6"/>
      <c r="D3" s="6"/>
      <c r="E3" s="6"/>
      <c r="F3" s="6"/>
      <c r="G3" s="6"/>
      <c r="H3" s="6"/>
      <c r="I3" s="6"/>
      <c r="J3" s="6"/>
      <c r="K3" s="6"/>
      <c r="L3" s="6"/>
    </row>
    <row r="4" spans="1:12" x14ac:dyDescent="0.25">
      <c r="A4" s="7" t="str">
        <f ca="1">CELL("filename",A1)</f>
        <v>C:\Users\u418711\AppData\Local\Microsoft\Windows\INetCache\Content.Outlook\PTLKNQ86\[Copy of PPS Scotland PensionCalculatorv5.5 22Dec2020.xlsx]Version control</v>
      </c>
      <c r="B4" s="7"/>
    </row>
    <row r="5" spans="1:12" x14ac:dyDescent="0.25">
      <c r="E5" s="8"/>
      <c r="F5" s="8"/>
      <c r="G5" s="8"/>
    </row>
    <row r="6" spans="1:12" ht="39" x14ac:dyDescent="0.3">
      <c r="A6" s="10" t="s">
        <v>1</v>
      </c>
      <c r="B6" s="10" t="s">
        <v>36</v>
      </c>
      <c r="C6" s="10" t="s">
        <v>8</v>
      </c>
      <c r="D6" s="10" t="s">
        <v>9</v>
      </c>
      <c r="E6" s="10" t="s">
        <v>7</v>
      </c>
      <c r="F6" s="10" t="s">
        <v>10</v>
      </c>
      <c r="G6" s="10" t="s">
        <v>2</v>
      </c>
      <c r="H6" s="10" t="s">
        <v>3</v>
      </c>
      <c r="I6" s="10" t="s">
        <v>6</v>
      </c>
      <c r="J6" s="10" t="s">
        <v>2</v>
      </c>
      <c r="K6" s="10" t="s">
        <v>3</v>
      </c>
      <c r="L6" s="10" t="s">
        <v>15</v>
      </c>
    </row>
    <row r="7" spans="1:12" ht="25" x14ac:dyDescent="0.25">
      <c r="A7" s="2" t="s">
        <v>14</v>
      </c>
      <c r="B7" s="2" t="s">
        <v>57</v>
      </c>
      <c r="C7" s="2"/>
      <c r="D7" s="2"/>
      <c r="E7" s="2"/>
      <c r="F7" s="2" t="s">
        <v>58</v>
      </c>
      <c r="G7" s="28">
        <v>41136</v>
      </c>
      <c r="H7" s="2" t="s">
        <v>220</v>
      </c>
      <c r="I7" s="2" t="s">
        <v>210</v>
      </c>
      <c r="J7" s="28">
        <v>41137</v>
      </c>
      <c r="K7" s="2" t="s">
        <v>211</v>
      </c>
      <c r="L7" s="2"/>
    </row>
    <row r="8" spans="1:12" ht="62.5" x14ac:dyDescent="0.25">
      <c r="A8" s="2">
        <v>2</v>
      </c>
      <c r="B8" s="2" t="s">
        <v>204</v>
      </c>
      <c r="C8" s="2"/>
      <c r="D8" s="2"/>
      <c r="E8" s="2"/>
      <c r="F8" s="2" t="s">
        <v>58</v>
      </c>
      <c r="G8" s="28">
        <v>41138</v>
      </c>
      <c r="H8" s="2" t="s">
        <v>221</v>
      </c>
      <c r="I8" s="2" t="s">
        <v>210</v>
      </c>
      <c r="J8" s="28">
        <v>41141</v>
      </c>
      <c r="K8" s="2" t="s">
        <v>212</v>
      </c>
      <c r="L8" s="2" t="s">
        <v>214</v>
      </c>
    </row>
    <row r="9" spans="1:12" ht="50" x14ac:dyDescent="0.25">
      <c r="A9" s="2">
        <v>3</v>
      </c>
      <c r="B9" s="2" t="s">
        <v>207</v>
      </c>
      <c r="C9" s="2"/>
      <c r="D9" s="2"/>
      <c r="E9" s="2"/>
      <c r="F9" s="2" t="s">
        <v>58</v>
      </c>
      <c r="G9" s="28">
        <v>41142</v>
      </c>
      <c r="H9" s="2" t="s">
        <v>222</v>
      </c>
      <c r="I9" s="2" t="s">
        <v>210</v>
      </c>
      <c r="J9" s="28">
        <v>41142</v>
      </c>
      <c r="K9" s="2" t="s">
        <v>213</v>
      </c>
      <c r="L9" s="2"/>
    </row>
    <row r="10" spans="1:12" ht="75" x14ac:dyDescent="0.25">
      <c r="A10" s="2">
        <v>4</v>
      </c>
      <c r="B10" s="2" t="s">
        <v>215</v>
      </c>
      <c r="C10" s="2"/>
      <c r="D10" s="2"/>
      <c r="E10" s="2"/>
      <c r="F10" s="2" t="s">
        <v>58</v>
      </c>
      <c r="G10" s="28">
        <v>41142</v>
      </c>
      <c r="H10" s="2" t="s">
        <v>223</v>
      </c>
      <c r="I10" s="2" t="s">
        <v>210</v>
      </c>
      <c r="J10" s="28">
        <v>41142</v>
      </c>
      <c r="K10" s="2" t="s">
        <v>224</v>
      </c>
      <c r="L10" s="2"/>
    </row>
    <row r="11" spans="1:12" ht="25" x14ac:dyDescent="0.25">
      <c r="A11" s="2">
        <v>5</v>
      </c>
      <c r="B11" s="2" t="s">
        <v>225</v>
      </c>
      <c r="C11" s="2"/>
      <c r="D11" s="2"/>
      <c r="E11" s="2"/>
      <c r="F11" s="2" t="s">
        <v>58</v>
      </c>
      <c r="G11" s="28">
        <v>41143</v>
      </c>
      <c r="H11" s="2" t="s">
        <v>226</v>
      </c>
      <c r="I11" s="2" t="s">
        <v>210</v>
      </c>
      <c r="J11" s="28">
        <v>41143</v>
      </c>
      <c r="K11" s="2" t="s">
        <v>227</v>
      </c>
      <c r="L11" s="2"/>
    </row>
    <row r="12" spans="1:12" ht="62.5" x14ac:dyDescent="0.25">
      <c r="A12" s="2">
        <v>6</v>
      </c>
      <c r="B12" s="2" t="s">
        <v>228</v>
      </c>
      <c r="C12" s="2"/>
      <c r="D12" s="2"/>
      <c r="E12" s="2"/>
      <c r="F12" s="2" t="s">
        <v>58</v>
      </c>
      <c r="G12" s="28">
        <v>41143</v>
      </c>
      <c r="H12" s="2" t="s">
        <v>233</v>
      </c>
      <c r="I12" s="2" t="s">
        <v>234</v>
      </c>
      <c r="J12" s="28">
        <v>41144</v>
      </c>
      <c r="K12" s="2" t="s">
        <v>235</v>
      </c>
      <c r="L12" s="2"/>
    </row>
    <row r="13" spans="1:12" ht="137.5" x14ac:dyDescent="0.25">
      <c r="A13" s="2">
        <v>7</v>
      </c>
      <c r="B13" s="93" t="s">
        <v>236</v>
      </c>
      <c r="C13" s="2"/>
      <c r="D13" s="2"/>
      <c r="E13" s="2"/>
      <c r="F13" s="2" t="s">
        <v>237</v>
      </c>
      <c r="G13" s="28">
        <v>41144</v>
      </c>
      <c r="H13" s="2" t="s">
        <v>263</v>
      </c>
      <c r="I13" s="2" t="s">
        <v>210</v>
      </c>
      <c r="J13" s="28">
        <v>41145</v>
      </c>
      <c r="K13" s="2" t="s">
        <v>264</v>
      </c>
      <c r="L13" s="2"/>
    </row>
    <row r="14" spans="1:12" ht="37.5" x14ac:dyDescent="0.25">
      <c r="A14" s="2">
        <v>8</v>
      </c>
      <c r="B14" s="93" t="s">
        <v>265</v>
      </c>
      <c r="C14" s="2"/>
      <c r="D14" s="2"/>
      <c r="E14" s="2"/>
      <c r="F14" s="2" t="s">
        <v>266</v>
      </c>
      <c r="G14" s="28">
        <v>41145</v>
      </c>
      <c r="H14" s="2" t="s">
        <v>267</v>
      </c>
      <c r="I14" s="2" t="s">
        <v>210</v>
      </c>
      <c r="J14" s="28">
        <v>41145</v>
      </c>
      <c r="K14" s="2" t="s">
        <v>269</v>
      </c>
      <c r="L14" s="2"/>
    </row>
    <row r="15" spans="1:12" ht="50" x14ac:dyDescent="0.25">
      <c r="A15" s="2">
        <v>9</v>
      </c>
      <c r="B15" s="2" t="s">
        <v>292</v>
      </c>
      <c r="C15" s="2"/>
      <c r="D15" s="2"/>
      <c r="E15" s="2"/>
      <c r="F15" s="2" t="s">
        <v>58</v>
      </c>
      <c r="G15" s="28">
        <v>41145</v>
      </c>
      <c r="H15" s="2" t="s">
        <v>284</v>
      </c>
      <c r="I15" s="2" t="s">
        <v>210</v>
      </c>
      <c r="J15" s="28">
        <v>41145</v>
      </c>
      <c r="K15" s="2" t="s">
        <v>286</v>
      </c>
      <c r="L15" s="2"/>
    </row>
    <row r="16" spans="1:12" ht="37.5" x14ac:dyDescent="0.25">
      <c r="A16" s="2">
        <v>10</v>
      </c>
      <c r="B16" s="2" t="s">
        <v>291</v>
      </c>
      <c r="C16" s="2"/>
      <c r="D16" s="2"/>
      <c r="E16" s="2"/>
      <c r="F16" s="2" t="s">
        <v>58</v>
      </c>
      <c r="G16" s="28">
        <v>41149</v>
      </c>
      <c r="H16" s="2" t="s">
        <v>296</v>
      </c>
      <c r="I16" s="2" t="s">
        <v>210</v>
      </c>
      <c r="J16" s="28">
        <v>41149</v>
      </c>
      <c r="K16" s="2" t="s">
        <v>299</v>
      </c>
      <c r="L16" s="2"/>
    </row>
    <row r="17" spans="1:12" ht="37.5" x14ac:dyDescent="0.25">
      <c r="A17" s="2">
        <v>11</v>
      </c>
      <c r="B17" s="2" t="s">
        <v>297</v>
      </c>
      <c r="C17" s="2"/>
      <c r="D17" s="2"/>
      <c r="E17" s="2"/>
      <c r="F17" s="2" t="s">
        <v>58</v>
      </c>
      <c r="G17" s="28">
        <v>41149</v>
      </c>
      <c r="H17" s="2" t="s">
        <v>298</v>
      </c>
      <c r="I17" s="2" t="s">
        <v>210</v>
      </c>
      <c r="J17" s="28">
        <v>41150</v>
      </c>
      <c r="K17" s="2" t="s">
        <v>307</v>
      </c>
      <c r="L17" s="2"/>
    </row>
    <row r="18" spans="1:12" ht="37.5" x14ac:dyDescent="0.25">
      <c r="A18" s="2">
        <v>12</v>
      </c>
      <c r="B18" s="2" t="s">
        <v>300</v>
      </c>
      <c r="C18" s="2"/>
      <c r="D18" s="2"/>
      <c r="E18" s="2"/>
      <c r="F18" s="2" t="s">
        <v>58</v>
      </c>
      <c r="G18" s="28">
        <v>41150</v>
      </c>
      <c r="H18" s="2" t="s">
        <v>301</v>
      </c>
      <c r="I18" s="2" t="s">
        <v>210</v>
      </c>
      <c r="J18" s="28">
        <v>41150</v>
      </c>
      <c r="K18" s="2" t="s">
        <v>308</v>
      </c>
      <c r="L18" s="2"/>
    </row>
    <row r="19" spans="1:12" ht="50" x14ac:dyDescent="0.25">
      <c r="A19" s="2">
        <v>13</v>
      </c>
      <c r="B19" s="2" t="s">
        <v>303</v>
      </c>
      <c r="C19" s="2"/>
      <c r="D19" s="2"/>
      <c r="E19" s="2"/>
      <c r="F19" s="2" t="s">
        <v>58</v>
      </c>
      <c r="G19" s="28">
        <v>41150</v>
      </c>
      <c r="H19" s="2" t="s">
        <v>304</v>
      </c>
      <c r="I19" s="2" t="s">
        <v>210</v>
      </c>
      <c r="J19" s="28">
        <v>41150</v>
      </c>
      <c r="K19" s="2" t="s">
        <v>309</v>
      </c>
      <c r="L19" s="2"/>
    </row>
    <row r="20" spans="1:12" ht="50" x14ac:dyDescent="0.25">
      <c r="A20" s="2">
        <v>14</v>
      </c>
      <c r="B20" s="2" t="s">
        <v>305</v>
      </c>
      <c r="C20" s="2"/>
      <c r="D20" s="2"/>
      <c r="E20" s="2"/>
      <c r="F20" s="2" t="s">
        <v>58</v>
      </c>
      <c r="G20" s="28">
        <v>41150</v>
      </c>
      <c r="H20" s="2" t="s">
        <v>306</v>
      </c>
      <c r="I20" s="2" t="s">
        <v>210</v>
      </c>
      <c r="J20" s="28">
        <v>41150</v>
      </c>
      <c r="K20" s="2" t="s">
        <v>310</v>
      </c>
      <c r="L20" s="2"/>
    </row>
    <row r="21" spans="1:12" ht="80.25" customHeight="1" x14ac:dyDescent="0.25">
      <c r="A21" s="2">
        <v>15</v>
      </c>
      <c r="B21" s="2" t="s">
        <v>311</v>
      </c>
      <c r="C21" s="2"/>
      <c r="D21" s="2"/>
      <c r="E21" s="2"/>
      <c r="F21" s="2" t="s">
        <v>312</v>
      </c>
      <c r="G21" s="28">
        <v>41151</v>
      </c>
      <c r="H21" s="2" t="s">
        <v>317</v>
      </c>
      <c r="I21" s="2" t="s">
        <v>210</v>
      </c>
      <c r="J21" s="28">
        <v>41151</v>
      </c>
      <c r="K21" s="2" t="s">
        <v>227</v>
      </c>
      <c r="L21" s="2"/>
    </row>
    <row r="22" spans="1:12" ht="62.5" x14ac:dyDescent="0.25">
      <c r="A22" s="2">
        <v>16</v>
      </c>
      <c r="B22" s="2" t="s">
        <v>318</v>
      </c>
      <c r="C22" s="2"/>
      <c r="D22" s="2"/>
      <c r="E22" s="2"/>
      <c r="F22" s="2" t="s">
        <v>312</v>
      </c>
      <c r="G22" s="28">
        <v>41151</v>
      </c>
      <c r="H22" s="2" t="s">
        <v>319</v>
      </c>
      <c r="I22" s="2" t="s">
        <v>210</v>
      </c>
      <c r="J22" s="28">
        <v>41151</v>
      </c>
      <c r="K22" s="2" t="s">
        <v>542</v>
      </c>
      <c r="L22" s="2"/>
    </row>
    <row r="23" spans="1:12" ht="36.75" customHeight="1" x14ac:dyDescent="0.25">
      <c r="A23" s="2">
        <v>17</v>
      </c>
      <c r="B23" s="2" t="s">
        <v>323</v>
      </c>
      <c r="C23" s="2"/>
      <c r="D23" s="2"/>
      <c r="E23" s="2"/>
      <c r="F23" s="2" t="s">
        <v>312</v>
      </c>
      <c r="G23" s="28">
        <v>41152</v>
      </c>
      <c r="H23" s="2" t="s">
        <v>324</v>
      </c>
      <c r="I23" s="2" t="s">
        <v>210</v>
      </c>
      <c r="J23" s="28">
        <v>41152</v>
      </c>
      <c r="K23" s="2" t="s">
        <v>325</v>
      </c>
      <c r="L23" s="2"/>
    </row>
    <row r="24" spans="1:12" ht="25" x14ac:dyDescent="0.25">
      <c r="A24" s="2">
        <v>18</v>
      </c>
      <c r="B24" s="93" t="s">
        <v>329</v>
      </c>
      <c r="C24" s="2"/>
      <c r="D24" s="2"/>
      <c r="E24" s="2"/>
      <c r="F24" s="2" t="s">
        <v>330</v>
      </c>
      <c r="G24" s="28">
        <v>41152</v>
      </c>
      <c r="H24" s="2" t="s">
        <v>331</v>
      </c>
      <c r="I24" s="2" t="s">
        <v>210</v>
      </c>
      <c r="J24" s="28">
        <v>41155</v>
      </c>
      <c r="K24" s="2" t="s">
        <v>334</v>
      </c>
      <c r="L24" s="2"/>
    </row>
    <row r="25" spans="1:12" ht="25" x14ac:dyDescent="0.25">
      <c r="A25" s="2">
        <v>19</v>
      </c>
      <c r="B25" s="93" t="s">
        <v>341</v>
      </c>
      <c r="C25" s="2"/>
      <c r="D25" s="2"/>
      <c r="E25" s="2"/>
      <c r="F25" s="2" t="s">
        <v>330</v>
      </c>
      <c r="G25" s="28">
        <v>41154</v>
      </c>
      <c r="H25" s="2" t="s">
        <v>331</v>
      </c>
      <c r="I25" s="2" t="s">
        <v>210</v>
      </c>
      <c r="J25" s="28">
        <v>41155</v>
      </c>
      <c r="K25" s="2" t="s">
        <v>334</v>
      </c>
      <c r="L25" s="2"/>
    </row>
    <row r="26" spans="1:12" ht="37.5" x14ac:dyDescent="0.25">
      <c r="A26" s="2">
        <v>20</v>
      </c>
      <c r="B26" s="2" t="s">
        <v>342</v>
      </c>
      <c r="C26" s="2"/>
      <c r="D26" s="2"/>
      <c r="E26" s="2"/>
      <c r="F26" s="2" t="s">
        <v>210</v>
      </c>
      <c r="G26" s="28">
        <v>41155</v>
      </c>
      <c r="H26" s="2" t="s">
        <v>340</v>
      </c>
      <c r="I26" s="2" t="s">
        <v>330</v>
      </c>
      <c r="J26" s="28">
        <v>41155</v>
      </c>
      <c r="K26" s="2" t="s">
        <v>346</v>
      </c>
      <c r="L26" s="2"/>
    </row>
    <row r="27" spans="1:12" ht="37.5" x14ac:dyDescent="0.25">
      <c r="A27" s="2">
        <v>21</v>
      </c>
      <c r="B27" s="2" t="s">
        <v>345</v>
      </c>
      <c r="C27" s="2"/>
      <c r="D27" s="2"/>
      <c r="E27" s="2"/>
      <c r="F27" s="2" t="s">
        <v>58</v>
      </c>
      <c r="G27" s="28">
        <v>41163</v>
      </c>
      <c r="H27" s="2" t="s">
        <v>344</v>
      </c>
      <c r="I27" s="2" t="s">
        <v>210</v>
      </c>
      <c r="J27" s="28">
        <v>41163</v>
      </c>
      <c r="K27" s="2" t="s">
        <v>325</v>
      </c>
      <c r="L27" s="2"/>
    </row>
    <row r="28" spans="1:12" ht="50" x14ac:dyDescent="0.25">
      <c r="A28" s="2"/>
      <c r="B28" s="2"/>
      <c r="C28" s="2"/>
      <c r="D28" s="2"/>
      <c r="E28" s="2"/>
      <c r="F28" s="2"/>
      <c r="G28" s="2"/>
      <c r="H28" s="2"/>
      <c r="I28" s="2" t="s">
        <v>347</v>
      </c>
      <c r="J28" s="28">
        <v>41171</v>
      </c>
      <c r="K28" s="2" t="s">
        <v>364</v>
      </c>
      <c r="L28" s="2"/>
    </row>
    <row r="29" spans="1:12" ht="37.5" x14ac:dyDescent="0.25">
      <c r="A29" s="2">
        <v>22</v>
      </c>
      <c r="B29" s="2" t="s">
        <v>348</v>
      </c>
      <c r="C29" s="2"/>
      <c r="D29" s="2"/>
      <c r="E29" s="2"/>
      <c r="F29" s="2" t="s">
        <v>58</v>
      </c>
      <c r="G29" s="28">
        <v>41173</v>
      </c>
      <c r="H29" s="2" t="s">
        <v>355</v>
      </c>
      <c r="I29" s="2" t="s">
        <v>210</v>
      </c>
      <c r="J29" s="28">
        <v>41173</v>
      </c>
      <c r="K29" s="2" t="s">
        <v>356</v>
      </c>
      <c r="L29" s="2"/>
    </row>
    <row r="30" spans="1:12" ht="50" x14ac:dyDescent="0.25">
      <c r="A30" s="2">
        <v>23</v>
      </c>
      <c r="B30" s="2" t="s">
        <v>357</v>
      </c>
      <c r="C30" s="2"/>
      <c r="D30" s="2"/>
      <c r="E30" s="2"/>
      <c r="F30" s="2" t="s">
        <v>58</v>
      </c>
      <c r="G30" s="28">
        <v>41173</v>
      </c>
      <c r="H30" s="2" t="s">
        <v>358</v>
      </c>
      <c r="I30" s="2" t="s">
        <v>210</v>
      </c>
      <c r="J30" s="28">
        <v>41176</v>
      </c>
      <c r="K30" s="2" t="s">
        <v>359</v>
      </c>
      <c r="L30" s="2"/>
    </row>
    <row r="31" spans="1:12" ht="25" x14ac:dyDescent="0.25">
      <c r="A31" s="2">
        <v>24</v>
      </c>
      <c r="B31" s="2" t="s">
        <v>360</v>
      </c>
      <c r="F31" s="2" t="s">
        <v>58</v>
      </c>
      <c r="G31" s="28">
        <v>41177</v>
      </c>
      <c r="H31" s="2" t="s">
        <v>361</v>
      </c>
      <c r="I31" s="2" t="s">
        <v>210</v>
      </c>
      <c r="J31" s="28">
        <v>41179</v>
      </c>
      <c r="K31" s="2" t="s">
        <v>325</v>
      </c>
    </row>
    <row r="32" spans="1:12" ht="50" x14ac:dyDescent="0.25">
      <c r="F32" s="2" t="s">
        <v>210</v>
      </c>
      <c r="G32" s="28">
        <v>41180</v>
      </c>
      <c r="H32" s="2" t="s">
        <v>363</v>
      </c>
      <c r="I32" s="2" t="s">
        <v>365</v>
      </c>
      <c r="J32" s="8">
        <v>41183</v>
      </c>
      <c r="K32" s="2" t="s">
        <v>543</v>
      </c>
    </row>
    <row r="33" spans="1:11" ht="25" x14ac:dyDescent="0.25">
      <c r="F33" s="2" t="s">
        <v>365</v>
      </c>
      <c r="G33" s="116">
        <v>41183</v>
      </c>
      <c r="H33" s="2" t="s">
        <v>367</v>
      </c>
      <c r="I33" s="2" t="s">
        <v>210</v>
      </c>
      <c r="J33" s="8">
        <v>41183</v>
      </c>
      <c r="K33" s="2" t="s">
        <v>368</v>
      </c>
    </row>
    <row r="34" spans="1:11" ht="37.5" x14ac:dyDescent="0.25">
      <c r="A34" s="2">
        <v>25</v>
      </c>
      <c r="B34" s="2" t="s">
        <v>369</v>
      </c>
      <c r="F34" s="2" t="s">
        <v>58</v>
      </c>
      <c r="G34" s="8">
        <v>41184</v>
      </c>
      <c r="H34" s="2" t="s">
        <v>370</v>
      </c>
      <c r="I34" s="2" t="s">
        <v>210</v>
      </c>
      <c r="J34" s="8">
        <v>40910</v>
      </c>
      <c r="K34" s="2" t="s">
        <v>325</v>
      </c>
    </row>
    <row r="35" spans="1:11" ht="88" x14ac:dyDescent="0.25">
      <c r="A35" s="2">
        <v>26</v>
      </c>
      <c r="B35" s="93" t="s">
        <v>373</v>
      </c>
      <c r="F35" s="2" t="s">
        <v>374</v>
      </c>
      <c r="G35" s="8">
        <v>41619</v>
      </c>
      <c r="H35" s="96" t="s">
        <v>375</v>
      </c>
    </row>
    <row r="36" spans="1:11" ht="37.5" x14ac:dyDescent="0.25">
      <c r="F36" s="2" t="s">
        <v>374</v>
      </c>
      <c r="G36" s="8">
        <v>41619</v>
      </c>
      <c r="H36" s="2" t="s">
        <v>376</v>
      </c>
      <c r="I36" s="2" t="s">
        <v>377</v>
      </c>
      <c r="J36" s="8">
        <v>41620</v>
      </c>
    </row>
    <row r="37" spans="1:11" x14ac:dyDescent="0.25">
      <c r="A37">
        <v>27</v>
      </c>
      <c r="B37" s="78" t="s">
        <v>378</v>
      </c>
      <c r="F37" s="2" t="s">
        <v>377</v>
      </c>
      <c r="G37" s="8">
        <v>41626</v>
      </c>
      <c r="H37" s="2" t="s">
        <v>379</v>
      </c>
      <c r="I37" s="2" t="s">
        <v>384</v>
      </c>
      <c r="J37" s="8">
        <v>41626</v>
      </c>
      <c r="K37" s="2" t="s">
        <v>385</v>
      </c>
    </row>
    <row r="38" spans="1:11" ht="50" x14ac:dyDescent="0.25">
      <c r="A38">
        <v>28</v>
      </c>
      <c r="B38" s="94" t="s">
        <v>386</v>
      </c>
      <c r="F38" s="2" t="s">
        <v>384</v>
      </c>
      <c r="G38" s="8">
        <v>41626</v>
      </c>
      <c r="H38" s="2" t="s">
        <v>388</v>
      </c>
      <c r="I38" s="2" t="s">
        <v>377</v>
      </c>
      <c r="J38" s="8">
        <v>41626</v>
      </c>
    </row>
    <row r="39" spans="1:11" ht="37.5" x14ac:dyDescent="0.25">
      <c r="A39">
        <v>29</v>
      </c>
      <c r="B39" s="78" t="s">
        <v>389</v>
      </c>
      <c r="F39" s="2" t="s">
        <v>377</v>
      </c>
      <c r="G39" s="8">
        <v>41627</v>
      </c>
      <c r="H39" s="2" t="s">
        <v>394</v>
      </c>
      <c r="I39" s="2" t="s">
        <v>384</v>
      </c>
      <c r="J39" s="8">
        <v>41642</v>
      </c>
      <c r="K39" s="2" t="s">
        <v>393</v>
      </c>
    </row>
    <row r="40" spans="1:11" ht="25" x14ac:dyDescent="0.25">
      <c r="A40">
        <v>30</v>
      </c>
      <c r="B40" s="78" t="s">
        <v>395</v>
      </c>
      <c r="F40" s="2" t="s">
        <v>377</v>
      </c>
      <c r="G40" s="8">
        <v>41647</v>
      </c>
      <c r="H40" s="2" t="s">
        <v>396</v>
      </c>
      <c r="I40" s="2" t="s">
        <v>384</v>
      </c>
      <c r="J40" s="8">
        <v>41647</v>
      </c>
      <c r="K40" s="2" t="s">
        <v>397</v>
      </c>
    </row>
    <row r="41" spans="1:11" ht="37.5" x14ac:dyDescent="0.25">
      <c r="A41">
        <v>31</v>
      </c>
      <c r="B41" s="117" t="s">
        <v>398</v>
      </c>
      <c r="F41" s="2" t="s">
        <v>384</v>
      </c>
      <c r="G41" s="8">
        <v>41648</v>
      </c>
      <c r="H41" s="2" t="s">
        <v>399</v>
      </c>
    </row>
    <row r="42" spans="1:11" s="122" customFormat="1" ht="165" x14ac:dyDescent="0.3">
      <c r="A42" s="121" t="s">
        <v>408</v>
      </c>
      <c r="B42" s="123" t="s">
        <v>409</v>
      </c>
      <c r="F42" s="121" t="s">
        <v>410</v>
      </c>
      <c r="G42" s="124">
        <v>42635</v>
      </c>
      <c r="H42" s="125" t="s">
        <v>427</v>
      </c>
      <c r="I42" s="145" t="s">
        <v>431</v>
      </c>
      <c r="J42" s="146">
        <v>42640</v>
      </c>
      <c r="K42" s="144" t="s">
        <v>433</v>
      </c>
    </row>
    <row r="43" spans="1:11" ht="366" x14ac:dyDescent="0.25">
      <c r="A43" t="s">
        <v>473</v>
      </c>
      <c r="B43" s="78" t="s">
        <v>474</v>
      </c>
      <c r="F43" s="2" t="s">
        <v>410</v>
      </c>
      <c r="G43" s="267">
        <v>42656</v>
      </c>
      <c r="H43" s="96" t="s">
        <v>475</v>
      </c>
    </row>
    <row r="44" spans="1:11" ht="89" x14ac:dyDescent="0.25">
      <c r="A44" t="s">
        <v>487</v>
      </c>
      <c r="B44" s="78" t="s">
        <v>488</v>
      </c>
      <c r="F44" s="2" t="s">
        <v>489</v>
      </c>
      <c r="G44" s="8">
        <v>42661</v>
      </c>
      <c r="H44" s="96" t="s">
        <v>490</v>
      </c>
    </row>
    <row r="45" spans="1:11" ht="25" x14ac:dyDescent="0.25">
      <c r="B45" s="78"/>
      <c r="F45" s="2"/>
      <c r="G45" s="8"/>
      <c r="H45" s="2" t="s">
        <v>496</v>
      </c>
    </row>
    <row r="46" spans="1:11" ht="25" x14ac:dyDescent="0.25">
      <c r="B46" s="78"/>
      <c r="F46" s="2"/>
      <c r="G46" s="8"/>
      <c r="H46" s="2" t="s">
        <v>497</v>
      </c>
    </row>
    <row r="47" spans="1:11" x14ac:dyDescent="0.25">
      <c r="B47" s="78"/>
      <c r="F47" s="2"/>
      <c r="G47" s="8"/>
      <c r="H47" s="2" t="s">
        <v>498</v>
      </c>
    </row>
    <row r="48" spans="1:11" ht="25" x14ac:dyDescent="0.25">
      <c r="B48" s="78"/>
      <c r="F48" s="2"/>
      <c r="G48" s="8"/>
      <c r="H48" s="2" t="s">
        <v>499</v>
      </c>
    </row>
    <row r="49" spans="1:11" ht="37.5" x14ac:dyDescent="0.25">
      <c r="B49" s="78"/>
      <c r="F49" s="2"/>
      <c r="G49" s="8"/>
      <c r="H49" s="2" t="s">
        <v>500</v>
      </c>
    </row>
    <row r="50" spans="1:11" ht="25" x14ac:dyDescent="0.25">
      <c r="B50" s="78"/>
      <c r="F50" s="2"/>
      <c r="G50" s="8"/>
      <c r="H50" s="2" t="s">
        <v>501</v>
      </c>
    </row>
    <row r="51" spans="1:11" ht="215" x14ac:dyDescent="0.25">
      <c r="A51" s="29" t="s">
        <v>491</v>
      </c>
      <c r="B51" s="78" t="s">
        <v>492</v>
      </c>
      <c r="F51" s="2" t="s">
        <v>410</v>
      </c>
      <c r="G51" s="8">
        <v>42662</v>
      </c>
      <c r="H51" s="96" t="s">
        <v>495</v>
      </c>
    </row>
    <row r="52" spans="1:11" ht="377.5" x14ac:dyDescent="0.25">
      <c r="A52" s="29" t="s">
        <v>505</v>
      </c>
      <c r="B52" s="78" t="s">
        <v>506</v>
      </c>
      <c r="F52" s="29" t="s">
        <v>410</v>
      </c>
      <c r="G52" s="8">
        <v>42664</v>
      </c>
      <c r="H52" s="96" t="s">
        <v>510</v>
      </c>
      <c r="I52" t="s">
        <v>431</v>
      </c>
      <c r="J52" s="8">
        <v>42678</v>
      </c>
      <c r="K52" s="294" t="s">
        <v>517</v>
      </c>
    </row>
    <row r="53" spans="1:11" ht="177.5" x14ac:dyDescent="0.25">
      <c r="A53" t="s">
        <v>511</v>
      </c>
      <c r="B53" s="78" t="s">
        <v>512</v>
      </c>
      <c r="F53" t="s">
        <v>410</v>
      </c>
      <c r="G53" s="8">
        <v>42671</v>
      </c>
      <c r="H53" s="96" t="s">
        <v>518</v>
      </c>
      <c r="K53" s="294" t="s">
        <v>519</v>
      </c>
    </row>
    <row r="54" spans="1:11" ht="37.5" x14ac:dyDescent="0.25">
      <c r="K54" s="94" t="s">
        <v>520</v>
      </c>
    </row>
    <row r="55" spans="1:11" ht="409.5" x14ac:dyDescent="0.3">
      <c r="A55" t="s">
        <v>527</v>
      </c>
      <c r="B55" s="78" t="s">
        <v>528</v>
      </c>
      <c r="F55" s="2" t="s">
        <v>410</v>
      </c>
      <c r="G55" s="8">
        <v>42683</v>
      </c>
      <c r="H55" s="294" t="s">
        <v>535</v>
      </c>
      <c r="I55" t="s">
        <v>556</v>
      </c>
      <c r="J55" s="8">
        <v>42695</v>
      </c>
      <c r="K55" s="94" t="s">
        <v>557</v>
      </c>
    </row>
    <row r="56" spans="1:11" ht="140" x14ac:dyDescent="0.25">
      <c r="A56" t="s">
        <v>540</v>
      </c>
      <c r="B56" s="78" t="s">
        <v>541</v>
      </c>
      <c r="F56" t="s">
        <v>410</v>
      </c>
      <c r="G56" s="8">
        <v>42690</v>
      </c>
      <c r="H56" s="96" t="s">
        <v>544</v>
      </c>
      <c r="I56" t="s">
        <v>556</v>
      </c>
      <c r="J56" s="8">
        <v>42695</v>
      </c>
      <c r="K56" s="94" t="s">
        <v>557</v>
      </c>
    </row>
    <row r="57" spans="1:11" ht="252.5" x14ac:dyDescent="0.25">
      <c r="A57" t="s">
        <v>545</v>
      </c>
      <c r="B57" s="78" t="s">
        <v>546</v>
      </c>
      <c r="F57" t="s">
        <v>410</v>
      </c>
      <c r="G57" s="8">
        <v>42695</v>
      </c>
      <c r="H57" s="96" t="s">
        <v>558</v>
      </c>
      <c r="I57" t="s">
        <v>556</v>
      </c>
      <c r="J57" s="8">
        <v>42696</v>
      </c>
      <c r="K57" s="94" t="s">
        <v>557</v>
      </c>
    </row>
    <row r="58" spans="1:11" ht="100.5" x14ac:dyDescent="0.25">
      <c r="A58" s="29" t="s">
        <v>560</v>
      </c>
      <c r="B58" s="78" t="s">
        <v>561</v>
      </c>
      <c r="F58" s="29" t="s">
        <v>410</v>
      </c>
      <c r="G58" s="8">
        <v>42703</v>
      </c>
      <c r="H58" s="96" t="s">
        <v>562</v>
      </c>
    </row>
    <row r="59" spans="1:11" ht="340.5" x14ac:dyDescent="0.25">
      <c r="A59" s="29" t="s">
        <v>566</v>
      </c>
      <c r="B59" s="78" t="s">
        <v>567</v>
      </c>
      <c r="F59" s="29" t="s">
        <v>410</v>
      </c>
      <c r="G59" s="8">
        <v>42706</v>
      </c>
      <c r="H59" s="96" t="s">
        <v>586</v>
      </c>
    </row>
    <row r="60" spans="1:11" ht="25.5" x14ac:dyDescent="0.3">
      <c r="H60" s="96" t="s">
        <v>572</v>
      </c>
      <c r="I60" t="s">
        <v>556</v>
      </c>
      <c r="J60" s="8">
        <v>42710</v>
      </c>
      <c r="K60" s="94" t="s">
        <v>592</v>
      </c>
    </row>
    <row r="61" spans="1:11" ht="25" x14ac:dyDescent="0.25">
      <c r="H61" s="117" t="s">
        <v>573</v>
      </c>
    </row>
    <row r="62" spans="1:11" ht="253.5" x14ac:dyDescent="0.25">
      <c r="A62" s="29" t="s">
        <v>593</v>
      </c>
      <c r="B62" s="78" t="s">
        <v>594</v>
      </c>
      <c r="F62" s="29" t="s">
        <v>410</v>
      </c>
      <c r="G62" s="8">
        <v>42710</v>
      </c>
      <c r="H62" s="326" t="s">
        <v>605</v>
      </c>
    </row>
    <row r="63" spans="1:11" ht="50.5" x14ac:dyDescent="0.25">
      <c r="A63" s="29" t="s">
        <v>618</v>
      </c>
      <c r="B63" s="78" t="s">
        <v>619</v>
      </c>
      <c r="F63" s="29" t="s">
        <v>410</v>
      </c>
      <c r="G63" s="8">
        <v>42719</v>
      </c>
      <c r="H63" s="96" t="s">
        <v>620</v>
      </c>
      <c r="I63" s="29" t="s">
        <v>556</v>
      </c>
      <c r="J63" s="8">
        <v>42720</v>
      </c>
      <c r="K63" s="29" t="s">
        <v>624</v>
      </c>
    </row>
    <row r="64" spans="1:11" ht="89.5" x14ac:dyDescent="0.25">
      <c r="A64" s="29" t="s">
        <v>625</v>
      </c>
      <c r="B64" s="78" t="s">
        <v>626</v>
      </c>
      <c r="F64" s="29" t="s">
        <v>489</v>
      </c>
      <c r="G64" s="8">
        <v>42720</v>
      </c>
      <c r="H64" s="294" t="s">
        <v>627</v>
      </c>
    </row>
    <row r="65" spans="1:11" ht="37.5" x14ac:dyDescent="0.25">
      <c r="F65" s="29" t="s">
        <v>489</v>
      </c>
      <c r="G65" s="8">
        <v>42725</v>
      </c>
      <c r="H65" s="294" t="s">
        <v>629</v>
      </c>
      <c r="I65" s="29" t="s">
        <v>410</v>
      </c>
      <c r="J65" s="8">
        <v>42725</v>
      </c>
      <c r="K65" s="29" t="s">
        <v>630</v>
      </c>
    </row>
    <row r="66" spans="1:11" ht="38" x14ac:dyDescent="0.25">
      <c r="A66" s="29" t="s">
        <v>631</v>
      </c>
      <c r="B66" s="78" t="s">
        <v>632</v>
      </c>
      <c r="F66" s="29" t="s">
        <v>410</v>
      </c>
      <c r="G66" s="8">
        <v>42738</v>
      </c>
      <c r="H66" s="96" t="s">
        <v>633</v>
      </c>
      <c r="I66" s="29" t="s">
        <v>556</v>
      </c>
      <c r="J66" s="8">
        <v>42740</v>
      </c>
      <c r="K66" s="294" t="s">
        <v>634</v>
      </c>
    </row>
    <row r="67" spans="1:11" ht="178.5" x14ac:dyDescent="0.25">
      <c r="A67" s="29" t="s">
        <v>642</v>
      </c>
      <c r="B67" s="78" t="s">
        <v>643</v>
      </c>
      <c r="F67" s="29" t="s">
        <v>410</v>
      </c>
      <c r="G67" s="8">
        <v>42747</v>
      </c>
      <c r="H67" s="96" t="s">
        <v>652</v>
      </c>
      <c r="I67" s="29" t="s">
        <v>556</v>
      </c>
      <c r="J67" s="8">
        <v>42748</v>
      </c>
      <c r="K67" s="29" t="s">
        <v>653</v>
      </c>
    </row>
    <row r="68" spans="1:11" x14ac:dyDescent="0.25">
      <c r="E68" t="s">
        <v>664</v>
      </c>
      <c r="F68" s="29" t="s">
        <v>556</v>
      </c>
      <c r="G68" s="8">
        <v>42767</v>
      </c>
      <c r="H68" s="294" t="s">
        <v>655</v>
      </c>
      <c r="I68" s="29" t="s">
        <v>660</v>
      </c>
      <c r="J68" s="8">
        <v>42769</v>
      </c>
      <c r="K68" s="29" t="s">
        <v>661</v>
      </c>
    </row>
    <row r="69" spans="1:11" ht="37.5" x14ac:dyDescent="0.25">
      <c r="H69" s="294" t="s">
        <v>656</v>
      </c>
      <c r="K69" s="294" t="s">
        <v>663</v>
      </c>
    </row>
    <row r="70" spans="1:11" ht="25" x14ac:dyDescent="0.25">
      <c r="H70" s="294" t="s">
        <v>657</v>
      </c>
      <c r="K70" s="29" t="s">
        <v>662</v>
      </c>
    </row>
    <row r="71" spans="1:11" ht="25" x14ac:dyDescent="0.25">
      <c r="A71" t="s">
        <v>664</v>
      </c>
      <c r="F71" t="s">
        <v>556</v>
      </c>
      <c r="G71" s="8">
        <v>42782</v>
      </c>
      <c r="H71" s="294" t="s">
        <v>665</v>
      </c>
      <c r="I71" s="29" t="s">
        <v>410</v>
      </c>
      <c r="J71" s="8">
        <v>42790</v>
      </c>
      <c r="K71" s="29" t="s">
        <v>661</v>
      </c>
    </row>
    <row r="72" spans="1:11" ht="50" x14ac:dyDescent="0.25">
      <c r="A72" t="s">
        <v>664</v>
      </c>
      <c r="F72" t="s">
        <v>556</v>
      </c>
      <c r="G72" s="8">
        <v>42782</v>
      </c>
      <c r="H72" s="294" t="s">
        <v>668</v>
      </c>
      <c r="K72" s="29" t="s">
        <v>678</v>
      </c>
    </row>
    <row r="73" spans="1:11" ht="25.5" x14ac:dyDescent="0.3">
      <c r="A73" t="s">
        <v>664</v>
      </c>
      <c r="F73" t="s">
        <v>556</v>
      </c>
      <c r="G73" s="8">
        <v>42782</v>
      </c>
      <c r="H73" s="294" t="s">
        <v>667</v>
      </c>
      <c r="K73" s="294" t="s">
        <v>677</v>
      </c>
    </row>
    <row r="74" spans="1:11" ht="25" x14ac:dyDescent="0.25">
      <c r="A74" t="s">
        <v>664</v>
      </c>
      <c r="F74" t="s">
        <v>556</v>
      </c>
      <c r="G74" s="8">
        <v>42782</v>
      </c>
      <c r="H74" s="294" t="s">
        <v>666</v>
      </c>
      <c r="K74" s="29" t="s">
        <v>661</v>
      </c>
    </row>
    <row r="75" spans="1:11" ht="62.5" x14ac:dyDescent="0.25">
      <c r="A75" s="29" t="s">
        <v>670</v>
      </c>
      <c r="F75" s="29" t="s">
        <v>556</v>
      </c>
      <c r="G75" s="8">
        <v>42790</v>
      </c>
      <c r="H75" s="294" t="s">
        <v>671</v>
      </c>
      <c r="I75" s="29" t="s">
        <v>410</v>
      </c>
      <c r="J75" s="8">
        <v>42790</v>
      </c>
      <c r="K75" s="29" t="s">
        <v>672</v>
      </c>
    </row>
    <row r="76" spans="1:11" ht="63.5" x14ac:dyDescent="0.25">
      <c r="A76" s="29" t="s">
        <v>680</v>
      </c>
      <c r="F76" s="29" t="s">
        <v>410</v>
      </c>
      <c r="G76" s="8">
        <v>42794</v>
      </c>
      <c r="H76" s="294" t="s">
        <v>681</v>
      </c>
    </row>
    <row r="77" spans="1:11" ht="75.5" x14ac:dyDescent="0.25">
      <c r="A77" s="29" t="s">
        <v>695</v>
      </c>
      <c r="F77" s="29" t="s">
        <v>410</v>
      </c>
      <c r="G77" s="8">
        <v>42801</v>
      </c>
      <c r="H77" s="96" t="s">
        <v>696</v>
      </c>
      <c r="I77" t="s">
        <v>697</v>
      </c>
      <c r="J77" s="8">
        <v>42801</v>
      </c>
      <c r="K77" t="s">
        <v>698</v>
      </c>
    </row>
    <row r="78" spans="1:11" x14ac:dyDescent="0.25">
      <c r="F78" s="29" t="s">
        <v>709</v>
      </c>
      <c r="G78" s="8">
        <v>42808</v>
      </c>
      <c r="H78" s="411" t="s">
        <v>699</v>
      </c>
      <c r="I78" t="s">
        <v>410</v>
      </c>
      <c r="J78" s="8">
        <v>42817</v>
      </c>
      <c r="K78" t="s">
        <v>661</v>
      </c>
    </row>
    <row r="80" spans="1:11" x14ac:dyDescent="0.25">
      <c r="H80" s="411" t="s">
        <v>700</v>
      </c>
      <c r="K80" t="s">
        <v>661</v>
      </c>
    </row>
    <row r="81" spans="1:11" x14ac:dyDescent="0.25">
      <c r="H81" s="411" t="s">
        <v>701</v>
      </c>
      <c r="K81" t="s">
        <v>661</v>
      </c>
    </row>
    <row r="82" spans="1:11" x14ac:dyDescent="0.25">
      <c r="H82" s="411" t="s">
        <v>702</v>
      </c>
      <c r="K82" t="s">
        <v>661</v>
      </c>
    </row>
    <row r="83" spans="1:11" x14ac:dyDescent="0.25">
      <c r="H83" s="411" t="s">
        <v>703</v>
      </c>
      <c r="K83" t="s">
        <v>661</v>
      </c>
    </row>
    <row r="84" spans="1:11" x14ac:dyDescent="0.25">
      <c r="H84" s="411" t="s">
        <v>704</v>
      </c>
      <c r="K84" t="s">
        <v>661</v>
      </c>
    </row>
    <row r="85" spans="1:11" x14ac:dyDescent="0.25">
      <c r="H85" s="411" t="s">
        <v>705</v>
      </c>
      <c r="K85" t="s">
        <v>661</v>
      </c>
    </row>
    <row r="86" spans="1:11" x14ac:dyDescent="0.25">
      <c r="H86" s="411" t="s">
        <v>706</v>
      </c>
      <c r="K86" t="s">
        <v>661</v>
      </c>
    </row>
    <row r="87" spans="1:11" x14ac:dyDescent="0.25">
      <c r="H87" s="411" t="s">
        <v>707</v>
      </c>
      <c r="K87" t="s">
        <v>661</v>
      </c>
    </row>
    <row r="88" spans="1:11" x14ac:dyDescent="0.25">
      <c r="H88" s="411" t="s">
        <v>708</v>
      </c>
      <c r="K88" t="s">
        <v>661</v>
      </c>
    </row>
    <row r="89" spans="1:11" ht="50" x14ac:dyDescent="0.25">
      <c r="F89" s="29" t="s">
        <v>489</v>
      </c>
      <c r="G89" s="8">
        <v>42815</v>
      </c>
      <c r="H89" s="294" t="s">
        <v>711</v>
      </c>
      <c r="K89" t="s">
        <v>661</v>
      </c>
    </row>
    <row r="90" spans="1:11" ht="25" x14ac:dyDescent="0.25">
      <c r="A90" s="29" t="s">
        <v>721</v>
      </c>
      <c r="F90" t="s">
        <v>489</v>
      </c>
      <c r="G90" s="8">
        <v>42831</v>
      </c>
      <c r="H90" s="294" t="s">
        <v>718</v>
      </c>
      <c r="K90" s="294" t="s">
        <v>725</v>
      </c>
    </row>
    <row r="91" spans="1:11" ht="25" x14ac:dyDescent="0.25">
      <c r="F91" t="s">
        <v>489</v>
      </c>
      <c r="G91" s="8">
        <v>42831</v>
      </c>
      <c r="H91" s="294" t="s">
        <v>719</v>
      </c>
      <c r="K91" s="294" t="s">
        <v>724</v>
      </c>
    </row>
    <row r="92" spans="1:11" ht="25" x14ac:dyDescent="0.25">
      <c r="F92" t="s">
        <v>489</v>
      </c>
      <c r="G92" s="8">
        <v>42832</v>
      </c>
      <c r="H92" s="294" t="s">
        <v>720</v>
      </c>
      <c r="K92" s="29" t="s">
        <v>661</v>
      </c>
    </row>
    <row r="93" spans="1:11" x14ac:dyDescent="0.25">
      <c r="A93" s="29" t="s">
        <v>722</v>
      </c>
      <c r="F93" s="29" t="s">
        <v>410</v>
      </c>
      <c r="G93" s="8">
        <v>42849</v>
      </c>
      <c r="H93" s="294" t="s">
        <v>723</v>
      </c>
      <c r="K93" s="29" t="s">
        <v>726</v>
      </c>
    </row>
    <row r="94" spans="1:11" ht="25" x14ac:dyDescent="0.25">
      <c r="A94" s="29" t="s">
        <v>728</v>
      </c>
      <c r="F94" s="29" t="s">
        <v>489</v>
      </c>
      <c r="G94" s="8">
        <v>42849</v>
      </c>
      <c r="H94" s="294" t="s">
        <v>727</v>
      </c>
      <c r="I94" s="29" t="s">
        <v>410</v>
      </c>
      <c r="J94" s="8">
        <v>42853</v>
      </c>
      <c r="K94" s="29" t="s">
        <v>661</v>
      </c>
    </row>
    <row r="95" spans="1:11" ht="37.5" x14ac:dyDescent="0.25">
      <c r="A95" s="29" t="s">
        <v>731</v>
      </c>
      <c r="F95" s="29" t="s">
        <v>489</v>
      </c>
      <c r="G95" s="8">
        <v>42850</v>
      </c>
      <c r="H95" s="94" t="s">
        <v>730</v>
      </c>
      <c r="K95" s="294" t="s">
        <v>770</v>
      </c>
    </row>
    <row r="96" spans="1:11" ht="50" x14ac:dyDescent="0.25">
      <c r="F96" s="29" t="s">
        <v>489</v>
      </c>
      <c r="G96" s="8">
        <v>42851</v>
      </c>
      <c r="H96" s="294" t="s">
        <v>747</v>
      </c>
      <c r="K96" s="29" t="s">
        <v>661</v>
      </c>
    </row>
    <row r="97" spans="1:11" ht="50" x14ac:dyDescent="0.25">
      <c r="F97" s="29" t="s">
        <v>489</v>
      </c>
      <c r="G97" s="8">
        <v>42851</v>
      </c>
      <c r="H97" s="294" t="s">
        <v>771</v>
      </c>
      <c r="K97" s="29" t="s">
        <v>661</v>
      </c>
    </row>
    <row r="98" spans="1:11" ht="25" x14ac:dyDescent="0.25">
      <c r="F98" s="29" t="s">
        <v>489</v>
      </c>
      <c r="G98" s="8">
        <v>42851</v>
      </c>
      <c r="H98" s="294" t="s">
        <v>748</v>
      </c>
      <c r="K98" s="29" t="s">
        <v>773</v>
      </c>
    </row>
    <row r="99" spans="1:11" ht="25" x14ac:dyDescent="0.25">
      <c r="F99" s="29" t="s">
        <v>489</v>
      </c>
      <c r="G99" s="8">
        <v>42851</v>
      </c>
      <c r="H99" s="294" t="s">
        <v>750</v>
      </c>
      <c r="K99" s="29" t="s">
        <v>661</v>
      </c>
    </row>
    <row r="100" spans="1:11" ht="25" x14ac:dyDescent="0.25">
      <c r="F100" s="29" t="s">
        <v>489</v>
      </c>
      <c r="G100" s="8">
        <v>42851</v>
      </c>
      <c r="H100" s="294" t="s">
        <v>769</v>
      </c>
      <c r="K100" s="294" t="s">
        <v>772</v>
      </c>
    </row>
    <row r="101" spans="1:11" x14ac:dyDescent="0.25">
      <c r="F101" s="29" t="s">
        <v>489</v>
      </c>
      <c r="G101" s="8">
        <v>43049</v>
      </c>
      <c r="H101" s="294" t="s">
        <v>792</v>
      </c>
    </row>
    <row r="103" spans="1:11" x14ac:dyDescent="0.25">
      <c r="F103" s="29" t="s">
        <v>796</v>
      </c>
      <c r="G103" s="8">
        <v>43420</v>
      </c>
      <c r="H103" s="294" t="s">
        <v>797</v>
      </c>
    </row>
    <row r="105" spans="1:11" ht="37.5" x14ac:dyDescent="0.25">
      <c r="A105" t="s">
        <v>798</v>
      </c>
      <c r="B105" s="94" t="s">
        <v>799</v>
      </c>
      <c r="F105" t="s">
        <v>800</v>
      </c>
      <c r="G105" s="8">
        <v>43473</v>
      </c>
      <c r="H105" s="294" t="s">
        <v>801</v>
      </c>
    </row>
    <row r="106" spans="1:11" ht="50" x14ac:dyDescent="0.25">
      <c r="F106" t="s">
        <v>489</v>
      </c>
      <c r="G106" s="8">
        <v>43544</v>
      </c>
      <c r="H106" s="294" t="s">
        <v>813</v>
      </c>
      <c r="I106" t="s">
        <v>808</v>
      </c>
      <c r="J106" s="8">
        <v>43544</v>
      </c>
      <c r="K106" t="s">
        <v>814</v>
      </c>
    </row>
    <row r="109" spans="1:11" ht="25" x14ac:dyDescent="0.25">
      <c r="B109" t="s">
        <v>815</v>
      </c>
      <c r="F109" t="s">
        <v>817</v>
      </c>
      <c r="G109" s="8">
        <v>43606</v>
      </c>
      <c r="H109" s="94" t="s">
        <v>816</v>
      </c>
      <c r="I109" t="s">
        <v>818</v>
      </c>
      <c r="J109" s="8">
        <v>43607</v>
      </c>
      <c r="K109" t="s">
        <v>819</v>
      </c>
    </row>
    <row r="110" spans="1:11" ht="51.5" x14ac:dyDescent="0.3">
      <c r="A110" t="s">
        <v>824</v>
      </c>
      <c r="B110" s="78" t="s">
        <v>825</v>
      </c>
      <c r="F110" t="s">
        <v>822</v>
      </c>
      <c r="G110" s="8">
        <v>44127</v>
      </c>
      <c r="H110" s="94" t="s">
        <v>823</v>
      </c>
      <c r="I110" s="29" t="s">
        <v>829</v>
      </c>
      <c r="J110" s="8">
        <v>44163</v>
      </c>
      <c r="K110" s="294" t="s">
        <v>831</v>
      </c>
    </row>
  </sheetData>
  <phoneticPr fontId="2" type="noConversion"/>
  <hyperlinks>
    <hyperlink ref="B13" r:id="rId1"/>
    <hyperlink ref="B14" r:id="rId2"/>
    <hyperlink ref="B24" r:id="rId3"/>
    <hyperlink ref="B25" r:id="rId4"/>
    <hyperlink ref="B35" r:id="rId5"/>
    <hyperlink ref="B37" r:id="rId6"/>
    <hyperlink ref="B39" r:id="rId7"/>
    <hyperlink ref="B40" r:id="rId8"/>
    <hyperlink ref="B42" r:id="rId9"/>
    <hyperlink ref="B43" r:id="rId10"/>
    <hyperlink ref="B44" r:id="rId11"/>
    <hyperlink ref="B51" r:id="rId12"/>
    <hyperlink ref="B52" r:id="rId13"/>
    <hyperlink ref="B53" r:id="rId14"/>
    <hyperlink ref="B55" r:id="rId15"/>
    <hyperlink ref="B56" r:id="rId16"/>
    <hyperlink ref="B57" r:id="rId17"/>
    <hyperlink ref="B58" r:id="rId18"/>
    <hyperlink ref="B59" r:id="rId19"/>
    <hyperlink ref="H61" r:id="rId20"/>
    <hyperlink ref="B62" r:id="rId21"/>
    <hyperlink ref="B63" r:id="rId22"/>
    <hyperlink ref="B64" r:id="rId23"/>
    <hyperlink ref="B66" r:id="rId24"/>
    <hyperlink ref="B67" r:id="rId25"/>
    <hyperlink ref="B110" r:id="rId26"/>
  </hyperlinks>
  <pageMargins left="0.74803149606299213" right="0.74803149606299213" top="0.98425196850393704" bottom="0.98425196850393704" header="0.51181102362204722" footer="0.51181102362204722"/>
  <pageSetup paperSize="9" scale="58" fitToWidth="2" orientation="landscape" r:id="rId27"/>
  <headerFooter alignWithMargins="0">
    <oddHeader>&amp;L&amp;Z&amp;F  [&amp;A]</oddHeader>
    <oddFooter>&amp;LPage &amp;P of &amp;N&amp;R&amp;T &amp;D</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V237"/>
  <sheetViews>
    <sheetView windowProtection="1" showGridLines="0" tabSelected="1" zoomScale="70" zoomScaleNormal="70" workbookViewId="0">
      <selection activeCell="J54" sqref="J54"/>
    </sheetView>
  </sheetViews>
  <sheetFormatPr defaultColWidth="9.1796875" defaultRowHeight="12.5" x14ac:dyDescent="0.25"/>
  <cols>
    <col min="1" max="1" width="6.54296875" style="421" customWidth="1"/>
    <col min="2" max="2" width="1.453125" style="421" customWidth="1"/>
    <col min="3" max="3" width="14.54296875" style="109" customWidth="1"/>
    <col min="4" max="4" width="12.1796875" style="109" customWidth="1"/>
    <col min="5" max="5" width="13.453125" style="109" customWidth="1"/>
    <col min="6" max="7" width="10.1796875" style="109" bestFit="1" customWidth="1"/>
    <col min="8" max="8" width="13.1796875" style="109" customWidth="1"/>
    <col min="9" max="14" width="15" style="109" customWidth="1"/>
    <col min="15" max="15" width="10.1796875" style="109" bestFit="1" customWidth="1"/>
    <col min="16" max="22" width="9.1796875" style="421"/>
    <col min="23" max="16384" width="9.1796875" style="109"/>
  </cols>
  <sheetData>
    <row r="1" spans="2:15" s="421" customFormat="1" x14ac:dyDescent="0.25">
      <c r="B1" s="507"/>
      <c r="C1" s="434"/>
      <c r="D1" s="434"/>
      <c r="E1" s="434"/>
      <c r="F1" s="434"/>
      <c r="G1" s="434"/>
      <c r="H1" s="434"/>
      <c r="I1" s="434"/>
      <c r="J1" s="434"/>
      <c r="K1" s="434"/>
      <c r="L1" s="434"/>
      <c r="M1" s="434"/>
      <c r="N1" s="434"/>
      <c r="O1" s="508"/>
    </row>
    <row r="2" spans="2:15" x14ac:dyDescent="0.25">
      <c r="B2" s="509"/>
      <c r="C2" s="416"/>
      <c r="D2" s="417"/>
      <c r="E2" s="417"/>
      <c r="F2" s="417"/>
      <c r="G2" s="417"/>
      <c r="H2" s="417"/>
      <c r="I2" s="417"/>
      <c r="J2" s="417"/>
      <c r="K2" s="417"/>
      <c r="L2" s="417"/>
      <c r="M2" s="417"/>
      <c r="N2" s="417"/>
      <c r="O2" s="418"/>
    </row>
    <row r="3" spans="2:15" x14ac:dyDescent="0.25">
      <c r="B3" s="509"/>
      <c r="C3" s="419"/>
      <c r="D3" s="316"/>
      <c r="E3" s="316"/>
      <c r="F3" s="316"/>
      <c r="G3" s="316"/>
      <c r="H3" s="316"/>
      <c r="I3" s="316"/>
      <c r="J3" s="316"/>
      <c r="K3" s="316"/>
      <c r="L3" s="316"/>
      <c r="M3" s="316"/>
      <c r="N3" s="316"/>
      <c r="O3" s="420"/>
    </row>
    <row r="4" spans="2:15" x14ac:dyDescent="0.25">
      <c r="B4" s="509"/>
      <c r="C4" s="419"/>
      <c r="D4" s="316"/>
      <c r="E4" s="316"/>
      <c r="F4" s="316"/>
      <c r="G4" s="316"/>
      <c r="H4" s="316"/>
      <c r="I4" s="316"/>
      <c r="J4" s="316"/>
      <c r="K4" s="316"/>
      <c r="L4" s="316"/>
      <c r="M4" s="316"/>
      <c r="N4" s="316"/>
      <c r="O4" s="420"/>
    </row>
    <row r="5" spans="2:15" x14ac:dyDescent="0.25">
      <c r="B5" s="509"/>
      <c r="C5" s="419"/>
      <c r="D5" s="316"/>
      <c r="E5" s="316"/>
      <c r="F5" s="316"/>
      <c r="G5" s="316"/>
      <c r="H5" s="316"/>
      <c r="I5" s="316"/>
      <c r="J5" s="316"/>
      <c r="K5" s="316"/>
      <c r="L5" s="316"/>
      <c r="M5" s="316"/>
      <c r="N5" s="316"/>
      <c r="O5" s="420"/>
    </row>
    <row r="6" spans="2:15" x14ac:dyDescent="0.25">
      <c r="B6" s="509"/>
      <c r="C6" s="419"/>
      <c r="D6" s="316"/>
      <c r="E6" s="316"/>
      <c r="F6" s="316"/>
      <c r="G6" s="316"/>
      <c r="H6" s="316"/>
      <c r="I6" s="316"/>
      <c r="J6" s="316"/>
      <c r="K6" s="316"/>
      <c r="L6" s="316"/>
      <c r="M6" s="316"/>
      <c r="N6" s="316"/>
      <c r="O6" s="420"/>
    </row>
    <row r="7" spans="2:15" x14ac:dyDescent="0.25">
      <c r="B7" s="509"/>
      <c r="C7" s="419"/>
      <c r="D7" s="316"/>
      <c r="E7" s="316"/>
      <c r="F7" s="316"/>
      <c r="G7" s="316"/>
      <c r="H7" s="316"/>
      <c r="I7" s="316"/>
      <c r="J7" s="316"/>
      <c r="K7" s="316"/>
      <c r="L7" s="316"/>
      <c r="M7" s="316"/>
      <c r="N7" s="316"/>
      <c r="O7" s="420"/>
    </row>
    <row r="8" spans="2:15" x14ac:dyDescent="0.25">
      <c r="B8" s="509"/>
      <c r="C8" s="419"/>
      <c r="D8" s="316"/>
      <c r="E8" s="316"/>
      <c r="F8" s="316"/>
      <c r="G8" s="316"/>
      <c r="H8" s="316"/>
      <c r="I8" s="316"/>
      <c r="J8" s="316"/>
      <c r="K8" s="316"/>
      <c r="L8" s="316"/>
      <c r="M8" s="316"/>
      <c r="N8" s="316"/>
      <c r="O8" s="420"/>
    </row>
    <row r="9" spans="2:15" x14ac:dyDescent="0.25">
      <c r="B9" s="509"/>
      <c r="C9" s="419"/>
      <c r="D9" s="316"/>
      <c r="E9" s="316"/>
      <c r="F9" s="316"/>
      <c r="G9" s="316"/>
      <c r="H9" s="316"/>
      <c r="I9" s="316"/>
      <c r="J9" s="316"/>
      <c r="K9" s="316"/>
      <c r="L9" s="316"/>
      <c r="M9" s="316"/>
      <c r="N9" s="316"/>
      <c r="O9" s="420"/>
    </row>
    <row r="10" spans="2:15" x14ac:dyDescent="0.25">
      <c r="B10" s="509"/>
      <c r="C10" s="419"/>
      <c r="D10" s="316"/>
      <c r="E10" s="316"/>
      <c r="F10" s="316"/>
      <c r="G10" s="316"/>
      <c r="H10" s="316"/>
      <c r="I10" s="316"/>
      <c r="J10" s="316"/>
      <c r="K10" s="316"/>
      <c r="L10" s="316"/>
      <c r="M10" s="316"/>
      <c r="N10" s="316"/>
      <c r="O10" s="420"/>
    </row>
    <row r="11" spans="2:15" x14ac:dyDescent="0.25">
      <c r="B11" s="509"/>
      <c r="C11" s="419"/>
      <c r="D11" s="316"/>
      <c r="E11" s="316"/>
      <c r="F11" s="316"/>
      <c r="G11" s="316"/>
      <c r="H11" s="316"/>
      <c r="I11" s="316"/>
      <c r="J11" s="316"/>
      <c r="K11" s="316"/>
      <c r="L11" s="316"/>
      <c r="M11" s="316"/>
      <c r="N11" s="316"/>
      <c r="O11" s="420"/>
    </row>
    <row r="12" spans="2:15" x14ac:dyDescent="0.25">
      <c r="B12" s="509"/>
      <c r="C12" s="419"/>
      <c r="D12" s="316"/>
      <c r="E12" s="316"/>
      <c r="F12" s="316"/>
      <c r="G12" s="316"/>
      <c r="H12" s="316"/>
      <c r="I12" s="316"/>
      <c r="J12" s="316"/>
      <c r="K12" s="316"/>
      <c r="L12" s="316"/>
      <c r="M12" s="316"/>
      <c r="N12" s="316"/>
      <c r="O12" s="420"/>
    </row>
    <row r="13" spans="2:15" x14ac:dyDescent="0.25">
      <c r="B13" s="509"/>
      <c r="C13" s="419"/>
      <c r="D13" s="316"/>
      <c r="E13" s="316"/>
      <c r="F13" s="316"/>
      <c r="G13" s="316"/>
      <c r="H13" s="316"/>
      <c r="I13" s="316"/>
      <c r="J13" s="316"/>
      <c r="K13" s="316"/>
      <c r="L13" s="316"/>
      <c r="M13" s="316"/>
      <c r="N13" s="316"/>
      <c r="O13" s="420"/>
    </row>
    <row r="14" spans="2:15" x14ac:dyDescent="0.25">
      <c r="B14" s="509"/>
      <c r="C14" s="419"/>
      <c r="D14" s="316"/>
      <c r="E14" s="316"/>
      <c r="F14" s="316"/>
      <c r="G14" s="316"/>
      <c r="H14" s="316"/>
      <c r="I14" s="316"/>
      <c r="J14" s="316"/>
      <c r="K14" s="316"/>
      <c r="L14" s="316"/>
      <c r="M14" s="316"/>
      <c r="N14" s="316"/>
      <c r="O14" s="420"/>
    </row>
    <row r="15" spans="2:15" ht="27" customHeight="1" x14ac:dyDescent="0.5">
      <c r="B15" s="507"/>
      <c r="C15" s="569" t="s">
        <v>764</v>
      </c>
      <c r="D15" s="569"/>
      <c r="E15" s="569"/>
      <c r="F15" s="569"/>
      <c r="G15" s="569"/>
      <c r="H15" s="569"/>
      <c r="I15" s="569"/>
      <c r="J15" s="569"/>
      <c r="K15" s="569"/>
      <c r="L15" s="569"/>
      <c r="M15" s="569"/>
      <c r="N15" s="569"/>
      <c r="O15" s="570"/>
    </row>
    <row r="16" spans="2:15" ht="20.25" customHeight="1" x14ac:dyDescent="0.4">
      <c r="B16" s="509"/>
      <c r="C16" s="571" t="s">
        <v>315</v>
      </c>
      <c r="D16" s="571"/>
      <c r="E16" s="571"/>
      <c r="F16" s="571"/>
      <c r="G16" s="571"/>
      <c r="H16" s="571"/>
      <c r="I16" s="571"/>
      <c r="J16" s="571"/>
      <c r="K16" s="571"/>
      <c r="L16" s="571"/>
      <c r="M16" s="571"/>
      <c r="N16" s="571"/>
      <c r="O16" s="572"/>
    </row>
    <row r="17" spans="1:15" ht="15.75" customHeight="1" x14ac:dyDescent="0.25">
      <c r="B17" s="509"/>
      <c r="C17" s="573" t="s">
        <v>559</v>
      </c>
      <c r="D17" s="573"/>
      <c r="E17" s="573"/>
      <c r="F17" s="573"/>
      <c r="G17" s="573"/>
      <c r="H17" s="573"/>
      <c r="I17" s="573"/>
      <c r="J17" s="573"/>
      <c r="K17" s="573"/>
      <c r="L17" s="573"/>
      <c r="M17" s="573"/>
      <c r="N17" s="573"/>
      <c r="O17" s="574"/>
    </row>
    <row r="18" spans="1:15" ht="15" customHeight="1" x14ac:dyDescent="0.25">
      <c r="B18" s="509"/>
      <c r="C18" s="573" t="s">
        <v>327</v>
      </c>
      <c r="D18" s="573"/>
      <c r="E18" s="573"/>
      <c r="F18" s="573"/>
      <c r="G18" s="573"/>
      <c r="H18" s="573"/>
      <c r="I18" s="573"/>
      <c r="J18" s="573"/>
      <c r="K18" s="573"/>
      <c r="L18" s="573"/>
      <c r="M18" s="573"/>
      <c r="N18" s="573"/>
      <c r="O18" s="574"/>
    </row>
    <row r="19" spans="1:15" ht="19.5" customHeight="1" x14ac:dyDescent="0.25">
      <c r="B19" s="509"/>
      <c r="C19" s="573" t="s">
        <v>316</v>
      </c>
      <c r="D19" s="573"/>
      <c r="E19" s="573"/>
      <c r="F19" s="573"/>
      <c r="G19" s="573"/>
      <c r="H19" s="573"/>
      <c r="I19" s="573"/>
      <c r="J19" s="573"/>
      <c r="K19" s="573"/>
      <c r="L19" s="573"/>
      <c r="M19" s="573"/>
      <c r="N19" s="573"/>
      <c r="O19" s="574"/>
    </row>
    <row r="20" spans="1:15" ht="28.5" customHeight="1" x14ac:dyDescent="0.3">
      <c r="B20" s="509"/>
      <c r="C20" s="575" t="s">
        <v>536</v>
      </c>
      <c r="D20" s="575"/>
      <c r="E20" s="575"/>
      <c r="F20" s="575"/>
      <c r="G20" s="575"/>
      <c r="H20" s="575"/>
      <c r="I20" s="575"/>
      <c r="J20" s="575"/>
      <c r="K20" s="575"/>
      <c r="L20" s="575"/>
      <c r="M20" s="575"/>
      <c r="N20" s="575"/>
      <c r="O20" s="576"/>
    </row>
    <row r="21" spans="1:15" ht="94.5" customHeight="1" x14ac:dyDescent="0.25">
      <c r="A21" s="422"/>
      <c r="B21" s="510"/>
      <c r="C21" s="592" t="s">
        <v>832</v>
      </c>
      <c r="D21" s="592"/>
      <c r="E21" s="592"/>
      <c r="F21" s="592"/>
      <c r="G21" s="592"/>
      <c r="H21" s="592"/>
      <c r="I21" s="592"/>
      <c r="J21" s="593"/>
      <c r="K21" s="593"/>
      <c r="L21" s="593"/>
      <c r="M21" s="593"/>
      <c r="N21" s="593"/>
      <c r="O21" s="430"/>
    </row>
    <row r="22" spans="1:15" ht="23" x14ac:dyDescent="0.5">
      <c r="B22" s="507"/>
      <c r="C22" s="517" t="s">
        <v>335</v>
      </c>
      <c r="D22" s="518"/>
      <c r="E22" s="433"/>
      <c r="F22" s="433"/>
      <c r="G22" s="433"/>
      <c r="H22" s="433"/>
      <c r="I22" s="433"/>
      <c r="J22" s="434"/>
      <c r="K22" s="434"/>
      <c r="L22" s="434"/>
      <c r="M22" s="434"/>
      <c r="N22" s="434"/>
      <c r="O22" s="508"/>
    </row>
    <row r="23" spans="1:15" ht="14" x14ac:dyDescent="0.3">
      <c r="B23" s="509"/>
      <c r="C23" s="450" t="s">
        <v>332</v>
      </c>
      <c r="D23" s="435"/>
      <c r="E23" s="435"/>
      <c r="F23" s="435"/>
      <c r="G23" s="435"/>
      <c r="H23" s="435"/>
      <c r="I23" s="435"/>
      <c r="J23" s="423"/>
      <c r="K23" s="423"/>
      <c r="L23" s="423"/>
      <c r="M23" s="423"/>
      <c r="N23" s="423"/>
      <c r="O23" s="430"/>
    </row>
    <row r="24" spans="1:15" ht="13" x14ac:dyDescent="0.3">
      <c r="B24" s="509"/>
      <c r="C24" s="435"/>
      <c r="D24" s="435"/>
      <c r="E24" s="435"/>
      <c r="F24" s="435"/>
      <c r="G24" s="435"/>
      <c r="H24" s="435"/>
      <c r="I24" s="435"/>
      <c r="J24" s="423"/>
      <c r="K24" s="423"/>
      <c r="L24" s="423"/>
      <c r="M24" s="423"/>
      <c r="N24" s="423"/>
      <c r="O24" s="430"/>
    </row>
    <row r="25" spans="1:15" ht="14" x14ac:dyDescent="0.3">
      <c r="B25" s="509"/>
      <c r="C25" s="436" t="s">
        <v>333</v>
      </c>
      <c r="D25" s="436"/>
      <c r="E25" s="436"/>
      <c r="F25" s="436"/>
      <c r="G25" s="436"/>
      <c r="H25" s="436"/>
      <c r="I25" s="437"/>
      <c r="J25" s="470"/>
      <c r="K25" s="437"/>
      <c r="L25" s="438"/>
      <c r="M25" s="423"/>
      <c r="N25" s="423"/>
      <c r="O25" s="430"/>
    </row>
    <row r="26" spans="1:15" ht="14" x14ac:dyDescent="0.3">
      <c r="B26" s="509"/>
      <c r="C26" s="436"/>
      <c r="D26" s="436"/>
      <c r="E26" s="436"/>
      <c r="F26" s="436"/>
      <c r="G26" s="436"/>
      <c r="H26" s="436"/>
      <c r="I26" s="437"/>
      <c r="J26" s="437"/>
      <c r="K26" s="437"/>
      <c r="L26" s="423"/>
      <c r="M26" s="423"/>
      <c r="N26" s="423"/>
      <c r="O26" s="430"/>
    </row>
    <row r="27" spans="1:15" ht="14" x14ac:dyDescent="0.3">
      <c r="B27" s="509"/>
      <c r="C27" s="436" t="s">
        <v>679</v>
      </c>
      <c r="D27" s="436"/>
      <c r="E27" s="436"/>
      <c r="F27" s="436"/>
      <c r="G27" s="436"/>
      <c r="H27" s="436"/>
      <c r="I27" s="437"/>
      <c r="J27" s="589"/>
      <c r="K27" s="590"/>
      <c r="L27" s="423"/>
      <c r="M27" s="423"/>
      <c r="N27" s="423"/>
      <c r="O27" s="430"/>
    </row>
    <row r="28" spans="1:15" ht="14" x14ac:dyDescent="0.3">
      <c r="B28" s="509"/>
      <c r="C28" s="436"/>
      <c r="D28" s="436"/>
      <c r="E28" s="436"/>
      <c r="F28" s="436"/>
      <c r="G28" s="436"/>
      <c r="H28" s="436"/>
      <c r="I28" s="437"/>
      <c r="J28" s="437"/>
      <c r="K28" s="437"/>
      <c r="L28" s="423"/>
      <c r="M28" s="423"/>
      <c r="N28" s="423"/>
      <c r="O28" s="430"/>
    </row>
    <row r="29" spans="1:15" ht="14" x14ac:dyDescent="0.3">
      <c r="B29" s="509"/>
      <c r="C29" s="436" t="s">
        <v>673</v>
      </c>
      <c r="D29" s="436"/>
      <c r="E29" s="436"/>
      <c r="F29" s="436"/>
      <c r="G29" s="436"/>
      <c r="H29" s="436"/>
      <c r="I29" s="437"/>
      <c r="J29" s="549"/>
      <c r="K29" s="437"/>
      <c r="L29" s="478" t="s">
        <v>326</v>
      </c>
      <c r="M29" s="423"/>
      <c r="N29" s="423"/>
      <c r="O29" s="430"/>
    </row>
    <row r="30" spans="1:15" ht="14" x14ac:dyDescent="0.3">
      <c r="B30" s="509"/>
      <c r="C30" s="436"/>
      <c r="D30" s="436"/>
      <c r="E30" s="436"/>
      <c r="F30" s="436"/>
      <c r="G30" s="436"/>
      <c r="H30" s="436"/>
      <c r="I30" s="437"/>
      <c r="J30" s="437"/>
      <c r="K30" s="437"/>
      <c r="L30" s="423"/>
      <c r="M30" s="423"/>
      <c r="N30" s="423"/>
      <c r="O30" s="430"/>
    </row>
    <row r="31" spans="1:15" ht="14" x14ac:dyDescent="0.3">
      <c r="B31" s="509"/>
      <c r="C31" s="436" t="str">
        <f>IF(DJS&gt;=NewSchDate,"4. The scheme you entered upon joining","4. The scheme you were in prior to 1 April 2015 (Choose from the list in the box)")</f>
        <v>4. The scheme you were in prior to 1 April 2015 (Choose from the list in the box)</v>
      </c>
      <c r="D31" s="436"/>
      <c r="E31" s="436"/>
      <c r="F31" s="436"/>
      <c r="G31" s="436"/>
      <c r="H31" s="436"/>
      <c r="I31" s="437"/>
      <c r="J31" s="471"/>
      <c r="K31" s="437"/>
      <c r="L31" s="478" t="s">
        <v>326</v>
      </c>
      <c r="M31" s="423"/>
      <c r="N31" s="423"/>
      <c r="O31" s="430"/>
    </row>
    <row r="32" spans="1:15" ht="14" x14ac:dyDescent="0.3">
      <c r="B32" s="509"/>
      <c r="C32" s="436"/>
      <c r="D32" s="436"/>
      <c r="E32" s="436"/>
      <c r="F32" s="436"/>
      <c r="G32" s="436"/>
      <c r="H32" s="436"/>
      <c r="I32" s="437"/>
      <c r="J32" s="437"/>
      <c r="K32" s="437"/>
      <c r="L32" s="423"/>
      <c r="M32" s="423"/>
      <c r="N32" s="423"/>
      <c r="O32" s="430"/>
    </row>
    <row r="33" spans="1:17" ht="14" x14ac:dyDescent="0.3">
      <c r="B33" s="509"/>
      <c r="C33" s="436" t="s">
        <v>674</v>
      </c>
      <c r="D33" s="436"/>
      <c r="E33" s="436"/>
      <c r="F33" s="436"/>
      <c r="G33" s="436"/>
      <c r="H33" s="436"/>
      <c r="I33" s="437"/>
      <c r="J33" s="470"/>
      <c r="K33" s="437"/>
      <c r="L33" s="478" t="s">
        <v>326</v>
      </c>
      <c r="M33" s="423"/>
      <c r="N33" s="423"/>
      <c r="O33" s="430"/>
    </row>
    <row r="34" spans="1:17" ht="14" x14ac:dyDescent="0.3">
      <c r="B34" s="509"/>
      <c r="C34" s="436"/>
      <c r="D34" s="436"/>
      <c r="E34" s="436"/>
      <c r="F34" s="436"/>
      <c r="G34" s="436"/>
      <c r="H34" s="436"/>
      <c r="I34" s="437"/>
      <c r="J34" s="437"/>
      <c r="K34" s="437"/>
      <c r="L34" s="423"/>
      <c r="M34" s="423"/>
      <c r="N34" s="423"/>
      <c r="O34" s="430"/>
    </row>
    <row r="35" spans="1:17" ht="14" x14ac:dyDescent="0.3">
      <c r="B35" s="509"/>
      <c r="C35" s="436" t="s">
        <v>675</v>
      </c>
      <c r="D35" s="436"/>
      <c r="E35" s="436"/>
      <c r="F35" s="436"/>
      <c r="G35" s="436"/>
      <c r="H35" s="436"/>
      <c r="I35" s="437"/>
      <c r="J35" s="472">
        <v>0</v>
      </c>
      <c r="K35" s="437" t="s">
        <v>76</v>
      </c>
      <c r="L35" s="478" t="s">
        <v>326</v>
      </c>
      <c r="M35" s="423"/>
      <c r="N35" s="439"/>
      <c r="O35" s="430"/>
    </row>
    <row r="36" spans="1:17" ht="14" x14ac:dyDescent="0.3">
      <c r="B36" s="509"/>
      <c r="C36" s="436"/>
      <c r="D36" s="436"/>
      <c r="E36" s="436"/>
      <c r="F36" s="436"/>
      <c r="G36" s="436"/>
      <c r="H36" s="436"/>
      <c r="I36" s="437"/>
      <c r="J36" s="472">
        <v>0</v>
      </c>
      <c r="K36" s="437" t="s">
        <v>183</v>
      </c>
      <c r="L36" s="437"/>
      <c r="M36" s="423"/>
      <c r="N36" s="423"/>
      <c r="O36" s="430"/>
    </row>
    <row r="37" spans="1:17" ht="14" x14ac:dyDescent="0.3">
      <c r="B37" s="509"/>
      <c r="C37" s="436"/>
      <c r="D37" s="436"/>
      <c r="E37" s="436"/>
      <c r="F37" s="436"/>
      <c r="G37" s="436"/>
      <c r="H37" s="436"/>
      <c r="I37" s="437"/>
      <c r="J37" s="437"/>
      <c r="K37" s="437"/>
      <c r="L37" s="423"/>
      <c r="M37" s="423"/>
      <c r="N37" s="423"/>
      <c r="O37" s="430"/>
    </row>
    <row r="38" spans="1:17" ht="14" x14ac:dyDescent="0.3">
      <c r="B38" s="509"/>
      <c r="C38" s="436" t="s">
        <v>676</v>
      </c>
      <c r="D38" s="436"/>
      <c r="E38" s="439"/>
      <c r="F38" s="436"/>
      <c r="G38" s="436"/>
      <c r="H38" s="436"/>
      <c r="I38" s="437"/>
      <c r="J38" s="473"/>
      <c r="K38" s="437"/>
      <c r="L38" s="478" t="s">
        <v>326</v>
      </c>
      <c r="M38" s="423"/>
      <c r="N38" s="423"/>
      <c r="O38" s="430"/>
    </row>
    <row r="39" spans="1:17" ht="14.5" x14ac:dyDescent="0.35">
      <c r="B39" s="509"/>
      <c r="C39" s="436"/>
      <c r="D39" s="436"/>
      <c r="E39" s="436"/>
      <c r="F39" s="436"/>
      <c r="G39" s="436"/>
      <c r="H39" s="436"/>
      <c r="I39" s="440"/>
      <c r="J39" s="440"/>
      <c r="K39" s="440"/>
      <c r="L39" s="441"/>
      <c r="M39" s="441"/>
      <c r="N39" s="441"/>
      <c r="O39" s="430"/>
    </row>
    <row r="40" spans="1:17" ht="14.5" x14ac:dyDescent="0.35">
      <c r="B40" s="509"/>
      <c r="C40" s="436" t="s">
        <v>757</v>
      </c>
      <c r="D40" s="436"/>
      <c r="E40" s="436"/>
      <c r="F40" s="436"/>
      <c r="G40" s="436"/>
      <c r="H40" s="436"/>
      <c r="I40" s="440"/>
      <c r="J40" s="549"/>
      <c r="K40" s="440"/>
      <c r="L40" s="478" t="s">
        <v>326</v>
      </c>
      <c r="M40" s="441"/>
      <c r="N40" s="441"/>
      <c r="O40" s="430"/>
      <c r="Q40" s="423"/>
    </row>
    <row r="41" spans="1:17" ht="14.5" x14ac:dyDescent="0.35">
      <c r="B41" s="509"/>
      <c r="C41" s="436"/>
      <c r="D41" s="436"/>
      <c r="E41" s="436"/>
      <c r="F41" s="436"/>
      <c r="G41" s="436"/>
      <c r="H41" s="436"/>
      <c r="I41" s="440"/>
      <c r="J41" s="440"/>
      <c r="K41" s="440"/>
      <c r="L41" s="441"/>
      <c r="M41" s="441"/>
      <c r="N41" s="441"/>
      <c r="O41" s="430"/>
    </row>
    <row r="42" spans="1:17" ht="14.5" x14ac:dyDescent="0.35">
      <c r="B42" s="509"/>
      <c r="C42" s="436" t="s">
        <v>809</v>
      </c>
      <c r="D42" s="436"/>
      <c r="E42" s="436"/>
      <c r="F42" s="436"/>
      <c r="G42" s="436"/>
      <c r="H42" s="436"/>
      <c r="I42" s="440"/>
      <c r="J42" s="442"/>
      <c r="K42" s="442" t="str">
        <f>IF(Parameters!B112,"Yes - input below","No - it will be approximated in the projection calculations")</f>
        <v>Yes - input below</v>
      </c>
      <c r="L42" s="441"/>
      <c r="M42" s="441"/>
      <c r="N42" s="441"/>
      <c r="O42" s="430"/>
    </row>
    <row r="43" spans="1:17" ht="14.5" x14ac:dyDescent="0.35">
      <c r="B43" s="509"/>
      <c r="C43" s="436"/>
      <c r="D43" s="436"/>
      <c r="E43" s="436"/>
      <c r="F43" s="436"/>
      <c r="G43" s="436"/>
      <c r="H43" s="436"/>
      <c r="I43" s="440"/>
      <c r="J43" s="440"/>
      <c r="K43" s="440"/>
      <c r="L43" s="441"/>
      <c r="M43" s="441"/>
      <c r="N43" s="441"/>
      <c r="O43" s="430"/>
    </row>
    <row r="44" spans="1:17" ht="14" x14ac:dyDescent="0.3">
      <c r="B44" s="509"/>
      <c r="C44" s="316"/>
      <c r="D44" s="436"/>
      <c r="E44" s="436"/>
      <c r="F44" s="436"/>
      <c r="G44" s="436"/>
      <c r="H44" s="492" t="s">
        <v>775</v>
      </c>
      <c r="I44" s="487" t="s">
        <v>753</v>
      </c>
      <c r="J44" s="476"/>
      <c r="K44" s="491"/>
      <c r="L44" s="444" t="s">
        <v>582</v>
      </c>
      <c r="M44" s="489"/>
      <c r="N44" s="490" t="s">
        <v>326</v>
      </c>
      <c r="O44" s="430"/>
    </row>
    <row r="45" spans="1:17" ht="14" x14ac:dyDescent="0.3">
      <c r="B45" s="509"/>
      <c r="C45" s="436"/>
      <c r="D45" s="436"/>
      <c r="E45" s="436"/>
      <c r="F45" s="436"/>
      <c r="G45" s="436"/>
      <c r="H45" s="436"/>
      <c r="I45" s="437"/>
      <c r="J45" s="443"/>
      <c r="K45" s="437"/>
      <c r="L45" s="445"/>
      <c r="M45" s="423"/>
      <c r="N45" s="423"/>
      <c r="O45" s="430"/>
    </row>
    <row r="46" spans="1:17" ht="14" x14ac:dyDescent="0.3">
      <c r="B46" s="509"/>
      <c r="C46" s="436" t="s">
        <v>810</v>
      </c>
      <c r="D46" s="436"/>
      <c r="E46" s="436"/>
      <c r="F46" s="436"/>
      <c r="G46" s="436"/>
      <c r="H46" s="436"/>
      <c r="I46" s="437"/>
      <c r="J46" s="474"/>
      <c r="K46" s="437"/>
      <c r="L46" s="478" t="s">
        <v>326</v>
      </c>
      <c r="M46" s="423"/>
      <c r="N46" s="423"/>
      <c r="O46" s="446"/>
    </row>
    <row r="47" spans="1:17" ht="14" x14ac:dyDescent="0.3">
      <c r="B47" s="509"/>
      <c r="C47" s="436" t="s">
        <v>812</v>
      </c>
      <c r="D47" s="436"/>
      <c r="E47" s="436"/>
      <c r="F47" s="436"/>
      <c r="G47" s="436"/>
      <c r="H47" s="436"/>
      <c r="I47" s="437"/>
      <c r="J47" s="443"/>
      <c r="K47" s="437"/>
      <c r="L47" s="506"/>
      <c r="M47" s="423"/>
      <c r="N47" s="423"/>
      <c r="O47" s="430"/>
    </row>
    <row r="48" spans="1:17" ht="14" x14ac:dyDescent="0.3">
      <c r="A48" s="423"/>
      <c r="B48" s="509"/>
      <c r="C48" s="485" t="s">
        <v>754</v>
      </c>
      <c r="D48" s="485"/>
      <c r="E48" s="485"/>
      <c r="F48" s="485"/>
      <c r="G48" s="485"/>
      <c r="H48" s="485"/>
      <c r="I48" s="486"/>
      <c r="J48" s="475"/>
      <c r="K48" s="437"/>
      <c r="L48" s="478" t="s">
        <v>326</v>
      </c>
      <c r="M48" s="423"/>
      <c r="N48" s="423"/>
      <c r="O48" s="430"/>
    </row>
    <row r="49" spans="1:15" ht="14.5" x14ac:dyDescent="0.35">
      <c r="A49" s="423"/>
      <c r="B49" s="509"/>
      <c r="C49" s="485"/>
      <c r="D49" s="485"/>
      <c r="E49" s="485"/>
      <c r="F49" s="485"/>
      <c r="G49" s="485"/>
      <c r="H49" s="485"/>
      <c r="I49" s="486"/>
      <c r="J49" s="447"/>
      <c r="K49" s="423"/>
      <c r="L49" s="445"/>
      <c r="M49" s="423"/>
      <c r="N49" s="423"/>
      <c r="O49" s="430"/>
    </row>
    <row r="50" spans="1:15" ht="14" x14ac:dyDescent="0.3">
      <c r="A50" s="423"/>
      <c r="B50" s="509"/>
      <c r="C50" s="485" t="s">
        <v>387</v>
      </c>
      <c r="D50" s="485"/>
      <c r="E50" s="485"/>
      <c r="F50" s="485"/>
      <c r="G50" s="485"/>
      <c r="H50" s="485"/>
      <c r="I50" s="486"/>
      <c r="J50" s="443"/>
      <c r="K50" s="437"/>
      <c r="L50" s="445"/>
      <c r="M50" s="423"/>
      <c r="N50" s="423"/>
      <c r="O50" s="430"/>
    </row>
    <row r="51" spans="1:15" ht="14" x14ac:dyDescent="0.3">
      <c r="A51" s="423"/>
      <c r="B51" s="509"/>
      <c r="C51" s="485"/>
      <c r="D51" s="485"/>
      <c r="E51" s="485"/>
      <c r="F51" s="485"/>
      <c r="G51" s="485"/>
      <c r="H51" s="485"/>
      <c r="I51" s="486"/>
      <c r="J51" s="443"/>
      <c r="K51" s="437"/>
      <c r="L51" s="445"/>
      <c r="M51" s="423"/>
      <c r="N51" s="423"/>
      <c r="O51" s="430"/>
    </row>
    <row r="52" spans="1:15" ht="14" x14ac:dyDescent="0.3">
      <c r="A52" s="423"/>
      <c r="B52" s="509"/>
      <c r="C52" s="485" t="s">
        <v>755</v>
      </c>
      <c r="D52" s="485"/>
      <c r="E52" s="485"/>
      <c r="F52" s="485"/>
      <c r="G52" s="485"/>
      <c r="H52" s="485"/>
      <c r="I52" s="487" t="s">
        <v>753</v>
      </c>
      <c r="J52" s="476"/>
      <c r="K52" s="437"/>
      <c r="L52" s="478" t="s">
        <v>326</v>
      </c>
      <c r="M52" s="423"/>
      <c r="N52" s="423"/>
      <c r="O52" s="430"/>
    </row>
    <row r="53" spans="1:15" ht="14" x14ac:dyDescent="0.3">
      <c r="A53" s="423"/>
      <c r="B53" s="509"/>
      <c r="C53" s="485"/>
      <c r="D53" s="485"/>
      <c r="E53" s="485"/>
      <c r="F53" s="485"/>
      <c r="G53" s="485"/>
      <c r="H53" s="485"/>
      <c r="I53" s="486"/>
      <c r="J53" s="443"/>
      <c r="K53" s="437"/>
      <c r="L53" s="506"/>
      <c r="M53" s="423"/>
      <c r="N53" s="423"/>
      <c r="O53" s="430"/>
    </row>
    <row r="54" spans="1:15" ht="14" x14ac:dyDescent="0.3">
      <c r="A54" s="423"/>
      <c r="B54" s="509"/>
      <c r="C54" s="485" t="s">
        <v>811</v>
      </c>
      <c r="D54" s="485"/>
      <c r="E54" s="485"/>
      <c r="F54" s="485"/>
      <c r="G54" s="485"/>
      <c r="H54" s="485"/>
      <c r="I54" s="486"/>
      <c r="J54" s="472"/>
      <c r="K54" s="437" t="s">
        <v>76</v>
      </c>
      <c r="L54" s="478" t="s">
        <v>326</v>
      </c>
      <c r="M54" s="423"/>
      <c r="N54" s="423"/>
      <c r="O54" s="430"/>
    </row>
    <row r="55" spans="1:15" ht="14" x14ac:dyDescent="0.3">
      <c r="A55" s="423"/>
      <c r="B55" s="509"/>
      <c r="C55" s="485"/>
      <c r="D55" s="485"/>
      <c r="E55" s="485"/>
      <c r="F55" s="485"/>
      <c r="G55" s="485"/>
      <c r="H55" s="485"/>
      <c r="I55" s="486"/>
      <c r="J55" s="472">
        <v>0</v>
      </c>
      <c r="K55" s="437" t="s">
        <v>183</v>
      </c>
      <c r="L55" s="445"/>
      <c r="M55" s="423"/>
      <c r="N55" s="423"/>
      <c r="O55" s="430"/>
    </row>
    <row r="56" spans="1:15" ht="14" x14ac:dyDescent="0.3">
      <c r="A56" s="423"/>
      <c r="B56" s="509"/>
      <c r="C56" s="485"/>
      <c r="D56" s="485"/>
      <c r="E56" s="485"/>
      <c r="F56" s="485"/>
      <c r="G56" s="485"/>
      <c r="H56" s="485"/>
      <c r="I56" s="486"/>
      <c r="J56" s="443"/>
      <c r="K56" s="437"/>
      <c r="L56" s="445"/>
      <c r="M56" s="423"/>
      <c r="N56" s="423"/>
      <c r="O56" s="430"/>
    </row>
    <row r="57" spans="1:15" ht="14" x14ac:dyDescent="0.3">
      <c r="A57" s="423"/>
      <c r="B57" s="509"/>
      <c r="C57" s="485" t="s">
        <v>756</v>
      </c>
      <c r="D57" s="485"/>
      <c r="E57" s="485"/>
      <c r="F57" s="485"/>
      <c r="G57" s="485"/>
      <c r="H57" s="485"/>
      <c r="I57" s="486"/>
      <c r="J57" s="472">
        <v>0</v>
      </c>
      <c r="K57" s="437" t="s">
        <v>76</v>
      </c>
      <c r="L57" s="478" t="s">
        <v>326</v>
      </c>
      <c r="M57" s="423"/>
      <c r="N57" s="423"/>
      <c r="O57" s="430"/>
    </row>
    <row r="58" spans="1:15" ht="14" x14ac:dyDescent="0.3">
      <c r="A58" s="423"/>
      <c r="B58" s="509"/>
      <c r="C58" s="485"/>
      <c r="D58" s="485"/>
      <c r="E58" s="485"/>
      <c r="F58" s="485"/>
      <c r="G58" s="485"/>
      <c r="H58" s="485"/>
      <c r="I58" s="486"/>
      <c r="J58" s="472">
        <v>0</v>
      </c>
      <c r="K58" s="437" t="s">
        <v>183</v>
      </c>
      <c r="L58" s="423"/>
      <c r="M58" s="423"/>
      <c r="N58" s="423"/>
      <c r="O58" s="430"/>
    </row>
    <row r="59" spans="1:15" ht="14" x14ac:dyDescent="0.3">
      <c r="A59" s="423"/>
      <c r="B59" s="511"/>
      <c r="C59" s="448"/>
      <c r="D59" s="448"/>
      <c r="E59" s="448"/>
      <c r="F59" s="448"/>
      <c r="G59" s="448"/>
      <c r="H59" s="448"/>
      <c r="I59" s="431"/>
      <c r="J59" s="431"/>
      <c r="K59" s="431"/>
      <c r="L59" s="449"/>
      <c r="M59" s="449"/>
      <c r="N59" s="449"/>
      <c r="O59" s="432"/>
    </row>
    <row r="60" spans="1:15" ht="24.75" customHeight="1" x14ac:dyDescent="0.5">
      <c r="B60" s="507"/>
      <c r="C60" s="516" t="s">
        <v>328</v>
      </c>
      <c r="D60" s="433"/>
      <c r="E60" s="433"/>
      <c r="F60" s="433"/>
      <c r="G60" s="433"/>
      <c r="H60" s="433"/>
      <c r="I60" s="433"/>
      <c r="J60" s="434"/>
      <c r="K60" s="434"/>
      <c r="L60" s="434"/>
      <c r="M60" s="434"/>
      <c r="N60" s="434"/>
      <c r="O60" s="508"/>
    </row>
    <row r="61" spans="1:15" ht="23" x14ac:dyDescent="0.5">
      <c r="B61" s="509"/>
      <c r="C61" s="512"/>
      <c r="D61" s="435"/>
      <c r="E61" s="435"/>
      <c r="F61" s="435"/>
      <c r="G61" s="435"/>
      <c r="H61" s="435"/>
      <c r="I61" s="435"/>
      <c r="J61" s="423"/>
      <c r="K61" s="423"/>
      <c r="L61" s="423"/>
      <c r="M61" s="423"/>
      <c r="N61" s="423"/>
      <c r="O61" s="430"/>
    </row>
    <row r="62" spans="1:15" ht="16.5" customHeight="1" x14ac:dyDescent="0.3">
      <c r="A62" s="422"/>
      <c r="B62" s="510"/>
      <c r="C62" s="450" t="str">
        <f>IF(Form_Check=TRUE,IF('PPS and NPPS calcs'!F26="Tapered","Date of entering the 2015 scheme: ","")&amp;IF('PPS and NPPS calcs'!F26="Tapered",IF(DJS&gt;=NewSchDate,TEXT(DJS,"d mmmm yyyy"),IF('PPS and NPPS calcs'!F30=0,E171,VLOOKUP('PPS and NPPS calcs'!F26,$C$169:$E$171,3,FALSE))),""),"Insufficient data supplied, please fill in rest of form")</f>
        <v>Insufficient data supplied, please fill in rest of form</v>
      </c>
      <c r="D62" s="435"/>
      <c r="E62" s="435"/>
      <c r="F62" s="435"/>
      <c r="G62" s="435"/>
      <c r="H62" s="435"/>
      <c r="I62" s="435"/>
      <c r="J62" s="423"/>
      <c r="K62" s="423"/>
      <c r="L62" s="423"/>
      <c r="M62" s="423"/>
      <c r="N62" s="423"/>
      <c r="O62" s="430"/>
    </row>
    <row r="63" spans="1:15" ht="19.399999999999999" customHeight="1" x14ac:dyDescent="0.5">
      <c r="A63" s="422"/>
      <c r="B63" s="510"/>
      <c r="C63" s="512"/>
      <c r="D63" s="435"/>
      <c r="E63" s="435"/>
      <c r="F63" s="435"/>
      <c r="G63" s="435"/>
      <c r="H63" s="435"/>
      <c r="I63" s="435"/>
      <c r="J63" s="423"/>
      <c r="K63" s="423"/>
      <c r="L63" s="423"/>
      <c r="M63" s="423"/>
      <c r="N63" s="423"/>
      <c r="O63" s="430"/>
    </row>
    <row r="64" spans="1:15" ht="18.75" customHeight="1" x14ac:dyDescent="0.35">
      <c r="A64" s="422"/>
      <c r="B64" s="510"/>
      <c r="C64" s="513" t="s">
        <v>302</v>
      </c>
      <c r="D64" s="440"/>
      <c r="E64" s="440"/>
      <c r="F64" s="440"/>
      <c r="G64" s="440"/>
      <c r="H64" s="440"/>
      <c r="I64" s="441"/>
      <c r="J64" s="441"/>
      <c r="K64" s="441"/>
      <c r="L64" s="441"/>
      <c r="M64" s="441"/>
      <c r="N64" s="437"/>
      <c r="O64" s="446"/>
    </row>
    <row r="65" spans="1:15" ht="21.65" customHeight="1" x14ac:dyDescent="0.35">
      <c r="A65" s="422"/>
      <c r="B65" s="510"/>
      <c r="C65" s="440"/>
      <c r="D65" s="440"/>
      <c r="E65" s="440"/>
      <c r="F65" s="440"/>
      <c r="G65" s="440"/>
      <c r="H65" s="440"/>
      <c r="I65" s="441"/>
      <c r="J65" s="441"/>
      <c r="K65" s="441"/>
      <c r="L65" s="441"/>
      <c r="M65" s="441"/>
      <c r="N65" s="437"/>
      <c r="O65" s="430"/>
    </row>
    <row r="66" spans="1:15" ht="21.65" customHeight="1" x14ac:dyDescent="0.3">
      <c r="A66" s="422"/>
      <c r="B66" s="510"/>
      <c r="C66" s="440" t="s">
        <v>460</v>
      </c>
      <c r="D66" s="440"/>
      <c r="E66" s="440"/>
      <c r="F66" s="440"/>
      <c r="G66" s="440"/>
      <c r="H66" s="440"/>
      <c r="I66" s="451">
        <f>Summary!D37</f>
        <v>0</v>
      </c>
      <c r="J66" s="440"/>
      <c r="K66" s="440"/>
      <c r="L66" s="440"/>
      <c r="M66" s="440"/>
      <c r="N66" s="437"/>
      <c r="O66" s="430"/>
    </row>
    <row r="67" spans="1:15" ht="14" x14ac:dyDescent="0.3">
      <c r="B67" s="509"/>
      <c r="C67" s="440" t="s">
        <v>768</v>
      </c>
      <c r="D67" s="440"/>
      <c r="E67" s="440"/>
      <c r="F67" s="440"/>
      <c r="G67" s="440"/>
      <c r="H67" s="440"/>
      <c r="I67" s="488" t="e">
        <f>'PPS and NPPS calcs'!F51</f>
        <v>#N/A</v>
      </c>
      <c r="J67" s="440"/>
      <c r="K67" s="440"/>
      <c r="L67" s="440"/>
      <c r="M67" s="440"/>
      <c r="N67" s="437"/>
      <c r="O67" s="430"/>
    </row>
    <row r="68" spans="1:15" ht="14" x14ac:dyDescent="0.3">
      <c r="B68" s="509"/>
      <c r="C68" s="440"/>
      <c r="D68" s="440"/>
      <c r="E68" s="440"/>
      <c r="F68" s="440"/>
      <c r="G68" s="440"/>
      <c r="H68" s="440"/>
      <c r="I68" s="440"/>
      <c r="J68" s="440"/>
      <c r="K68" s="440"/>
      <c r="L68" s="440"/>
      <c r="M68" s="440"/>
      <c r="N68" s="437"/>
      <c r="O68" s="430"/>
    </row>
    <row r="69" spans="1:15" ht="14" x14ac:dyDescent="0.3">
      <c r="B69" s="509"/>
      <c r="C69" s="440"/>
      <c r="D69" s="440"/>
      <c r="E69" s="440"/>
      <c r="F69" s="440"/>
      <c r="G69" s="440"/>
      <c r="H69" s="440"/>
      <c r="I69" s="591" t="s">
        <v>563</v>
      </c>
      <c r="J69" s="591"/>
      <c r="K69" s="591"/>
      <c r="L69" s="591"/>
      <c r="M69" s="591"/>
      <c r="N69" s="437"/>
      <c r="O69" s="430"/>
    </row>
    <row r="70" spans="1:15" ht="14" x14ac:dyDescent="0.3">
      <c r="B70" s="509"/>
      <c r="C70" s="440"/>
      <c r="D70" s="440"/>
      <c r="E70" s="440"/>
      <c r="F70" s="440"/>
      <c r="G70" s="440"/>
      <c r="H70" s="440"/>
      <c r="I70" s="467" t="str">
        <f>100*cpi_1&amp;"%"&amp;(" (CPI "&amp;IF(Parameters!H74&lt;0,"-","+")&amp;100*ABS(Parameters!H74))&amp;"% )"</f>
        <v>0% (CPI -2% )</v>
      </c>
      <c r="J70" s="468"/>
      <c r="K70" s="467" t="s">
        <v>564</v>
      </c>
      <c r="L70" s="468"/>
      <c r="M70" s="467" t="s">
        <v>565</v>
      </c>
      <c r="N70" s="437"/>
      <c r="O70" s="430"/>
    </row>
    <row r="71" spans="1:15" ht="24.65" customHeight="1" x14ac:dyDescent="0.3">
      <c r="B71" s="509"/>
      <c r="C71" s="514" t="s">
        <v>590</v>
      </c>
      <c r="D71" s="440"/>
      <c r="E71" s="440"/>
      <c r="F71" s="440"/>
      <c r="G71" s="440"/>
      <c r="H71" s="440"/>
      <c r="I71" s="466"/>
      <c r="J71" s="469"/>
      <c r="K71" s="466"/>
      <c r="L71" s="469"/>
      <c r="M71" s="466"/>
      <c r="N71" s="437"/>
      <c r="O71" s="430"/>
    </row>
    <row r="72" spans="1:15" ht="16.5" x14ac:dyDescent="0.35">
      <c r="B72" s="509"/>
      <c r="C72" s="515" t="s">
        <v>576</v>
      </c>
      <c r="D72" s="440"/>
      <c r="E72" s="440"/>
      <c r="F72" s="440"/>
      <c r="G72" s="440"/>
      <c r="H72" s="440"/>
      <c r="I72" s="440"/>
      <c r="J72" s="440"/>
      <c r="K72" s="440"/>
      <c r="L72" s="440"/>
      <c r="M72" s="440"/>
      <c r="N72" s="437"/>
      <c r="O72" s="430"/>
    </row>
    <row r="73" spans="1:15" ht="33" customHeight="1" x14ac:dyDescent="0.3">
      <c r="B73" s="509"/>
      <c r="C73" s="440" t="str">
        <f>Scheme_Full&amp;" pension"</f>
        <v xml:space="preserve"> pension</v>
      </c>
      <c r="D73" s="440"/>
      <c r="E73" s="440"/>
      <c r="F73" s="440"/>
      <c r="G73" s="440"/>
      <c r="H73" s="440"/>
      <c r="I73" s="451" t="e">
        <f>IF(Summary!D39="input error",Summary!D39,TEXT(Summary!D39,"£#,##0")&amp;" pa")</f>
        <v>#N/A</v>
      </c>
      <c r="J73" s="440"/>
      <c r="K73" s="451" t="e">
        <f>IF(Summary!E39="input error",Summary!E39,TEXT(Summary!E39,"£#,##0")&amp;" pa")</f>
        <v>#N/A</v>
      </c>
      <c r="L73" s="450"/>
      <c r="M73" s="451" t="e">
        <f>IF(Summary!F39="input error",Summary!F39,TEXT(Summary!F39,"£#,##0")&amp;" pa")</f>
        <v>#N/A</v>
      </c>
      <c r="N73" s="437"/>
      <c r="O73" s="430"/>
    </row>
    <row r="74" spans="1:15" ht="14" x14ac:dyDescent="0.3">
      <c r="A74" s="423"/>
      <c r="B74" s="509"/>
      <c r="C74" s="440" t="str">
        <f>Scheme_Full&amp;" lump sum"</f>
        <v xml:space="preserve"> lump sum</v>
      </c>
      <c r="D74" s="440"/>
      <c r="E74" s="440"/>
      <c r="F74" s="440"/>
      <c r="G74" s="440"/>
      <c r="H74" s="440"/>
      <c r="I74" s="451" t="e">
        <f>Summary!D40</f>
        <v>#N/A</v>
      </c>
      <c r="J74" s="440"/>
      <c r="K74" s="451" t="e">
        <f>Summary!E40</f>
        <v>#N/A</v>
      </c>
      <c r="L74" s="450"/>
      <c r="M74" s="451" t="e">
        <f>Summary!F40</f>
        <v>#N/A</v>
      </c>
      <c r="N74" s="437"/>
      <c r="O74" s="430"/>
    </row>
    <row r="75" spans="1:15" ht="14" x14ac:dyDescent="0.3">
      <c r="A75" s="423"/>
      <c r="B75" s="509"/>
      <c r="C75" s="440"/>
      <c r="D75" s="440"/>
      <c r="E75" s="440"/>
      <c r="F75" s="440"/>
      <c r="G75" s="440"/>
      <c r="H75" s="440"/>
      <c r="I75" s="451" t="s">
        <v>362</v>
      </c>
      <c r="J75" s="440"/>
      <c r="K75" s="451" t="s">
        <v>362</v>
      </c>
      <c r="L75" s="450"/>
      <c r="M75" s="451" t="s">
        <v>362</v>
      </c>
      <c r="N75" s="437"/>
      <c r="O75" s="430"/>
    </row>
    <row r="76" spans="1:15" ht="14" x14ac:dyDescent="0.3">
      <c r="A76" s="423"/>
      <c r="B76" s="509"/>
      <c r="C76" s="440" t="str">
        <f>"2015 Scheme pension" &amp; IF(ChosenRA&gt;=55,""," deferred until SPA")</f>
        <v>2015 Scheme pension deferred until SPA</v>
      </c>
      <c r="D76" s="440"/>
      <c r="E76" s="440"/>
      <c r="F76" s="440"/>
      <c r="G76" s="440"/>
      <c r="H76" s="440"/>
      <c r="I76" s="451" t="e">
        <f ca="1">IF(Summary!D41="Input Error",Summary!D41,TEXT(Summary!D41,"£#,##0")&amp;" pa")</f>
        <v>#N/A</v>
      </c>
      <c r="J76" s="440"/>
      <c r="K76" s="451" t="e">
        <f ca="1">IF(Summary!E41="Input Error",Summary!E41,TEXT(Summary!E41,"£#,##0")&amp;" pa")</f>
        <v>#N/A</v>
      </c>
      <c r="L76" s="450"/>
      <c r="M76" s="451" t="e">
        <f ca="1">IF(Summary!F41="Input Error",Summary!F41,TEXT(Summary!F41,"£#,##0")&amp;" pa")</f>
        <v>#N/A</v>
      </c>
      <c r="N76" s="437"/>
      <c r="O76" s="430"/>
    </row>
    <row r="77" spans="1:15" ht="14" x14ac:dyDescent="0.3">
      <c r="A77" s="423"/>
      <c r="B77" s="509"/>
      <c r="C77" s="440" t="str">
        <f>"2015 Scheme lump sum" &amp; IF(ChosenRA&gt;=55,""," deferred until SPA")</f>
        <v>2015 Scheme lump sum deferred until SPA</v>
      </c>
      <c r="D77" s="440"/>
      <c r="E77" s="440"/>
      <c r="F77" s="440"/>
      <c r="G77" s="440"/>
      <c r="H77" s="440"/>
      <c r="I77" s="451" t="e">
        <f ca="1">Summary!D42</f>
        <v>#N/A</v>
      </c>
      <c r="J77" s="440"/>
      <c r="K77" s="451" t="e">
        <f ca="1">Summary!E42</f>
        <v>#N/A</v>
      </c>
      <c r="L77" s="450"/>
      <c r="M77" s="451" t="e">
        <f ca="1">Summary!F42</f>
        <v>#N/A</v>
      </c>
      <c r="N77" s="437"/>
      <c r="O77" s="430"/>
    </row>
    <row r="78" spans="1:15" ht="14" x14ac:dyDescent="0.3">
      <c r="A78" s="423"/>
      <c r="B78" s="509"/>
      <c r="C78" s="440"/>
      <c r="D78" s="440"/>
      <c r="E78" s="440"/>
      <c r="F78" s="440"/>
      <c r="G78" s="440"/>
      <c r="H78" s="440"/>
      <c r="I78" s="450"/>
      <c r="J78" s="440"/>
      <c r="K78" s="450"/>
      <c r="L78" s="450"/>
      <c r="M78" s="450"/>
      <c r="N78" s="437"/>
      <c r="O78" s="430"/>
    </row>
    <row r="79" spans="1:15" ht="14" x14ac:dyDescent="0.3">
      <c r="A79" s="423"/>
      <c r="B79" s="509"/>
      <c r="C79" s="440" t="str">
        <f>IF(ChosenRA&gt;=55,"Total pension","")</f>
        <v/>
      </c>
      <c r="D79" s="440"/>
      <c r="E79" s="440"/>
      <c r="F79" s="440"/>
      <c r="G79" s="440"/>
      <c r="H79" s="440"/>
      <c r="I79" s="451" t="str">
        <f>IF(ChosenRA&lt;55,"",IF(OR(Summary!D20&lt;0,Summary!D29&lt;0),"input error",TEXT(Summary!D43,"£#,##0")&amp;" pa"))</f>
        <v/>
      </c>
      <c r="J79" s="440"/>
      <c r="K79" s="451" t="str">
        <f>IF(ChosenRA&lt;55,"",IF(OR(Summary!E20&lt;0,Summary!E29&lt;0),"input error",TEXT(Summary!E43,"£#,##0")&amp;" pa"))</f>
        <v/>
      </c>
      <c r="L79" s="450"/>
      <c r="M79" s="451" t="str">
        <f>IF(ChosenRA&lt;55,"",IF(OR(Summary!F20&lt;0,Summary!F29&lt;0),"input error",TEXT(Summary!F43,"£#,##0")&amp;" pa"))</f>
        <v/>
      </c>
      <c r="N79" s="437"/>
      <c r="O79" s="430"/>
    </row>
    <row r="80" spans="1:15" ht="14" x14ac:dyDescent="0.3">
      <c r="A80" s="423"/>
      <c r="B80" s="509"/>
      <c r="C80" s="440" t="str">
        <f>IF(ChosenRA&gt;=55,"Total lump sum","")</f>
        <v/>
      </c>
      <c r="D80" s="440"/>
      <c r="E80" s="440"/>
      <c r="F80" s="440"/>
      <c r="G80" s="440"/>
      <c r="H80" s="440"/>
      <c r="I80" s="451" t="str">
        <f>IF(ChosenRA&lt;55,"",Summary!D44)</f>
        <v/>
      </c>
      <c r="J80" s="440"/>
      <c r="K80" s="451" t="str">
        <f>IF(ChosenRA&lt;55,"",Summary!E44)</f>
        <v/>
      </c>
      <c r="L80" s="450"/>
      <c r="M80" s="451" t="str">
        <f>IF(ChosenRA&lt;55,"",Summary!F44)</f>
        <v/>
      </c>
      <c r="N80" s="437"/>
      <c r="O80" s="430"/>
    </row>
    <row r="81" spans="1:15" ht="14" x14ac:dyDescent="0.3">
      <c r="A81" s="423"/>
      <c r="B81" s="509"/>
      <c r="C81" s="440"/>
      <c r="D81" s="440"/>
      <c r="E81" s="440"/>
      <c r="F81" s="440"/>
      <c r="G81" s="440"/>
      <c r="H81" s="440"/>
      <c r="I81" s="466"/>
      <c r="J81" s="440"/>
      <c r="K81" s="466"/>
      <c r="L81" s="440"/>
      <c r="M81" s="466"/>
      <c r="N81" s="437"/>
      <c r="O81" s="430"/>
    </row>
    <row r="82" spans="1:15" ht="23.15" customHeight="1" x14ac:dyDescent="0.3">
      <c r="A82" s="423"/>
      <c r="B82" s="509"/>
      <c r="C82" s="514" t="s">
        <v>590</v>
      </c>
      <c r="D82" s="440"/>
      <c r="E82" s="440"/>
      <c r="F82" s="440"/>
      <c r="G82" s="440"/>
      <c r="H82" s="440"/>
      <c r="I82" s="440"/>
      <c r="J82" s="440"/>
      <c r="K82" s="440"/>
      <c r="L82" s="440"/>
      <c r="M82" s="440"/>
      <c r="N82" s="437"/>
      <c r="O82" s="430"/>
    </row>
    <row r="83" spans="1:15" ht="16.5" x14ac:dyDescent="0.35">
      <c r="A83" s="423"/>
      <c r="B83" s="509"/>
      <c r="C83" s="515" t="s">
        <v>577</v>
      </c>
      <c r="D83" s="440"/>
      <c r="E83" s="440"/>
      <c r="F83" s="440"/>
      <c r="G83" s="440"/>
      <c r="H83" s="440"/>
      <c r="I83" s="440"/>
      <c r="J83" s="440"/>
      <c r="K83" s="440"/>
      <c r="L83" s="440"/>
      <c r="M83" s="440"/>
      <c r="N83" s="437"/>
      <c r="O83" s="430"/>
    </row>
    <row r="84" spans="1:15" ht="29.25" customHeight="1" x14ac:dyDescent="0.3">
      <c r="B84" s="509"/>
      <c r="C84" s="440" t="str">
        <f>Scheme_Full&amp;" pension"</f>
        <v xml:space="preserve"> pension</v>
      </c>
      <c r="D84" s="440"/>
      <c r="E84" s="440"/>
      <c r="F84" s="440"/>
      <c r="G84" s="440"/>
      <c r="H84" s="440"/>
      <c r="I84" s="451" t="e">
        <f>IF(Summary!D45="input error",Summary!D45,TEXT(Summary!D45,"£#,##0")&amp;" pa")</f>
        <v>#N/A</v>
      </c>
      <c r="J84" s="450"/>
      <c r="K84" s="451" t="e">
        <f>IF(Summary!E45="input error",Summary!E45,TEXT(Summary!E45,"£#,##0")&amp;" pa")</f>
        <v>#N/A</v>
      </c>
      <c r="L84" s="450"/>
      <c r="M84" s="451" t="e">
        <f>IF(Summary!F45="input error",Summary!F45,TEXT(Summary!F45,"£#,##0")&amp;" pa")</f>
        <v>#N/A</v>
      </c>
      <c r="N84" s="437"/>
      <c r="O84" s="430"/>
    </row>
    <row r="85" spans="1:15" ht="14" x14ac:dyDescent="0.3">
      <c r="B85" s="509"/>
      <c r="C85" s="440" t="str">
        <f>Scheme_Full&amp;" lump sum"</f>
        <v xml:space="preserve"> lump sum</v>
      </c>
      <c r="D85" s="440"/>
      <c r="E85" s="440"/>
      <c r="F85" s="440"/>
      <c r="G85" s="440"/>
      <c r="H85" s="440"/>
      <c r="I85" s="451" t="e">
        <f>Summary!D46</f>
        <v>#N/A</v>
      </c>
      <c r="J85" s="450"/>
      <c r="K85" s="451" t="e">
        <f>IF(CurrentScheme="NPPS",ROUND(Summary!E18,-2),0)</f>
        <v>#N/A</v>
      </c>
      <c r="L85" s="450"/>
      <c r="M85" s="451" t="e">
        <f>IF(CurrentScheme="NPPS",ROUND(Summary!F18,-2),0)</f>
        <v>#N/A</v>
      </c>
      <c r="N85" s="437"/>
      <c r="O85" s="430"/>
    </row>
    <row r="86" spans="1:15" ht="14" x14ac:dyDescent="0.3">
      <c r="B86" s="509"/>
      <c r="C86" s="440"/>
      <c r="D86" s="440"/>
      <c r="E86" s="440"/>
      <c r="F86" s="440"/>
      <c r="G86" s="440"/>
      <c r="H86" s="440"/>
      <c r="I86" s="451" t="s">
        <v>362</v>
      </c>
      <c r="J86" s="450"/>
      <c r="K86" s="451" t="s">
        <v>362</v>
      </c>
      <c r="L86" s="450"/>
      <c r="M86" s="451" t="s">
        <v>362</v>
      </c>
      <c r="N86" s="437"/>
      <c r="O86" s="430"/>
    </row>
    <row r="87" spans="1:15" ht="14" x14ac:dyDescent="0.3">
      <c r="B87" s="509"/>
      <c r="C87" s="440" t="str">
        <f>"2015 Scheme pension" &amp; IF(ChosenRA&gt;=55,""," deferred until SPA")</f>
        <v>2015 Scheme pension deferred until SPA</v>
      </c>
      <c r="D87" s="440"/>
      <c r="E87" s="440"/>
      <c r="F87" s="440"/>
      <c r="G87" s="440"/>
      <c r="H87" s="440"/>
      <c r="I87" s="451" t="e">
        <f ca="1">IF(Summary!D47="input error",Summary!D47,TEXT(Summary!D47,"£#,##0")&amp;" pa")</f>
        <v>#N/A</v>
      </c>
      <c r="J87" s="450"/>
      <c r="K87" s="451" t="e">
        <f ca="1">IF(Summary!E47="input error",Summary!E47,TEXT(Summary!E47,"£#,##0")&amp;" pa")</f>
        <v>#N/A</v>
      </c>
      <c r="L87" s="450"/>
      <c r="M87" s="451" t="e">
        <f ca="1">IF(Summary!F47="input error",Summary!F47,TEXT(Summary!F47,"£#,##0")&amp;" pa")</f>
        <v>#N/A</v>
      </c>
      <c r="N87" s="437"/>
      <c r="O87" s="430"/>
    </row>
    <row r="88" spans="1:15" ht="14" x14ac:dyDescent="0.3">
      <c r="B88" s="509"/>
      <c r="C88" s="440"/>
      <c r="D88" s="440"/>
      <c r="E88" s="440"/>
      <c r="F88" s="440"/>
      <c r="G88" s="440"/>
      <c r="H88" s="440"/>
      <c r="I88" s="451"/>
      <c r="J88" s="450"/>
      <c r="K88" s="451"/>
      <c r="L88" s="450"/>
      <c r="M88" s="451"/>
      <c r="N88" s="437"/>
      <c r="O88" s="430"/>
    </row>
    <row r="89" spans="1:15" ht="14" x14ac:dyDescent="0.3">
      <c r="B89" s="509"/>
      <c r="C89" s="440" t="str">
        <f>IF(ChosenRA&gt;=55,"Total pension","")</f>
        <v/>
      </c>
      <c r="D89" s="440"/>
      <c r="E89" s="440"/>
      <c r="F89" s="440"/>
      <c r="G89" s="440"/>
      <c r="H89" s="440"/>
      <c r="I89" s="451" t="str">
        <f>IF(ChosenRA&lt;55,"",IF(Summary!D48="input error",Summary!D48,TEXT(Summary!D48,"£#,##0")&amp;" pa"))</f>
        <v/>
      </c>
      <c r="J89" s="450"/>
      <c r="K89" s="451" t="str">
        <f>IF(ChosenRA&lt;55,"",IF(Summary!E48="input error",Summary!E48,TEXT(Summary!E48,"£#,##0")&amp;" pa"))</f>
        <v/>
      </c>
      <c r="L89" s="450"/>
      <c r="M89" s="451" t="str">
        <f>IF(ChosenRA&lt;55,"",IF(Summary!F48="input error",Summary!F48,TEXT(Summary!F48,"£#,##0")&amp;" pa"))</f>
        <v/>
      </c>
      <c r="N89" s="437"/>
      <c r="O89" s="430"/>
    </row>
    <row r="90" spans="1:15" ht="14" x14ac:dyDescent="0.3">
      <c r="B90" s="509"/>
      <c r="C90" s="440" t="str">
        <f>IF(ChosenRA&gt;=55,"Total lump sum","")</f>
        <v/>
      </c>
      <c r="D90" s="440"/>
      <c r="E90" s="440"/>
      <c r="F90" s="440"/>
      <c r="G90" s="440"/>
      <c r="H90" s="440"/>
      <c r="I90" s="451" t="str">
        <f>IF(ChosenRA&gt;=55,I85,"")</f>
        <v/>
      </c>
      <c r="J90" s="450"/>
      <c r="K90" s="451" t="str">
        <f>IF(ChosenRA&gt;=55,K85,"")</f>
        <v/>
      </c>
      <c r="L90" s="450"/>
      <c r="M90" s="451" t="str">
        <f>IF(ChosenRA&gt;=55,M85,"")</f>
        <v/>
      </c>
      <c r="N90" s="437"/>
      <c r="O90" s="430"/>
    </row>
    <row r="91" spans="1:15" ht="14" x14ac:dyDescent="0.3">
      <c r="B91" s="511"/>
      <c r="C91" s="453"/>
      <c r="D91" s="452"/>
      <c r="E91" s="452"/>
      <c r="F91" s="452"/>
      <c r="G91" s="452"/>
      <c r="H91" s="452"/>
      <c r="I91" s="453"/>
      <c r="J91" s="453"/>
      <c r="K91" s="453"/>
      <c r="L91" s="453"/>
      <c r="M91" s="453"/>
      <c r="N91" s="449"/>
      <c r="O91" s="432"/>
    </row>
    <row r="92" spans="1:15" ht="13" thickBot="1" x14ac:dyDescent="0.3">
      <c r="C92" s="421"/>
      <c r="D92" s="421"/>
      <c r="E92" s="421"/>
      <c r="F92" s="421"/>
      <c r="G92" s="421"/>
      <c r="H92" s="421"/>
      <c r="I92" s="421"/>
      <c r="J92" s="421"/>
      <c r="K92" s="421"/>
      <c r="L92" s="421"/>
      <c r="M92" s="421"/>
      <c r="N92" s="421"/>
      <c r="O92" s="421"/>
    </row>
    <row r="93" spans="1:15" x14ac:dyDescent="0.25">
      <c r="C93" s="583" t="s">
        <v>766</v>
      </c>
      <c r="D93" s="584"/>
      <c r="E93" s="585"/>
      <c r="F93" s="421"/>
      <c r="G93" s="577" t="s">
        <v>765</v>
      </c>
      <c r="H93" s="578"/>
      <c r="I93" s="579"/>
      <c r="J93" s="421"/>
      <c r="K93" s="577" t="s">
        <v>767</v>
      </c>
      <c r="L93" s="578"/>
      <c r="M93" s="579"/>
      <c r="N93" s="421"/>
      <c r="O93" s="421"/>
    </row>
    <row r="94" spans="1:15" ht="23.5" customHeight="1" thickBot="1" x14ac:dyDescent="0.3">
      <c r="C94" s="586"/>
      <c r="D94" s="587"/>
      <c r="E94" s="588"/>
      <c r="F94" s="421"/>
      <c r="G94" s="580"/>
      <c r="H94" s="581"/>
      <c r="I94" s="582"/>
      <c r="J94" s="421"/>
      <c r="K94" s="580"/>
      <c r="L94" s="581"/>
      <c r="M94" s="582"/>
      <c r="N94" s="421"/>
      <c r="O94" s="421"/>
    </row>
    <row r="95" spans="1:15" ht="31.4" customHeight="1" x14ac:dyDescent="0.25">
      <c r="C95" s="421"/>
      <c r="D95" s="421"/>
      <c r="E95" s="421"/>
      <c r="F95" s="421"/>
      <c r="G95" s="421"/>
      <c r="H95" s="421"/>
      <c r="I95" s="421"/>
      <c r="J95" s="421"/>
      <c r="K95" s="421"/>
      <c r="L95" s="421"/>
      <c r="M95" s="421"/>
      <c r="N95" s="421"/>
      <c r="O95" s="421"/>
    </row>
    <row r="96" spans="1:15" ht="19.399999999999999" customHeight="1" x14ac:dyDescent="0.25">
      <c r="C96" s="421"/>
      <c r="D96" s="421"/>
      <c r="E96" s="421"/>
      <c r="F96" s="421"/>
      <c r="G96" s="421"/>
      <c r="H96" s="421"/>
      <c r="I96" s="421"/>
      <c r="J96" s="421"/>
      <c r="K96" s="421"/>
      <c r="L96" s="421"/>
      <c r="M96" s="421"/>
      <c r="N96" s="421"/>
      <c r="O96" s="421"/>
    </row>
    <row r="97" spans="1:15" ht="18" hidden="1" customHeight="1" x14ac:dyDescent="0.25">
      <c r="C97" s="421"/>
      <c r="D97" s="421"/>
      <c r="E97" s="421"/>
      <c r="F97" s="421"/>
      <c r="G97" s="421"/>
      <c r="H97" s="421"/>
      <c r="I97" s="421"/>
      <c r="J97" s="421"/>
      <c r="K97" s="421"/>
      <c r="L97" s="421"/>
      <c r="M97" s="421"/>
      <c r="N97" s="421"/>
      <c r="O97" s="421"/>
    </row>
    <row r="98" spans="1:15" ht="40.4" hidden="1" customHeight="1" x14ac:dyDescent="0.25">
      <c r="C98" s="421"/>
      <c r="D98" s="421"/>
      <c r="E98" s="421"/>
      <c r="F98" s="421"/>
      <c r="G98" s="421"/>
      <c r="H98" s="421"/>
      <c r="I98" s="421"/>
      <c r="J98" s="421"/>
      <c r="K98" s="421"/>
      <c r="L98" s="421"/>
      <c r="M98" s="421"/>
      <c r="N98" s="421"/>
      <c r="O98" s="421"/>
    </row>
    <row r="99" spans="1:15" ht="44.15" hidden="1" customHeight="1" x14ac:dyDescent="0.25">
      <c r="C99" s="421"/>
      <c r="D99" s="421"/>
      <c r="E99" s="421"/>
      <c r="F99" s="421"/>
      <c r="G99" s="421"/>
      <c r="H99" s="421"/>
      <c r="I99" s="421"/>
      <c r="J99" s="421"/>
      <c r="K99" s="421"/>
      <c r="L99" s="421"/>
      <c r="M99" s="421"/>
      <c r="N99" s="421"/>
      <c r="O99" s="421"/>
    </row>
    <row r="100" spans="1:15" ht="28.4" hidden="1" customHeight="1" x14ac:dyDescent="0.25">
      <c r="C100" s="421"/>
      <c r="D100" s="421"/>
      <c r="E100" s="421"/>
      <c r="F100" s="421"/>
      <c r="G100" s="421"/>
      <c r="H100" s="421"/>
      <c r="I100" s="421"/>
      <c r="J100" s="421"/>
      <c r="K100" s="421"/>
      <c r="L100" s="421"/>
      <c r="M100" s="421"/>
      <c r="N100" s="421"/>
      <c r="O100" s="421"/>
    </row>
    <row r="101" spans="1:15" ht="53.5" hidden="1" customHeight="1" x14ac:dyDescent="0.25">
      <c r="C101" s="421"/>
      <c r="D101" s="421"/>
      <c r="E101" s="421"/>
      <c r="F101" s="421"/>
      <c r="G101" s="421"/>
      <c r="H101" s="421"/>
      <c r="I101" s="421"/>
      <c r="J101" s="421"/>
      <c r="K101" s="421"/>
      <c r="L101" s="421"/>
      <c r="M101" s="421"/>
      <c r="N101" s="421"/>
      <c r="O101" s="421"/>
    </row>
    <row r="102" spans="1:15" ht="29.15" hidden="1" customHeight="1" x14ac:dyDescent="0.25">
      <c r="C102" s="421"/>
      <c r="D102" s="421"/>
      <c r="E102" s="421"/>
      <c r="F102" s="421"/>
      <c r="G102" s="421"/>
      <c r="H102" s="421"/>
      <c r="I102" s="421"/>
      <c r="J102" s="421"/>
      <c r="K102" s="421"/>
      <c r="L102" s="421"/>
      <c r="M102" s="421"/>
      <c r="N102" s="421"/>
      <c r="O102" s="421"/>
    </row>
    <row r="103" spans="1:15" ht="50.5" hidden="1" customHeight="1" x14ac:dyDescent="0.25">
      <c r="C103" s="421"/>
      <c r="D103" s="421"/>
      <c r="E103" s="421"/>
      <c r="F103" s="421"/>
      <c r="G103" s="421"/>
      <c r="H103" s="421"/>
      <c r="I103" s="421"/>
      <c r="J103" s="421"/>
      <c r="K103" s="421"/>
      <c r="L103" s="421"/>
      <c r="M103" s="421"/>
      <c r="N103" s="421"/>
      <c r="O103" s="421"/>
    </row>
    <row r="104" spans="1:15" ht="18" hidden="1" customHeight="1" x14ac:dyDescent="0.25">
      <c r="A104" s="424"/>
      <c r="B104" s="424"/>
      <c r="C104" s="421"/>
      <c r="D104" s="421"/>
      <c r="E104" s="421"/>
      <c r="F104" s="421"/>
      <c r="G104" s="421"/>
      <c r="H104" s="421"/>
      <c r="I104" s="421"/>
      <c r="J104" s="421"/>
      <c r="K104" s="421"/>
      <c r="L104" s="421"/>
      <c r="M104" s="421"/>
      <c r="N104" s="421"/>
      <c r="O104" s="421"/>
    </row>
    <row r="105" spans="1:15" ht="45" hidden="1" customHeight="1" x14ac:dyDescent="0.25">
      <c r="A105" s="424"/>
      <c r="B105" s="424"/>
      <c r="C105" s="421"/>
      <c r="D105" s="421"/>
      <c r="E105" s="421"/>
      <c r="F105" s="421"/>
      <c r="G105" s="421"/>
      <c r="H105" s="421"/>
      <c r="I105" s="421"/>
      <c r="J105" s="421"/>
      <c r="K105" s="421"/>
      <c r="L105" s="421"/>
      <c r="M105" s="421"/>
      <c r="N105" s="421"/>
      <c r="O105" s="421"/>
    </row>
    <row r="106" spans="1:15" ht="30" hidden="1" customHeight="1" x14ac:dyDescent="0.25">
      <c r="A106" s="424"/>
      <c r="B106" s="424"/>
      <c r="C106" s="421"/>
      <c r="D106" s="421"/>
      <c r="E106" s="421"/>
      <c r="F106" s="421"/>
      <c r="G106" s="421"/>
      <c r="H106" s="421"/>
      <c r="I106" s="421"/>
      <c r="J106" s="421"/>
      <c r="K106" s="421"/>
      <c r="L106" s="421"/>
      <c r="M106" s="421"/>
      <c r="N106" s="421"/>
      <c r="O106" s="421"/>
    </row>
    <row r="107" spans="1:15" ht="36" hidden="1" customHeight="1" x14ac:dyDescent="0.25">
      <c r="A107" s="424"/>
      <c r="B107" s="424"/>
      <c r="C107" s="421"/>
      <c r="D107" s="421"/>
      <c r="E107" s="421"/>
      <c r="F107" s="421"/>
      <c r="G107" s="421"/>
      <c r="H107" s="421"/>
      <c r="I107" s="421"/>
      <c r="J107" s="421"/>
      <c r="K107" s="421"/>
      <c r="L107" s="421"/>
      <c r="M107" s="421"/>
      <c r="N107" s="421"/>
      <c r="O107" s="421"/>
    </row>
    <row r="108" spans="1:15" ht="18.75" hidden="1" customHeight="1" x14ac:dyDescent="0.25">
      <c r="C108" s="421"/>
      <c r="D108" s="421"/>
      <c r="E108" s="421"/>
      <c r="F108" s="421"/>
      <c r="G108" s="421"/>
      <c r="H108" s="421"/>
      <c r="I108" s="421"/>
      <c r="J108" s="421"/>
      <c r="K108" s="421"/>
      <c r="L108" s="421"/>
      <c r="M108" s="421"/>
      <c r="N108" s="421"/>
      <c r="O108" s="421"/>
    </row>
    <row r="109" spans="1:15" ht="22.5" hidden="1" customHeight="1" x14ac:dyDescent="0.25">
      <c r="C109" s="421"/>
      <c r="D109" s="421"/>
      <c r="E109" s="421"/>
      <c r="F109" s="421"/>
      <c r="G109" s="421"/>
      <c r="H109" s="421"/>
      <c r="I109" s="421"/>
      <c r="J109" s="421"/>
      <c r="K109" s="421"/>
      <c r="L109" s="421"/>
      <c r="M109" s="421"/>
      <c r="N109" s="421"/>
      <c r="O109" s="421"/>
    </row>
    <row r="110" spans="1:15" ht="20.25" hidden="1" customHeight="1" x14ac:dyDescent="0.25">
      <c r="A110" s="424"/>
      <c r="B110" s="424"/>
      <c r="C110" s="421"/>
      <c r="D110" s="421"/>
      <c r="E110" s="421"/>
      <c r="F110" s="421"/>
      <c r="G110" s="421"/>
      <c r="H110" s="421"/>
      <c r="I110" s="421"/>
      <c r="J110" s="421"/>
      <c r="K110" s="421"/>
      <c r="L110" s="421"/>
      <c r="M110" s="421"/>
      <c r="N110" s="421"/>
      <c r="O110" s="421"/>
    </row>
    <row r="111" spans="1:15" ht="15.75" hidden="1" customHeight="1" x14ac:dyDescent="0.25">
      <c r="A111" s="424"/>
      <c r="B111" s="424"/>
      <c r="C111" s="421"/>
      <c r="D111" s="421"/>
      <c r="E111" s="421"/>
      <c r="F111" s="421"/>
      <c r="G111" s="421"/>
      <c r="H111" s="421"/>
      <c r="I111" s="421"/>
      <c r="J111" s="421"/>
      <c r="K111" s="421"/>
      <c r="L111" s="421"/>
      <c r="M111" s="421"/>
      <c r="N111" s="421"/>
      <c r="O111" s="421"/>
    </row>
    <row r="112" spans="1:15" ht="21" hidden="1" customHeight="1" x14ac:dyDescent="0.25">
      <c r="A112" s="424"/>
      <c r="B112" s="424"/>
      <c r="C112" s="421"/>
      <c r="D112" s="421"/>
      <c r="E112" s="421"/>
      <c r="F112" s="421"/>
      <c r="G112" s="421"/>
      <c r="H112" s="421"/>
      <c r="I112" s="421"/>
      <c r="J112" s="421"/>
      <c r="K112" s="421"/>
      <c r="L112" s="421"/>
      <c r="M112" s="421"/>
      <c r="N112" s="421"/>
      <c r="O112" s="421"/>
    </row>
    <row r="113" spans="1:15" ht="34.5" hidden="1" customHeight="1" x14ac:dyDescent="0.25">
      <c r="A113" s="424"/>
      <c r="B113" s="424"/>
      <c r="C113" s="421"/>
      <c r="D113" s="421"/>
      <c r="E113" s="421"/>
      <c r="F113" s="421"/>
      <c r="G113" s="421"/>
      <c r="H113" s="421"/>
      <c r="I113" s="421"/>
      <c r="J113" s="421"/>
      <c r="K113" s="421"/>
      <c r="L113" s="421"/>
      <c r="M113" s="421"/>
      <c r="N113" s="421"/>
      <c r="O113" s="421"/>
    </row>
    <row r="114" spans="1:15" ht="14.25" hidden="1" customHeight="1" x14ac:dyDescent="0.25">
      <c r="A114" s="424"/>
      <c r="B114" s="424"/>
      <c r="C114" s="421"/>
      <c r="D114" s="421"/>
      <c r="E114" s="421"/>
      <c r="F114" s="421"/>
      <c r="G114" s="421"/>
      <c r="H114" s="421"/>
      <c r="I114" s="421"/>
      <c r="J114" s="421"/>
      <c r="K114" s="421"/>
      <c r="L114" s="421"/>
      <c r="M114" s="421"/>
      <c r="N114" s="421"/>
      <c r="O114" s="421"/>
    </row>
    <row r="115" spans="1:15" ht="19.5" hidden="1" customHeight="1" x14ac:dyDescent="0.25">
      <c r="A115" s="424"/>
      <c r="B115" s="424"/>
      <c r="C115" s="421"/>
      <c r="D115" s="421"/>
      <c r="E115" s="421"/>
      <c r="F115" s="421"/>
      <c r="G115" s="421"/>
      <c r="H115" s="421"/>
      <c r="I115" s="421"/>
      <c r="J115" s="421"/>
      <c r="K115" s="421"/>
      <c r="L115" s="421"/>
      <c r="M115" s="421"/>
      <c r="N115" s="421"/>
      <c r="O115" s="421"/>
    </row>
    <row r="116" spans="1:15" ht="29.25" hidden="1" customHeight="1" x14ac:dyDescent="0.25">
      <c r="A116" s="424"/>
      <c r="B116" s="424"/>
      <c r="C116" s="421"/>
      <c r="D116" s="421"/>
      <c r="E116" s="421"/>
      <c r="F116" s="421"/>
      <c r="G116" s="421"/>
      <c r="H116" s="421"/>
      <c r="I116" s="421"/>
      <c r="J116" s="421"/>
      <c r="K116" s="421"/>
      <c r="L116" s="421"/>
      <c r="M116" s="421"/>
      <c r="N116" s="421"/>
      <c r="O116" s="421"/>
    </row>
    <row r="117" spans="1:15" ht="12.75" hidden="1" customHeight="1" x14ac:dyDescent="0.25">
      <c r="A117" s="424"/>
      <c r="B117" s="424"/>
      <c r="C117" s="421"/>
      <c r="D117" s="421"/>
      <c r="E117" s="421"/>
      <c r="F117" s="421"/>
      <c r="G117" s="421"/>
      <c r="H117" s="421"/>
      <c r="I117" s="421"/>
      <c r="J117" s="421"/>
      <c r="K117" s="421"/>
      <c r="L117" s="421"/>
      <c r="M117" s="421"/>
      <c r="N117" s="421"/>
      <c r="O117" s="421"/>
    </row>
    <row r="118" spans="1:15" ht="13.5" hidden="1" customHeight="1" x14ac:dyDescent="0.25">
      <c r="A118" s="424"/>
      <c r="B118" s="424"/>
      <c r="C118" s="421"/>
      <c r="D118" s="421"/>
      <c r="E118" s="421"/>
      <c r="F118" s="421"/>
      <c r="G118" s="421"/>
      <c r="H118" s="421"/>
      <c r="I118" s="421"/>
      <c r="J118" s="421"/>
      <c r="K118" s="421"/>
      <c r="L118" s="421"/>
      <c r="M118" s="421"/>
      <c r="N118" s="421"/>
      <c r="O118" s="421"/>
    </row>
    <row r="119" spans="1:15" ht="27.65" hidden="1" customHeight="1" x14ac:dyDescent="0.25">
      <c r="A119" s="424"/>
      <c r="B119" s="424"/>
      <c r="C119" s="421"/>
      <c r="D119" s="421"/>
      <c r="E119" s="421"/>
      <c r="F119" s="421"/>
      <c r="G119" s="421"/>
      <c r="H119" s="421"/>
      <c r="I119" s="421"/>
      <c r="J119" s="421"/>
      <c r="K119" s="421"/>
      <c r="L119" s="421"/>
      <c r="M119" s="421"/>
      <c r="N119" s="421"/>
      <c r="O119" s="421"/>
    </row>
    <row r="120" spans="1:15" ht="19.5" hidden="1" customHeight="1" x14ac:dyDescent="0.25">
      <c r="A120" s="424"/>
      <c r="B120" s="424"/>
      <c r="C120" s="421"/>
      <c r="D120" s="421"/>
      <c r="E120" s="421"/>
      <c r="F120" s="421"/>
      <c r="G120" s="421"/>
      <c r="H120" s="421"/>
      <c r="I120" s="421"/>
      <c r="J120" s="421"/>
      <c r="K120" s="421"/>
      <c r="L120" s="421"/>
      <c r="M120" s="421"/>
      <c r="N120" s="421"/>
      <c r="O120" s="421"/>
    </row>
    <row r="121" spans="1:15" ht="31.5" hidden="1" customHeight="1" x14ac:dyDescent="0.25">
      <c r="A121" s="424"/>
      <c r="B121" s="424"/>
      <c r="C121" s="421"/>
      <c r="D121" s="421"/>
      <c r="E121" s="421"/>
      <c r="F121" s="421"/>
      <c r="G121" s="421"/>
      <c r="H121" s="421"/>
      <c r="I121" s="421"/>
      <c r="J121" s="421"/>
      <c r="K121" s="421"/>
      <c r="L121" s="421"/>
      <c r="M121" s="421"/>
      <c r="N121" s="421"/>
      <c r="O121" s="421"/>
    </row>
    <row r="122" spans="1:15" ht="21.75" hidden="1" customHeight="1" x14ac:dyDescent="0.25">
      <c r="A122" s="424"/>
      <c r="B122" s="424"/>
      <c r="C122" s="421"/>
      <c r="D122" s="421"/>
      <c r="E122" s="421"/>
      <c r="F122" s="421"/>
      <c r="G122" s="421"/>
      <c r="H122" s="421"/>
      <c r="I122" s="421"/>
      <c r="J122" s="421"/>
      <c r="K122" s="421"/>
      <c r="L122" s="421"/>
      <c r="M122" s="421"/>
      <c r="N122" s="421"/>
      <c r="O122" s="421"/>
    </row>
    <row r="123" spans="1:15" ht="12.75" hidden="1" customHeight="1" x14ac:dyDescent="0.25">
      <c r="A123" s="424"/>
      <c r="B123" s="424"/>
      <c r="C123" s="421"/>
      <c r="D123" s="421"/>
      <c r="E123" s="421"/>
      <c r="F123" s="421"/>
      <c r="G123" s="421"/>
      <c r="H123" s="421"/>
      <c r="I123" s="421"/>
      <c r="J123" s="421"/>
      <c r="K123" s="421"/>
      <c r="L123" s="421"/>
      <c r="M123" s="421"/>
      <c r="N123" s="421"/>
      <c r="O123" s="421"/>
    </row>
    <row r="124" spans="1:15" s="421" customFormat="1" ht="12.75" hidden="1" customHeight="1" x14ac:dyDescent="0.25">
      <c r="A124" s="424"/>
      <c r="B124" s="424"/>
    </row>
    <row r="125" spans="1:15" s="421" customFormat="1" ht="12.75" hidden="1" customHeight="1" x14ac:dyDescent="0.25">
      <c r="A125" s="424"/>
      <c r="B125" s="424"/>
    </row>
    <row r="126" spans="1:15" s="421" customFormat="1" hidden="1" x14ac:dyDescent="0.25"/>
    <row r="127" spans="1:15" s="421" customFormat="1" hidden="1" x14ac:dyDescent="0.25"/>
    <row r="128" spans="1:15" s="421" customFormat="1" hidden="1" x14ac:dyDescent="0.25"/>
    <row r="129" spans="1:15" s="421" customFormat="1" hidden="1" x14ac:dyDescent="0.25">
      <c r="G129" s="422"/>
    </row>
    <row r="130" spans="1:15" s="421" customFormat="1" ht="13" hidden="1" x14ac:dyDescent="0.3">
      <c r="L130" s="426"/>
    </row>
    <row r="131" spans="1:15" s="421" customFormat="1" ht="13" hidden="1" x14ac:dyDescent="0.3">
      <c r="L131" s="426"/>
    </row>
    <row r="132" spans="1:15" s="421" customFormat="1" hidden="1" x14ac:dyDescent="0.25">
      <c r="O132" s="457"/>
    </row>
    <row r="133" spans="1:15" s="421" customFormat="1" hidden="1" x14ac:dyDescent="0.25">
      <c r="A133" s="422" t="s">
        <v>261</v>
      </c>
      <c r="B133" s="422"/>
      <c r="C133" s="425">
        <f ca="1">DATE(YEAR(Date_curr)-18,MONTH(Date_curr),DAY(Date_curr))</f>
        <v>37639</v>
      </c>
      <c r="D133" s="425"/>
      <c r="E133" s="422" t="s">
        <v>337</v>
      </c>
      <c r="F133" s="422"/>
      <c r="G133" s="422"/>
      <c r="H133" s="422"/>
      <c r="I133" s="422"/>
      <c r="J133" s="422"/>
      <c r="K133" s="422"/>
      <c r="L133" s="422"/>
      <c r="M133" s="422"/>
      <c r="N133" s="422"/>
      <c r="O133" s="457"/>
    </row>
    <row r="134" spans="1:15" s="421" customFormat="1" hidden="1" x14ac:dyDescent="0.25">
      <c r="C134" s="425">
        <f>DATE(YEAR(DJS)-18,MONTH(DJS),DAY(DJS))</f>
        <v>687388</v>
      </c>
      <c r="D134" s="422"/>
      <c r="E134" s="422" t="s">
        <v>336</v>
      </c>
      <c r="F134" s="422"/>
      <c r="G134" s="422"/>
      <c r="H134" s="422"/>
      <c r="I134" s="422"/>
      <c r="J134" s="422"/>
      <c r="K134" s="422"/>
      <c r="L134" s="422"/>
      <c r="M134" s="422"/>
      <c r="N134" s="422"/>
    </row>
    <row r="135" spans="1:15" s="421" customFormat="1" hidden="1" x14ac:dyDescent="0.25">
      <c r="A135" s="422" t="s">
        <v>239</v>
      </c>
      <c r="B135" s="422"/>
      <c r="C135" s="425">
        <f ca="1">MIN(C133:C134)</f>
        <v>37639</v>
      </c>
      <c r="D135" s="422"/>
      <c r="E135" s="422" t="s">
        <v>338</v>
      </c>
      <c r="F135" s="422"/>
      <c r="G135" s="422"/>
      <c r="H135" s="422"/>
      <c r="I135" s="422"/>
      <c r="J135" s="422"/>
      <c r="K135" s="422"/>
      <c r="L135" s="422"/>
      <c r="M135" s="422"/>
      <c r="N135" s="422"/>
    </row>
    <row r="136" spans="1:15" s="421" customFormat="1" hidden="1" x14ac:dyDescent="0.25">
      <c r="A136" s="425"/>
      <c r="B136" s="425"/>
      <c r="C136" s="425">
        <f>DATE(YEAR(Parameters!D84)-65,MONTH(Parameters!D84),DAY(Parameters!D84))</f>
        <v>670312</v>
      </c>
      <c r="D136" s="422"/>
      <c r="E136" s="422" t="s">
        <v>339</v>
      </c>
      <c r="F136" s="422"/>
      <c r="G136" s="422"/>
      <c r="H136" s="422"/>
      <c r="I136" s="422"/>
      <c r="J136" s="422"/>
      <c r="K136" s="422"/>
      <c r="L136" s="422"/>
      <c r="M136" s="422"/>
      <c r="N136" s="422"/>
    </row>
    <row r="137" spans="1:15" s="421" customFormat="1" hidden="1" x14ac:dyDescent="0.25">
      <c r="A137" s="425"/>
      <c r="B137" s="425"/>
      <c r="C137" s="425"/>
      <c r="D137" s="422"/>
      <c r="E137" s="422"/>
      <c r="F137" s="422"/>
      <c r="G137" s="422"/>
      <c r="H137" s="422"/>
      <c r="I137" s="422"/>
      <c r="J137" s="422"/>
      <c r="K137" s="422"/>
      <c r="L137" s="422"/>
      <c r="M137" s="422"/>
      <c r="N137" s="422"/>
    </row>
    <row r="138" spans="1:15" s="421" customFormat="1" hidden="1" x14ac:dyDescent="0.25">
      <c r="A138" s="425"/>
      <c r="B138" s="425"/>
      <c r="C138" s="422" t="str">
        <f>+IF(DJS&gt;=NewSchDate,"2015 Scheme",IF(E138&gt;=18,IF(DJS&gt;G138,"2006 Scheme","1987 Scheme"),"2006 Scheme"))</f>
        <v>1987 Scheme</v>
      </c>
      <c r="D138" s="422"/>
      <c r="E138" s="458">
        <f>+(G138-DoB)/365.25</f>
        <v>106.26420260095824</v>
      </c>
      <c r="F138" s="459" t="s">
        <v>262</v>
      </c>
      <c r="G138" s="425">
        <v>38813</v>
      </c>
      <c r="H138" s="422"/>
      <c r="I138" s="422"/>
      <c r="J138" s="422"/>
      <c r="K138" s="422"/>
      <c r="L138" s="422"/>
      <c r="M138" s="422"/>
      <c r="N138" s="422"/>
    </row>
    <row r="139" spans="1:15" s="421" customFormat="1" hidden="1" x14ac:dyDescent="0.25">
      <c r="A139" s="422" t="s">
        <v>59</v>
      </c>
      <c r="B139" s="422"/>
      <c r="C139" s="422" t="str">
        <f>IF(DJS&gt;=NewSchDate,"",IF(C138="2006 Scheme","","2006 Scheme"))</f>
        <v>2006 Scheme</v>
      </c>
      <c r="D139" s="422" t="str">
        <f>""</f>
        <v/>
      </c>
      <c r="E139" s="422" t="s">
        <v>249</v>
      </c>
      <c r="F139" s="422"/>
      <c r="G139" s="422"/>
      <c r="H139" s="422"/>
      <c r="I139" s="422"/>
      <c r="J139" s="422"/>
      <c r="K139" s="422"/>
      <c r="L139" s="422"/>
      <c r="M139" s="422"/>
      <c r="N139" s="422"/>
    </row>
    <row r="140" spans="1:15" s="421" customFormat="1" hidden="1" x14ac:dyDescent="0.25">
      <c r="A140" s="422"/>
      <c r="B140" s="422"/>
      <c r="C140" s="422"/>
      <c r="D140" s="422"/>
      <c r="E140" s="422"/>
      <c r="F140" s="422"/>
      <c r="G140" s="422"/>
      <c r="H140" s="422"/>
      <c r="I140" s="422"/>
      <c r="J140" s="422"/>
      <c r="K140" s="422"/>
      <c r="L140" s="422"/>
      <c r="M140" s="422"/>
      <c r="N140" s="422"/>
    </row>
    <row r="141" spans="1:15" s="421" customFormat="1" hidden="1" x14ac:dyDescent="0.25">
      <c r="A141" s="422"/>
      <c r="B141" s="422"/>
      <c r="C141" s="422" t="s">
        <v>253</v>
      </c>
      <c r="D141" s="425">
        <f ca="1">Date_curr</f>
        <v>44214</v>
      </c>
      <c r="E141" s="425"/>
      <c r="F141" s="422"/>
      <c r="G141" s="422"/>
      <c r="H141" s="422"/>
      <c r="I141" s="422"/>
      <c r="J141" s="422"/>
      <c r="K141" s="422"/>
      <c r="L141" s="422"/>
      <c r="M141" s="422"/>
      <c r="N141" s="422"/>
    </row>
    <row r="142" spans="1:15" s="421" customFormat="1" hidden="1" x14ac:dyDescent="0.25">
      <c r="A142" s="422"/>
      <c r="B142" s="422"/>
      <c r="C142" s="422" t="s">
        <v>252</v>
      </c>
      <c r="D142" s="425">
        <f>+DATE(YEAR(DoB)+18,MONTH(DoB),DAY(DoB))</f>
        <v>6575</v>
      </c>
      <c r="E142" s="425"/>
      <c r="F142" s="422" t="s">
        <v>242</v>
      </c>
      <c r="G142" s="422"/>
      <c r="H142" s="422"/>
      <c r="I142" s="422"/>
      <c r="J142" s="422"/>
      <c r="K142" s="422"/>
      <c r="L142" s="422"/>
      <c r="M142" s="422"/>
      <c r="N142" s="422"/>
    </row>
    <row r="143" spans="1:15" s="421" customFormat="1" hidden="1" x14ac:dyDescent="0.25">
      <c r="A143" s="422" t="s">
        <v>241</v>
      </c>
      <c r="B143" s="422"/>
      <c r="C143" s="422"/>
      <c r="D143" s="425"/>
      <c r="E143" s="425">
        <v>38813</v>
      </c>
      <c r="F143" s="422" t="s">
        <v>249</v>
      </c>
      <c r="G143" s="422"/>
      <c r="H143" s="422"/>
      <c r="I143" s="422"/>
      <c r="J143" s="422"/>
      <c r="K143" s="422"/>
      <c r="L143" s="422"/>
      <c r="M143" s="422"/>
      <c r="N143" s="422"/>
    </row>
    <row r="144" spans="1:15" s="421" customFormat="1" hidden="1" x14ac:dyDescent="0.25">
      <c r="A144" s="422"/>
      <c r="B144" s="422"/>
      <c r="C144" s="425"/>
      <c r="D144" s="425"/>
      <c r="F144" s="422"/>
      <c r="G144" s="422"/>
      <c r="H144" s="422"/>
      <c r="I144" s="422"/>
      <c r="J144" s="422"/>
      <c r="K144" s="422"/>
      <c r="L144" s="422"/>
      <c r="M144" s="422"/>
      <c r="N144" s="422"/>
    </row>
    <row r="145" spans="1:14" s="421" customFormat="1" hidden="1" x14ac:dyDescent="0.25">
      <c r="A145" s="422"/>
      <c r="B145" s="422"/>
      <c r="C145" s="422">
        <v>23000</v>
      </c>
      <c r="E145" s="422"/>
      <c r="F145" s="422"/>
      <c r="G145" s="422"/>
      <c r="H145" s="422"/>
      <c r="I145" s="422"/>
      <c r="J145" s="422"/>
      <c r="K145" s="422"/>
      <c r="L145" s="422"/>
      <c r="M145" s="422"/>
      <c r="N145" s="422"/>
    </row>
    <row r="146" spans="1:14" s="421" customFormat="1" hidden="1" x14ac:dyDescent="0.25">
      <c r="A146" s="422" t="s">
        <v>244</v>
      </c>
      <c r="B146" s="422"/>
      <c r="C146" s="422">
        <v>300000</v>
      </c>
      <c r="E146" s="422"/>
      <c r="F146" s="422"/>
      <c r="G146" s="422"/>
      <c r="H146" s="422"/>
      <c r="I146" s="422"/>
      <c r="J146" s="422"/>
      <c r="K146" s="422"/>
      <c r="L146" s="422"/>
      <c r="M146" s="422"/>
      <c r="N146" s="422"/>
    </row>
    <row r="147" spans="1:14" s="421" customFormat="1" hidden="1" x14ac:dyDescent="0.25">
      <c r="A147" s="422" t="s">
        <v>252</v>
      </c>
      <c r="B147" s="422"/>
      <c r="C147" s="422"/>
      <c r="D147" s="422"/>
      <c r="E147" s="422"/>
      <c r="F147" s="422"/>
      <c r="G147" s="422"/>
      <c r="H147" s="422"/>
      <c r="I147" s="422"/>
      <c r="J147" s="422"/>
      <c r="K147" s="422"/>
      <c r="L147" s="422"/>
      <c r="M147" s="422"/>
      <c r="N147" s="422"/>
    </row>
    <row r="148" spans="1:14" s="421" customFormat="1" hidden="1" x14ac:dyDescent="0.25">
      <c r="A148" s="422" t="s">
        <v>253</v>
      </c>
      <c r="B148" s="422"/>
      <c r="C148" s="460">
        <f>INT((DJS-DATE(YEAR(DoB)+16,MONTH(DoB),DAY(DoB)))/365.25)</f>
        <v>-16</v>
      </c>
      <c r="D148" s="458">
        <f>+IF(TVinYears&gt;=C148,E148,E149)</f>
        <v>0</v>
      </c>
      <c r="E148" s="422">
        <f>+INT(((DJS-DATE(YEAR(DoB)+16,MONTH(DoB),DAY(DoB)))/365.25-INT((DJS-DATE(YEAR(DoB)+16,MONTH(DoB),DAY(DoB)))/365.25))*365.25)</f>
        <v>0</v>
      </c>
      <c r="F148" s="422" t="s">
        <v>251</v>
      </c>
      <c r="G148" s="422"/>
      <c r="H148" s="422"/>
      <c r="I148" s="422"/>
      <c r="J148" s="422"/>
      <c r="K148" s="422"/>
      <c r="L148" s="422"/>
      <c r="M148" s="422"/>
      <c r="N148" s="422"/>
    </row>
    <row r="149" spans="1:14" s="421" customFormat="1" hidden="1" x14ac:dyDescent="0.25">
      <c r="A149" s="422" t="s">
        <v>250</v>
      </c>
      <c r="B149" s="422"/>
      <c r="C149" s="422"/>
      <c r="D149" s="422"/>
      <c r="E149" s="422">
        <v>365</v>
      </c>
      <c r="F149" s="422"/>
      <c r="G149" s="422"/>
      <c r="H149" s="422"/>
      <c r="I149" s="422"/>
      <c r="J149" s="422"/>
      <c r="K149" s="422"/>
      <c r="L149" s="422"/>
      <c r="M149" s="422"/>
      <c r="N149" s="422"/>
    </row>
    <row r="150" spans="1:14" s="421" customFormat="1" hidden="1" x14ac:dyDescent="0.25">
      <c r="A150" s="422" t="s">
        <v>253</v>
      </c>
      <c r="B150" s="422"/>
      <c r="C150" s="422"/>
      <c r="E150" s="422"/>
      <c r="F150" s="422"/>
      <c r="G150" s="422"/>
      <c r="H150" s="422"/>
      <c r="I150" s="422"/>
      <c r="J150" s="422"/>
      <c r="K150" s="422"/>
      <c r="L150" s="422"/>
      <c r="M150" s="422"/>
      <c r="N150" s="422"/>
    </row>
    <row r="151" spans="1:14" s="421" customFormat="1" hidden="1" x14ac:dyDescent="0.25">
      <c r="A151" s="422"/>
      <c r="B151" s="422"/>
      <c r="C151" s="460">
        <v>48</v>
      </c>
      <c r="D151" s="425">
        <f>DATE(YEAR(DoB)+C151,MONTH(DoB),DAY(DoB))</f>
        <v>17532</v>
      </c>
      <c r="E151" s="422"/>
      <c r="F151" s="422"/>
      <c r="G151" s="422"/>
      <c r="H151" s="422"/>
      <c r="J151" s="422"/>
      <c r="K151" s="422"/>
      <c r="L151" s="422"/>
      <c r="M151" s="422"/>
      <c r="N151" s="422"/>
    </row>
    <row r="152" spans="1:14" s="421" customFormat="1" hidden="1" x14ac:dyDescent="0.25">
      <c r="A152" s="422" t="s">
        <v>254</v>
      </c>
      <c r="B152" s="422"/>
      <c r="C152" s="460">
        <v>68</v>
      </c>
      <c r="D152" s="425">
        <f>DATE(YEAR(DoB)+C152,MONTH(DoB),DAY(DoB))</f>
        <v>24837</v>
      </c>
      <c r="E152" s="422"/>
      <c r="F152" s="422"/>
      <c r="G152" s="422"/>
      <c r="H152" s="422"/>
      <c r="J152" s="422"/>
      <c r="K152" s="422"/>
      <c r="L152" s="422"/>
      <c r="M152" s="422"/>
      <c r="N152" s="422"/>
    </row>
    <row r="153" spans="1:14" s="421" customFormat="1" hidden="1" x14ac:dyDescent="0.25">
      <c r="A153" s="422" t="s">
        <v>252</v>
      </c>
      <c r="B153" s="422"/>
      <c r="C153" s="422"/>
      <c r="D153" s="422" t="s">
        <v>60</v>
      </c>
      <c r="E153" s="422"/>
      <c r="F153" s="422"/>
      <c r="G153" s="422"/>
      <c r="H153" s="422"/>
      <c r="J153" s="422"/>
      <c r="K153" s="422"/>
      <c r="L153" s="422"/>
      <c r="M153" s="422"/>
      <c r="N153" s="422"/>
    </row>
    <row r="154" spans="1:14" s="421" customFormat="1" hidden="1" x14ac:dyDescent="0.25">
      <c r="A154" s="422" t="s">
        <v>253</v>
      </c>
      <c r="B154" s="422"/>
      <c r="C154" s="460">
        <f>+MAX(55,D157)</f>
        <v>55</v>
      </c>
      <c r="D154" s="422" t="s">
        <v>252</v>
      </c>
      <c r="E154" s="460">
        <f>MAX(ROUND((D162-DoB)/365.25,2),D157)</f>
        <v>30</v>
      </c>
      <c r="F154" s="458"/>
      <c r="G154" s="458"/>
      <c r="H154" s="422"/>
      <c r="J154" s="422"/>
      <c r="K154" s="422"/>
      <c r="L154" s="422"/>
      <c r="M154" s="422"/>
      <c r="N154" s="422"/>
    </row>
    <row r="155" spans="1:14" s="421" customFormat="1" hidden="1" x14ac:dyDescent="0.25">
      <c r="A155" s="422" t="s">
        <v>61</v>
      </c>
      <c r="B155" s="422"/>
      <c r="C155" s="460">
        <v>65</v>
      </c>
      <c r="D155" s="422" t="s">
        <v>253</v>
      </c>
      <c r="E155" s="460">
        <v>65</v>
      </c>
      <c r="F155" s="422"/>
      <c r="G155" s="425"/>
      <c r="H155" s="422"/>
      <c r="J155" s="422"/>
      <c r="K155" s="422"/>
      <c r="L155" s="422"/>
      <c r="M155" s="422"/>
      <c r="N155" s="422"/>
    </row>
    <row r="156" spans="1:14" s="421" customFormat="1" hidden="1" x14ac:dyDescent="0.25">
      <c r="A156" s="422" t="s">
        <v>252</v>
      </c>
      <c r="B156" s="422"/>
      <c r="C156" s="460"/>
      <c r="D156" s="422"/>
      <c r="E156" s="425">
        <f>+DATE(YEAR(DJS)-TVinYears,MONTH(DJS),DAY(DJS))-TVinDays</f>
        <v>0</v>
      </c>
      <c r="F156" s="422"/>
      <c r="G156" s="425"/>
      <c r="H156" s="422"/>
      <c r="J156" s="422"/>
      <c r="K156" s="422"/>
      <c r="L156" s="422"/>
      <c r="M156" s="422"/>
      <c r="N156" s="422"/>
    </row>
    <row r="157" spans="1:14" s="421" customFormat="1" hidden="1" x14ac:dyDescent="0.25">
      <c r="A157" s="422" t="s">
        <v>253</v>
      </c>
      <c r="B157" s="422"/>
      <c r="C157" s="460"/>
      <c r="D157" s="458">
        <f>+ROUNDUP((Parameters!D84-DoB)/365.25,0)</f>
        <v>1</v>
      </c>
      <c r="E157" s="425" t="s">
        <v>313</v>
      </c>
      <c r="F157" s="422"/>
      <c r="G157" s="425"/>
      <c r="H157" s="422"/>
      <c r="J157" s="422"/>
      <c r="K157" s="422"/>
      <c r="L157" s="422"/>
      <c r="M157" s="422"/>
      <c r="N157" s="422"/>
    </row>
    <row r="158" spans="1:14" s="421" customFormat="1" hidden="1" x14ac:dyDescent="0.25">
      <c r="A158" s="422" t="s">
        <v>268</v>
      </c>
      <c r="B158" s="422"/>
      <c r="C158" s="425"/>
      <c r="D158" s="425">
        <f>+DATE(YEAR(E156)+30,MONTH(E156),DAY(E156))</f>
        <v>10958</v>
      </c>
      <c r="E158" s="422" t="s">
        <v>256</v>
      </c>
      <c r="F158" s="422"/>
      <c r="G158" s="422"/>
      <c r="H158" s="422"/>
      <c r="J158" s="422"/>
      <c r="K158" s="422"/>
      <c r="L158" s="422"/>
      <c r="M158" s="422"/>
      <c r="N158" s="422"/>
    </row>
    <row r="159" spans="1:14" s="421" customFormat="1" hidden="1" x14ac:dyDescent="0.25">
      <c r="A159" s="422"/>
      <c r="B159" s="422"/>
      <c r="C159" s="422"/>
      <c r="D159" s="425">
        <f>+DATE(YEAR(DoB)+55,MONTH(DoB),DAY(DoB))</f>
        <v>20089</v>
      </c>
      <c r="E159" s="422" t="s">
        <v>255</v>
      </c>
      <c r="F159" s="422"/>
      <c r="G159" s="422"/>
      <c r="H159" s="422"/>
      <c r="J159" s="422"/>
      <c r="K159" s="422"/>
      <c r="L159" s="422"/>
      <c r="M159" s="422"/>
      <c r="N159" s="422"/>
    </row>
    <row r="160" spans="1:14" s="421" customFormat="1" hidden="1" x14ac:dyDescent="0.25">
      <c r="A160" s="422"/>
      <c r="B160" s="422"/>
      <c r="C160" s="422"/>
      <c r="D160" s="425">
        <f>+DATE(YEAR(E156)+25,MONTH(E156),DAY(E156))</f>
        <v>9132</v>
      </c>
      <c r="E160" s="422" t="s">
        <v>257</v>
      </c>
      <c r="F160" s="422"/>
      <c r="G160" s="422"/>
      <c r="H160" s="422"/>
      <c r="J160" s="422"/>
      <c r="K160" s="422"/>
      <c r="L160" s="422"/>
      <c r="M160" s="422"/>
      <c r="N160" s="422"/>
    </row>
    <row r="161" spans="1:14" s="421" customFormat="1" hidden="1" x14ac:dyDescent="0.25">
      <c r="A161" s="422"/>
      <c r="B161" s="422"/>
      <c r="C161" s="425"/>
      <c r="D161" s="425">
        <f>+DATE(YEAR(DoB)+50,MONTH(DoB),DAY(DoB))</f>
        <v>18263</v>
      </c>
      <c r="E161" s="422" t="s">
        <v>258</v>
      </c>
      <c r="F161" s="422"/>
      <c r="G161" s="422"/>
      <c r="H161" s="422"/>
      <c r="J161" s="422"/>
      <c r="K161" s="422"/>
      <c r="L161" s="422"/>
      <c r="M161" s="422"/>
      <c r="N161" s="422"/>
    </row>
    <row r="162" spans="1:14" s="421" customFormat="1" hidden="1" x14ac:dyDescent="0.25">
      <c r="A162" s="422"/>
      <c r="B162" s="422"/>
      <c r="C162" s="422"/>
      <c r="D162" s="425">
        <f>+MIN(D158,D159,MAX(D160,D161))</f>
        <v>10958</v>
      </c>
      <c r="E162" s="422" t="s">
        <v>260</v>
      </c>
      <c r="G162" s="422"/>
      <c r="H162" s="422"/>
      <c r="I162" s="422"/>
      <c r="J162" s="422"/>
      <c r="K162" s="422"/>
      <c r="L162" s="422"/>
      <c r="M162" s="422"/>
      <c r="N162" s="422"/>
    </row>
    <row r="163" spans="1:14" s="421" customFormat="1" hidden="1" x14ac:dyDescent="0.25">
      <c r="A163" s="422"/>
      <c r="B163" s="422"/>
      <c r="L163" s="422"/>
      <c r="M163" s="422"/>
      <c r="N163" s="422"/>
    </row>
    <row r="164" spans="1:14" s="421" customFormat="1" ht="13" hidden="1" x14ac:dyDescent="0.3">
      <c r="A164" s="426" t="s">
        <v>259</v>
      </c>
      <c r="B164" s="426"/>
      <c r="C164" s="426" t="s">
        <v>186</v>
      </c>
      <c r="E164" s="421" t="e">
        <f>'PPS and NPPS calcs'!F26</f>
        <v>#N/A</v>
      </c>
      <c r="L164" s="422"/>
      <c r="M164" s="422"/>
      <c r="N164" s="422"/>
    </row>
    <row r="165" spans="1:14" s="421" customFormat="1" ht="13" hidden="1" x14ac:dyDescent="0.3">
      <c r="C165" s="426" t="s">
        <v>198</v>
      </c>
      <c r="E165" s="461" t="e">
        <f>'PPS and NPPS calcs'!F31</f>
        <v>#N/A</v>
      </c>
      <c r="F165" s="421" t="e">
        <f>TEXT(E165,"d mmmm yyyy")</f>
        <v>#N/A</v>
      </c>
      <c r="L165" s="422"/>
      <c r="M165" s="422"/>
      <c r="N165" s="422"/>
    </row>
    <row r="166" spans="1:14" s="421" customFormat="1" ht="13" hidden="1" x14ac:dyDescent="0.3">
      <c r="C166" s="426" t="s">
        <v>184</v>
      </c>
      <c r="E166" s="461" t="e">
        <f>E165+1</f>
        <v>#N/A</v>
      </c>
      <c r="F166" s="421" t="e">
        <f>TEXT(E166,"d mmmm yyyy")</f>
        <v>#N/A</v>
      </c>
      <c r="L166" s="422"/>
      <c r="M166" s="422"/>
      <c r="N166" s="422"/>
    </row>
    <row r="167" spans="1:14" s="421" customFormat="1" ht="13" hidden="1" x14ac:dyDescent="0.3">
      <c r="C167" s="426"/>
      <c r="L167" s="422"/>
      <c r="M167" s="422"/>
      <c r="N167" s="422"/>
    </row>
    <row r="168" spans="1:14" s="421" customFormat="1" ht="13" hidden="1" x14ac:dyDescent="0.3">
      <c r="C168" s="462" t="s">
        <v>352</v>
      </c>
      <c r="D168" s="463"/>
      <c r="E168" s="462" t="s">
        <v>353</v>
      </c>
      <c r="J168" s="422"/>
      <c r="K168" s="422"/>
      <c r="L168" s="422"/>
    </row>
    <row r="169" spans="1:14" s="421" customFormat="1" hidden="1" x14ac:dyDescent="0.25">
      <c r="C169" s="421" t="s">
        <v>349</v>
      </c>
      <c r="D169" s="422"/>
      <c r="E169" s="422" t="s">
        <v>366</v>
      </c>
      <c r="J169" s="422"/>
      <c r="K169" s="422"/>
      <c r="L169" s="422"/>
    </row>
    <row r="170" spans="1:14" s="421" customFormat="1" ht="12.75" hidden="1" customHeight="1" x14ac:dyDescent="0.3">
      <c r="A170" s="426"/>
      <c r="B170" s="426"/>
      <c r="C170" s="422" t="s">
        <v>350</v>
      </c>
      <c r="D170" s="422"/>
      <c r="E170" s="422" t="e">
        <f>F166</f>
        <v>#N/A</v>
      </c>
      <c r="F170" s="422"/>
      <c r="G170" s="422"/>
      <c r="H170" s="422"/>
      <c r="I170" s="422"/>
      <c r="J170" s="422"/>
      <c r="K170" s="422"/>
      <c r="L170" s="422"/>
    </row>
    <row r="171" spans="1:14" s="421" customFormat="1" hidden="1" x14ac:dyDescent="0.25">
      <c r="C171" s="421" t="s">
        <v>351</v>
      </c>
      <c r="D171" s="422"/>
      <c r="E171" s="464" t="s">
        <v>476</v>
      </c>
    </row>
    <row r="172" spans="1:14" s="421" customFormat="1" hidden="1" x14ac:dyDescent="0.25">
      <c r="A172" s="422"/>
      <c r="B172" s="422"/>
      <c r="D172" s="422"/>
      <c r="E172" s="422"/>
    </row>
    <row r="173" spans="1:14" s="421" customFormat="1" hidden="1" x14ac:dyDescent="0.25">
      <c r="C173" s="422" t="s">
        <v>380</v>
      </c>
      <c r="D173" s="422"/>
      <c r="E173" s="422">
        <f>YEARFRAC(DJS,DoStartSchYear)</f>
        <v>0.25277777777777777</v>
      </c>
    </row>
    <row r="174" spans="1:14" s="421" customFormat="1" hidden="1" x14ac:dyDescent="0.25">
      <c r="C174" s="422" t="s">
        <v>383</v>
      </c>
      <c r="D174" s="422"/>
      <c r="E174" s="425">
        <f>DoStartSchYear</f>
        <v>92</v>
      </c>
    </row>
    <row r="175" spans="1:14" s="421" customFormat="1" hidden="1" x14ac:dyDescent="0.25">
      <c r="C175" s="422"/>
      <c r="D175" s="422"/>
      <c r="E175" s="425" t="str">
        <f>basis1</f>
        <v>CPI + 0%</v>
      </c>
      <c r="F175" s="421" t="str">
        <f>basis2</f>
        <v>CPI + 1%</v>
      </c>
      <c r="G175" s="421" t="str">
        <f>basis3</f>
        <v>CPI + 2%</v>
      </c>
    </row>
    <row r="176" spans="1:14" s="421" customFormat="1" hidden="1" x14ac:dyDescent="0.25">
      <c r="C176" s="422" t="s">
        <v>390</v>
      </c>
      <c r="D176" s="422"/>
      <c r="E176" s="465" t="e">
        <f>ROUND(IF(CurrentScheme="NPPS",0.5*CurrentSal,2/3*CurrentSal),-2)</f>
        <v>#N/A</v>
      </c>
    </row>
    <row r="177" spans="1:11" s="421" customFormat="1" hidden="1" x14ac:dyDescent="0.25">
      <c r="C177" s="422" t="s">
        <v>391</v>
      </c>
      <c r="D177" s="422"/>
      <c r="E177" s="465">
        <f>ROUND(4*0.5*CurrentSal,-2)</f>
        <v>0</v>
      </c>
    </row>
    <row r="178" spans="1:11" s="421" customFormat="1" hidden="1" x14ac:dyDescent="0.25">
      <c r="C178" s="422" t="s">
        <v>392</v>
      </c>
      <c r="D178" s="422"/>
      <c r="E178" s="465"/>
      <c r="I178" s="425"/>
    </row>
    <row r="179" spans="1:11" s="421" customFormat="1" hidden="1" x14ac:dyDescent="0.25">
      <c r="C179" s="422"/>
      <c r="D179" s="422"/>
      <c r="E179" s="465"/>
    </row>
    <row r="180" spans="1:11" s="421" customFormat="1" hidden="1" x14ac:dyDescent="0.25"/>
    <row r="181" spans="1:11" s="421" customFormat="1" hidden="1" x14ac:dyDescent="0.25">
      <c r="C181" s="428"/>
      <c r="D181" s="428"/>
      <c r="E181" s="428"/>
      <c r="F181" s="428"/>
      <c r="G181" s="428"/>
      <c r="H181" s="428"/>
      <c r="I181" s="428"/>
      <c r="J181" s="428"/>
      <c r="K181" s="428"/>
    </row>
    <row r="182" spans="1:11" s="421" customFormat="1" hidden="1" x14ac:dyDescent="0.25">
      <c r="C182" s="428"/>
      <c r="D182" s="428"/>
      <c r="E182" s="428"/>
      <c r="F182" s="428"/>
      <c r="G182" s="428"/>
      <c r="H182" s="428"/>
      <c r="I182" s="428"/>
      <c r="J182" s="428"/>
      <c r="K182" s="428"/>
    </row>
    <row r="183" spans="1:11" s="421" customFormat="1" ht="13" hidden="1" x14ac:dyDescent="0.3">
      <c r="A183" s="427" t="s">
        <v>238</v>
      </c>
      <c r="B183" s="427"/>
      <c r="C183" s="428" t="s">
        <v>240</v>
      </c>
      <c r="D183" s="428"/>
      <c r="E183" s="428"/>
      <c r="F183" s="428"/>
      <c r="G183" s="428"/>
      <c r="H183" s="428"/>
      <c r="I183" s="428"/>
      <c r="J183" s="428"/>
      <c r="K183" s="428"/>
    </row>
    <row r="184" spans="1:11" s="421" customFormat="1" hidden="1" x14ac:dyDescent="0.25">
      <c r="A184" s="428"/>
      <c r="B184" s="428"/>
      <c r="C184" s="428" t="s">
        <v>242</v>
      </c>
      <c r="D184" s="428"/>
      <c r="E184" s="428"/>
      <c r="F184" s="428"/>
      <c r="G184" s="428"/>
      <c r="H184" s="428"/>
      <c r="I184" s="428"/>
      <c r="J184" s="428"/>
      <c r="K184" s="428"/>
    </row>
    <row r="185" spans="1:11" s="421" customFormat="1" hidden="1" x14ac:dyDescent="0.25">
      <c r="A185" s="428" t="s">
        <v>239</v>
      </c>
      <c r="B185" s="428"/>
      <c r="C185" s="428" t="s">
        <v>243</v>
      </c>
      <c r="D185" s="428"/>
      <c r="E185" s="428"/>
      <c r="F185" s="428"/>
      <c r="G185" s="428"/>
      <c r="H185" s="428"/>
      <c r="I185" s="428"/>
      <c r="J185" s="428"/>
      <c r="K185" s="428"/>
    </row>
    <row r="186" spans="1:11" s="421" customFormat="1" hidden="1" x14ac:dyDescent="0.25">
      <c r="A186" s="428" t="s">
        <v>241</v>
      </c>
      <c r="B186" s="428"/>
      <c r="C186" s="428" t="s">
        <v>245</v>
      </c>
      <c r="D186" s="428"/>
      <c r="E186" s="428"/>
      <c r="F186" s="428"/>
      <c r="G186" s="428"/>
      <c r="H186" s="428"/>
      <c r="I186" s="428"/>
      <c r="J186" s="428"/>
      <c r="K186" s="428"/>
    </row>
    <row r="187" spans="1:11" s="421" customFormat="1" hidden="1" x14ac:dyDescent="0.25">
      <c r="A187" s="428"/>
      <c r="B187" s="428"/>
      <c r="C187" s="428" t="s">
        <v>247</v>
      </c>
      <c r="D187" s="428"/>
      <c r="E187" s="428"/>
      <c r="F187" s="428"/>
      <c r="G187" s="428"/>
      <c r="H187" s="428"/>
      <c r="I187" s="428"/>
      <c r="J187" s="428"/>
      <c r="K187" s="428"/>
    </row>
    <row r="188" spans="1:11" s="421" customFormat="1" hidden="1" x14ac:dyDescent="0.25">
      <c r="A188" s="428" t="s">
        <v>244</v>
      </c>
      <c r="B188" s="428"/>
      <c r="C188" s="428" t="s">
        <v>248</v>
      </c>
      <c r="D188" s="428"/>
      <c r="E188" s="428"/>
      <c r="F188" s="428"/>
      <c r="G188" s="428"/>
      <c r="H188" s="428"/>
      <c r="I188" s="428"/>
      <c r="J188" s="428"/>
      <c r="K188" s="428"/>
    </row>
    <row r="189" spans="1:11" s="421" customFormat="1" hidden="1" x14ac:dyDescent="0.25">
      <c r="A189" s="428" t="s">
        <v>246</v>
      </c>
      <c r="B189" s="428"/>
      <c r="C189" s="428" t="s">
        <v>249</v>
      </c>
      <c r="D189" s="428"/>
      <c r="E189" s="428"/>
      <c r="F189" s="428"/>
      <c r="G189" s="428"/>
      <c r="H189" s="428"/>
      <c r="I189" s="428"/>
      <c r="J189" s="428"/>
      <c r="K189" s="428"/>
    </row>
    <row r="190" spans="1:11" s="421" customFormat="1" hidden="1" x14ac:dyDescent="0.25">
      <c r="A190" s="428"/>
      <c r="B190" s="428"/>
      <c r="C190" s="428" t="s">
        <v>251</v>
      </c>
      <c r="D190" s="428"/>
      <c r="E190" s="428"/>
      <c r="F190" s="428"/>
      <c r="G190" s="428"/>
      <c r="H190" s="428"/>
      <c r="I190" s="428"/>
      <c r="J190" s="428"/>
      <c r="K190" s="428"/>
    </row>
    <row r="191" spans="1:11" s="421" customFormat="1" hidden="1" x14ac:dyDescent="0.25">
      <c r="A191" s="428" t="s">
        <v>200</v>
      </c>
      <c r="B191" s="428"/>
      <c r="C191" s="428"/>
      <c r="D191" s="428"/>
      <c r="E191" s="428"/>
      <c r="F191" s="428"/>
      <c r="G191" s="428"/>
      <c r="H191" s="428"/>
      <c r="I191" s="428"/>
      <c r="J191" s="428"/>
      <c r="K191" s="428"/>
    </row>
    <row r="192" spans="1:11" s="421" customFormat="1" hidden="1" x14ac:dyDescent="0.25">
      <c r="A192" s="428" t="s">
        <v>250</v>
      </c>
      <c r="B192" s="428"/>
      <c r="C192" s="428"/>
      <c r="D192" s="428"/>
      <c r="E192" s="428"/>
      <c r="F192" s="428"/>
      <c r="G192" s="428"/>
      <c r="H192" s="428"/>
      <c r="I192" s="428"/>
      <c r="J192" s="428"/>
      <c r="K192" s="428"/>
    </row>
    <row r="193" spans="1:7" s="421" customFormat="1" hidden="1" x14ac:dyDescent="0.25">
      <c r="A193" s="429" t="s">
        <v>381</v>
      </c>
      <c r="B193" s="429"/>
    </row>
    <row r="194" spans="1:7" s="421" customFormat="1" hidden="1" x14ac:dyDescent="0.25">
      <c r="A194" s="429" t="s">
        <v>382</v>
      </c>
      <c r="B194" s="429"/>
    </row>
    <row r="195" spans="1:7" s="421" customFormat="1" hidden="1" x14ac:dyDescent="0.25"/>
    <row r="196" spans="1:7" s="421" customFormat="1" hidden="1" x14ac:dyDescent="0.25">
      <c r="A196" s="422" t="s">
        <v>371</v>
      </c>
      <c r="B196" s="422"/>
      <c r="E196" s="461"/>
      <c r="G196" s="461"/>
    </row>
    <row r="197" spans="1:7" s="421" customFormat="1" hidden="1" x14ac:dyDescent="0.25">
      <c r="A197" s="422" t="s">
        <v>372</v>
      </c>
      <c r="B197" s="422"/>
    </row>
    <row r="198" spans="1:7" s="421" customFormat="1" hidden="1" x14ac:dyDescent="0.25"/>
    <row r="199" spans="1:7" s="421" customFormat="1" hidden="1" x14ac:dyDescent="0.25"/>
    <row r="200" spans="1:7" s="421" customFormat="1" hidden="1" x14ac:dyDescent="0.25"/>
    <row r="201" spans="1:7" s="421" customFormat="1" hidden="1" x14ac:dyDescent="0.25"/>
    <row r="202" spans="1:7" s="421" customFormat="1" hidden="1" x14ac:dyDescent="0.25"/>
    <row r="203" spans="1:7" s="421" customFormat="1" hidden="1" x14ac:dyDescent="0.25"/>
    <row r="204" spans="1:7" s="421" customFormat="1" hidden="1" x14ac:dyDescent="0.25"/>
    <row r="205" spans="1:7" s="421" customFormat="1" hidden="1" x14ac:dyDescent="0.25"/>
    <row r="206" spans="1:7" s="421" customFormat="1" hidden="1" x14ac:dyDescent="0.25"/>
    <row r="207" spans="1:7" s="421" customFormat="1" hidden="1" x14ac:dyDescent="0.25"/>
    <row r="208" spans="1:7" s="421" customFormat="1" hidden="1" x14ac:dyDescent="0.25"/>
    <row r="209" s="421" customFormat="1" hidden="1" x14ac:dyDescent="0.25"/>
    <row r="210" s="421" customFormat="1" hidden="1" x14ac:dyDescent="0.25"/>
    <row r="211" s="421" customFormat="1" hidden="1" x14ac:dyDescent="0.25"/>
    <row r="212" s="421" customFormat="1" hidden="1" x14ac:dyDescent="0.25"/>
    <row r="213" s="421" customFormat="1" hidden="1" x14ac:dyDescent="0.25"/>
    <row r="214" s="421" customFormat="1" hidden="1" x14ac:dyDescent="0.25"/>
    <row r="215" s="421" customFormat="1" hidden="1" x14ac:dyDescent="0.25"/>
    <row r="216" s="421" customFormat="1" hidden="1" x14ac:dyDescent="0.25"/>
    <row r="217" s="421" customFormat="1" hidden="1" x14ac:dyDescent="0.25"/>
    <row r="218" s="421" customFormat="1" hidden="1" x14ac:dyDescent="0.25"/>
    <row r="219" s="421" customFormat="1" hidden="1" x14ac:dyDescent="0.25"/>
    <row r="220" s="421" customFormat="1" hidden="1" x14ac:dyDescent="0.25"/>
    <row r="221" s="421" customFormat="1" hidden="1" x14ac:dyDescent="0.25"/>
    <row r="222" s="421" customFormat="1" hidden="1" x14ac:dyDescent="0.25"/>
    <row r="223" s="421" customFormat="1" hidden="1" x14ac:dyDescent="0.25"/>
    <row r="224" s="421" customFormat="1" hidden="1" x14ac:dyDescent="0.25"/>
    <row r="225" spans="3:14" s="421" customFormat="1" hidden="1" x14ac:dyDescent="0.25"/>
    <row r="226" spans="3:14" s="421" customFormat="1" hidden="1" x14ac:dyDescent="0.25"/>
    <row r="227" spans="3:14" s="421" customFormat="1" hidden="1" x14ac:dyDescent="0.25"/>
    <row r="228" spans="3:14" s="421" customFormat="1" hidden="1" x14ac:dyDescent="0.25"/>
    <row r="229" spans="3:14" hidden="1" x14ac:dyDescent="0.25">
      <c r="C229" s="421"/>
      <c r="D229" s="421"/>
      <c r="E229" s="421"/>
      <c r="F229" s="421"/>
      <c r="G229" s="421"/>
      <c r="H229" s="421"/>
      <c r="I229" s="421"/>
      <c r="J229" s="421"/>
      <c r="K229" s="421"/>
      <c r="L229" s="421"/>
      <c r="M229" s="421"/>
      <c r="N229" s="421"/>
    </row>
    <row r="230" spans="3:14" hidden="1" x14ac:dyDescent="0.25"/>
    <row r="231" spans="3:14" hidden="1" x14ac:dyDescent="0.25"/>
    <row r="232" spans="3:14" hidden="1" x14ac:dyDescent="0.25"/>
    <row r="233" spans="3:14" hidden="1" x14ac:dyDescent="0.25"/>
    <row r="234" spans="3:14" hidden="1" x14ac:dyDescent="0.25"/>
    <row r="235" spans="3:14" hidden="1" x14ac:dyDescent="0.25"/>
    <row r="236" spans="3:14" hidden="1" x14ac:dyDescent="0.25"/>
    <row r="237" spans="3:14" hidden="1" x14ac:dyDescent="0.25"/>
  </sheetData>
  <sheetProtection algorithmName="SHA-512" hashValue="hrnUFxlZM8TE+R4R/4sK0bdU1yxYDyYbb5/xzmZb1XbfjrRiDaWWVTYOTb0TKQFXXlIYbEEQwoMU5rqqIy5ndw==" saltValue="0xncMPNXAXUbLervvzuP7g==" spinCount="100000" sheet="1" objects="1" scenarios="1"/>
  <dataConsolidate/>
  <mergeCells count="12">
    <mergeCell ref="C20:O20"/>
    <mergeCell ref="G93:I94"/>
    <mergeCell ref="C93:E94"/>
    <mergeCell ref="K93:M94"/>
    <mergeCell ref="J27:K27"/>
    <mergeCell ref="I69:M69"/>
    <mergeCell ref="C21:N21"/>
    <mergeCell ref="C15:O15"/>
    <mergeCell ref="C16:O16"/>
    <mergeCell ref="C17:O17"/>
    <mergeCell ref="C18:O18"/>
    <mergeCell ref="C19:O19"/>
  </mergeCells>
  <phoneticPr fontId="2" type="noConversion"/>
  <conditionalFormatting sqref="C73:N75 C84:N86">
    <cfRule type="expression" dxfId="19" priority="37">
      <formula>DJS&gt;=NewSchDate</formula>
    </cfRule>
  </conditionalFormatting>
  <conditionalFormatting sqref="C79:N80">
    <cfRule type="expression" dxfId="18" priority="30">
      <formula>ChosenRA&lt;55</formula>
    </cfRule>
  </conditionalFormatting>
  <conditionalFormatting sqref="C89:N90">
    <cfRule type="expression" dxfId="17" priority="27">
      <formula>ChosenRA&lt;55</formula>
    </cfRule>
  </conditionalFormatting>
  <conditionalFormatting sqref="C62">
    <cfRule type="expression" dxfId="16" priority="21">
      <formula>Form_Check=FALSE</formula>
    </cfRule>
  </conditionalFormatting>
  <conditionalFormatting sqref="C48:L58">
    <cfRule type="expression" dxfId="15" priority="18">
      <formula>$J$46="Full-time"</formula>
    </cfRule>
  </conditionalFormatting>
  <conditionalFormatting sqref="C50:L58">
    <cfRule type="expression" dxfId="14" priority="16">
      <formula>$J$31="2015 Scheme"</formula>
    </cfRule>
  </conditionalFormatting>
  <conditionalFormatting sqref="J52:L58">
    <cfRule type="expression" dxfId="13" priority="15">
      <formula>$J$31="2015 Scheme"</formula>
    </cfRule>
  </conditionalFormatting>
  <conditionalFormatting sqref="C73:C75 C84:C86">
    <cfRule type="expression" dxfId="12" priority="14">
      <formula>DJS&gt;=NewSchDate</formula>
    </cfRule>
  </conditionalFormatting>
  <conditionalFormatting sqref="C84:N86">
    <cfRule type="expression" dxfId="11" priority="13">
      <formula>DJS&gt;=NewSchDate</formula>
    </cfRule>
  </conditionalFormatting>
  <conditionalFormatting sqref="C84:C86">
    <cfRule type="expression" dxfId="10" priority="12">
      <formula>DJS&gt;=NewSchDate</formula>
    </cfRule>
  </conditionalFormatting>
  <conditionalFormatting sqref="C79:C80 C89:C90">
    <cfRule type="expression" dxfId="9" priority="9">
      <formula>ChosenRA&lt;55</formula>
    </cfRule>
  </conditionalFormatting>
  <conditionalFormatting sqref="H44">
    <cfRule type="expression" dxfId="8" priority="7">
      <formula>$J$31="2015 Scheme"</formula>
    </cfRule>
  </conditionalFormatting>
  <conditionalFormatting sqref="I44:J44">
    <cfRule type="expression" dxfId="7" priority="4">
      <formula>$J$31="2015 Scheme"</formula>
    </cfRule>
  </conditionalFormatting>
  <conditionalFormatting sqref="J44">
    <cfRule type="expression" dxfId="6" priority="3">
      <formula>$J$31="2015 Scheme"</formula>
    </cfRule>
  </conditionalFormatting>
  <conditionalFormatting sqref="C52:M52">
    <cfRule type="expression" dxfId="5" priority="1">
      <formula>"parametersb112=FALSE"</formula>
    </cfRule>
  </conditionalFormatting>
  <dataValidations count="19">
    <dataValidation type="decimal" showInputMessage="1" showErrorMessage="1" error="Please enter a value between 0% and 100%." sqref="J48">
      <formula1>0</formula1>
      <formula2>1</formula2>
    </dataValidation>
    <dataValidation type="date" allowBlank="1" showInputMessage="1" showErrorMessage="1" errorTitle="Invalid Date of Birth" error="This calculator only accepts dates of birth earlier than 18 years prior to the current date or 18 years before the date joined scheme. It also only accepts dates of birth within the last 65 years." sqref="J25">
      <formula1>C136</formula1>
      <formula2>C135</formula2>
    </dataValidation>
    <dataValidation type="decimal" allowBlank="1" showInputMessage="1" showErrorMessage="1" errorTitle="Invalid Earnings" error="You can only enter and amount between £23,000 and £140,000 into the calculator." sqref="J38">
      <formula1>C145</formula1>
      <formula2>C146</formula2>
    </dataValidation>
    <dataValidation type="date"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J29">
      <formula1>D142</formula1>
      <formula2>D141</formula2>
    </dataValidation>
    <dataValidation type="decimal" allowBlank="1" showInputMessage="1" showErrorMessage="1" errorTitle="Invalid Transfer In Service" error="You cannot enter an amount greater than the period between your sixteenth birthday and your date joined scheme as entered above." sqref="J36">
      <formula1>0</formula1>
      <formula2>D148</formula2>
    </dataValidation>
    <dataValidation type="whole" allowBlank="1" showInputMessage="1" showErrorMessage="1" sqref="J56">
      <formula1>C156</formula1>
      <formula2>C157</formula2>
    </dataValidation>
    <dataValidation type="whole" allowBlank="1" showInputMessage="1" showErrorMessage="1" sqref="J51 J53">
      <formula1>C155</formula1>
      <formula2>C156</formula2>
    </dataValidation>
    <dataValidation type="decimal" allowBlank="1" showInputMessage="1" showErrorMessage="1" errorTitle="Invalid Transfer In Service" error="You cannot enter an amount greater than the period between your sixteenth birthday and your date joined scheme as entered above." sqref="J35">
      <formula1>0</formula1>
      <formula2>C148</formula2>
    </dataValidation>
    <dataValidation type="list" allowBlank="1" showInputMessage="1" showErrorMessage="1" errorTitle="Invalid Scheme" error="Please select an option from the drop down list" sqref="J31">
      <formula1>IF(sch_2="",sch_1,sch)</formula1>
    </dataValidation>
    <dataValidation type="list" allowBlank="1" showInputMessage="1" showErrorMessage="1" sqref="J46">
      <formula1>$A$196:$A$197</formula1>
    </dataValidation>
    <dataValidation type="whole" allowBlank="1" showInputMessage="1" showErrorMessage="1" sqref="J49">
      <formula1>C155</formula1>
      <formula2>C156</formula2>
    </dataValidation>
    <dataValidation type="whole" allowBlank="1" showInputMessage="1" showErrorMessage="1" sqref="J45">
      <formula1>C153</formula1>
      <formula2>C154</formula2>
    </dataValidation>
    <dataValidation type="time" allowBlank="1" showInputMessage="1" showErrorMessage="1" sqref="J40">
      <formula1>D151</formula1>
      <formula2>D152</formula2>
    </dataValidation>
    <dataValidation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J27"/>
    <dataValidation type="decimal" allowBlank="1" showInputMessage="1" showErrorMessage="1" errorTitle="Invalid Transfer In Service" error="You cannot enter an amount greater than the period between your sixteenth birthday and your date joined scheme as entered above." sqref="J58">
      <formula1>0</formula1>
      <formula2>D151</formula2>
    </dataValidation>
    <dataValidation type="decimal" allowBlank="1" showInputMessage="1" showErrorMessage="1" errorTitle="Invalid Transfer In Service" error="You cannot enter an amount greater than the period between your sixteenth birthday and your date joined scheme as entered above." sqref="J57">
      <formula1>0</formula1>
      <formula2>C151</formula2>
    </dataValidation>
    <dataValidation type="list" allowBlank="1" showInputMessage="1" showErrorMessage="1" sqref="J52 J44">
      <formula1>ABSYears</formula1>
    </dataValidation>
    <dataValidation type="whole" allowBlank="1" showInputMessage="1" showErrorMessage="1" sqref="J47">
      <formula1>C154</formula1>
      <formula2>C155</formula2>
    </dataValidation>
    <dataValidation type="whole" allowBlank="1" showInputMessage="1" showErrorMessage="1" sqref="J50">
      <formula1>C155</formula1>
      <formula2>C156</formula2>
    </dataValidation>
  </dataValidations>
  <hyperlinks>
    <hyperlink ref="G93:I94" r:id="rId1" display="2015 Microsite"/>
    <hyperlink ref="K93:M94" r:id="rId2" display="Scheme Guides"/>
    <hyperlink ref="C93:E94" r:id="rId3" display="link to FAQs"/>
  </hyperlinks>
  <pageMargins left="0.74803149606299213" right="0.74803149606299213" top="0.98425196850393704" bottom="0.98425196850393704" header="0.51181102362204722" footer="0.51181102362204722"/>
  <pageSetup paperSize="9" scale="53" fitToHeight="0" orientation="portrait" r:id="rId4"/>
  <headerFooter alignWithMargins="0">
    <oddFooter>&amp;LPage &amp;P of &amp;N&amp;R&amp;T &amp;D</oddFooter>
  </headerFooter>
  <rowBreaks count="1" manualBreakCount="1">
    <brk id="94"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4359" r:id="rId7" name="Check Box 263">
              <controlPr defaultSize="0" autoFill="0" autoLine="0" autoPict="0" altText="">
                <anchor moveWithCells="1">
                  <from>
                    <xdr:col>9</xdr:col>
                    <xdr:colOff>609600</xdr:colOff>
                    <xdr:row>40</xdr:row>
                    <xdr:rowOff>76200</xdr:rowOff>
                  </from>
                  <to>
                    <xdr:col>10</xdr:col>
                    <xdr:colOff>0</xdr:colOff>
                    <xdr:row>42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 id="{B8ADE307-E7A4-4357-AC02-1F74D37D4BDC}">
            <xm:f>Parameters!$B$112=FALSE</xm:f>
            <x14:dxf>
              <font>
                <color theme="0"/>
              </font>
              <fill>
                <patternFill patternType="none">
                  <fgColor indexed="64"/>
                  <bgColor auto="1"/>
                </patternFill>
              </fill>
              <border>
                <left/>
                <right/>
                <top/>
                <bottom/>
              </border>
            </x14:dxf>
          </x14:cfRule>
          <xm:sqref>D44:N44</xm:sqref>
        </x14:conditionalFormatting>
        <x14:conditionalFormatting xmlns:xm="http://schemas.microsoft.com/office/excel/2006/main">
          <x14:cfRule type="expression" priority="2" id="{6A1F8FDE-DBFE-4161-813B-A5A6BFBA56B3}">
            <xm:f>Parameters!$C$112=TRUE</xm:f>
            <x14:dxf>
              <font>
                <strike val="0"/>
                <color theme="0"/>
              </font>
              <fill>
                <patternFill patternType="none">
                  <fgColor indexed="64"/>
                  <bgColor auto="1"/>
                </patternFill>
              </fill>
              <border>
                <left/>
                <right/>
                <top/>
                <bottom/>
                <vertical/>
                <horizontal/>
              </border>
            </x14:dxf>
          </x14:cfRule>
          <xm:sqref>C52:M52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Parameters!$C$88:$G$88</xm:f>
          </x14:formula1>
          <xm:sqref>J33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5:M38"/>
  <sheetViews>
    <sheetView windowProtection="1" workbookViewId="0">
      <selection activeCell="N8" sqref="N8"/>
    </sheetView>
  </sheetViews>
  <sheetFormatPr defaultColWidth="9.1796875" defaultRowHeight="12.5" x14ac:dyDescent="0.25"/>
  <cols>
    <col min="1" max="10" width="9.1796875" style="9"/>
    <col min="11" max="11" width="21" style="9" customWidth="1"/>
    <col min="12" max="12" width="0.1796875" style="9" customWidth="1"/>
    <col min="13" max="13" width="9.1796875" style="480"/>
    <col min="14" max="16384" width="9.1796875" style="9"/>
  </cols>
  <sheetData>
    <row r="5" spans="1:13" ht="13" thickBot="1" x14ac:dyDescent="0.3"/>
    <row r="6" spans="1:13" ht="11.25" customHeight="1" x14ac:dyDescent="0.35">
      <c r="A6" s="556"/>
      <c r="B6" s="557"/>
      <c r="C6" s="557"/>
      <c r="D6" s="557"/>
      <c r="E6" s="557"/>
      <c r="F6" s="557"/>
      <c r="G6" s="558"/>
      <c r="H6" s="558"/>
      <c r="I6" s="558"/>
      <c r="J6" s="558"/>
      <c r="K6" s="558"/>
      <c r="L6" s="559"/>
      <c r="M6" s="481"/>
    </row>
    <row r="7" spans="1:13" ht="13" x14ac:dyDescent="0.3">
      <c r="A7" s="560" t="s">
        <v>314</v>
      </c>
      <c r="B7" s="477"/>
      <c r="C7" s="477"/>
      <c r="D7" s="477"/>
      <c r="E7" s="477"/>
      <c r="F7" s="477"/>
      <c r="G7" s="477"/>
      <c r="H7" s="477"/>
      <c r="I7" s="477"/>
      <c r="J7" s="477"/>
      <c r="K7" s="477"/>
      <c r="L7" s="561"/>
      <c r="M7" s="482"/>
    </row>
    <row r="8" spans="1:13" ht="34.5" customHeight="1" x14ac:dyDescent="0.25">
      <c r="A8" s="594" t="s">
        <v>752</v>
      </c>
      <c r="B8" s="595"/>
      <c r="C8" s="595"/>
      <c r="D8" s="595"/>
      <c r="E8" s="595"/>
      <c r="F8" s="595"/>
      <c r="G8" s="595"/>
      <c r="H8" s="595"/>
      <c r="I8" s="595"/>
      <c r="J8" s="595"/>
      <c r="K8" s="595"/>
      <c r="L8" s="596"/>
      <c r="M8" s="482"/>
    </row>
    <row r="9" spans="1:13" ht="17.5" customHeight="1" x14ac:dyDescent="0.25">
      <c r="A9" s="594" t="s">
        <v>587</v>
      </c>
      <c r="B9" s="595"/>
      <c r="C9" s="595"/>
      <c r="D9" s="595"/>
      <c r="E9" s="595"/>
      <c r="F9" s="595"/>
      <c r="G9" s="595"/>
      <c r="H9" s="595"/>
      <c r="I9" s="595"/>
      <c r="J9" s="595"/>
      <c r="K9" s="595"/>
      <c r="L9" s="596"/>
      <c r="M9" s="482"/>
    </row>
    <row r="10" spans="1:13" ht="37.5" customHeight="1" x14ac:dyDescent="0.25">
      <c r="A10" s="594" t="s">
        <v>588</v>
      </c>
      <c r="B10" s="595"/>
      <c r="C10" s="595"/>
      <c r="D10" s="595"/>
      <c r="E10" s="595"/>
      <c r="F10" s="595"/>
      <c r="G10" s="595"/>
      <c r="H10" s="595"/>
      <c r="I10" s="595"/>
      <c r="J10" s="595"/>
      <c r="K10" s="595"/>
      <c r="L10" s="596"/>
      <c r="M10" s="482"/>
    </row>
    <row r="11" spans="1:13" x14ac:dyDescent="0.25">
      <c r="A11" s="597" t="s">
        <v>734</v>
      </c>
      <c r="B11" s="598"/>
      <c r="C11" s="598"/>
      <c r="D11" s="598"/>
      <c r="E11" s="598"/>
      <c r="F11" s="598"/>
      <c r="G11" s="598"/>
      <c r="H11" s="598"/>
      <c r="I11" s="598"/>
      <c r="J11" s="598"/>
      <c r="K11" s="598"/>
      <c r="L11" s="599"/>
      <c r="M11" s="482"/>
    </row>
    <row r="12" spans="1:13" ht="28.4" customHeight="1" x14ac:dyDescent="0.25">
      <c r="A12" s="594" t="s">
        <v>735</v>
      </c>
      <c r="B12" s="598"/>
      <c r="C12" s="598"/>
      <c r="D12" s="598"/>
      <c r="E12" s="598"/>
      <c r="F12" s="598"/>
      <c r="G12" s="598"/>
      <c r="H12" s="598"/>
      <c r="I12" s="598"/>
      <c r="J12" s="598"/>
      <c r="K12" s="598"/>
      <c r="L12" s="599"/>
      <c r="M12" s="482"/>
    </row>
    <row r="13" spans="1:13" ht="53.15" customHeight="1" x14ac:dyDescent="0.25">
      <c r="A13" s="594" t="s">
        <v>760</v>
      </c>
      <c r="B13" s="595"/>
      <c r="C13" s="595"/>
      <c r="D13" s="595"/>
      <c r="E13" s="595"/>
      <c r="F13" s="595"/>
      <c r="G13" s="595"/>
      <c r="H13" s="595"/>
      <c r="I13" s="595"/>
      <c r="J13" s="595"/>
      <c r="K13" s="595"/>
      <c r="L13" s="596"/>
      <c r="M13" s="482"/>
    </row>
    <row r="14" spans="1:13" ht="68.5" customHeight="1" x14ac:dyDescent="0.25">
      <c r="A14" s="594" t="s">
        <v>761</v>
      </c>
      <c r="B14" s="595"/>
      <c r="C14" s="595"/>
      <c r="D14" s="595"/>
      <c r="E14" s="595"/>
      <c r="F14" s="595"/>
      <c r="G14" s="595"/>
      <c r="H14" s="595"/>
      <c r="I14" s="595"/>
      <c r="J14" s="595"/>
      <c r="K14" s="595"/>
      <c r="L14" s="596"/>
      <c r="M14" s="482"/>
    </row>
    <row r="15" spans="1:13" ht="26.5" customHeight="1" x14ac:dyDescent="0.25">
      <c r="A15" s="603" t="s">
        <v>762</v>
      </c>
      <c r="B15" s="604"/>
      <c r="C15" s="604"/>
      <c r="D15" s="604"/>
      <c r="E15" s="604"/>
      <c r="F15" s="604"/>
      <c r="G15" s="604"/>
      <c r="H15" s="604"/>
      <c r="I15" s="604"/>
      <c r="J15" s="604"/>
      <c r="K15" s="604"/>
      <c r="L15" s="605"/>
      <c r="M15" s="482"/>
    </row>
    <row r="16" spans="1:13" ht="69.75" customHeight="1" x14ac:dyDescent="0.25">
      <c r="A16" s="594" t="s">
        <v>736</v>
      </c>
      <c r="B16" s="595"/>
      <c r="C16" s="595"/>
      <c r="D16" s="595"/>
      <c r="E16" s="595"/>
      <c r="F16" s="595"/>
      <c r="G16" s="595"/>
      <c r="H16" s="595"/>
      <c r="I16" s="595"/>
      <c r="J16" s="595"/>
      <c r="K16" s="595"/>
      <c r="L16" s="596"/>
      <c r="M16" s="482"/>
    </row>
    <row r="17" spans="1:13" ht="37.4" customHeight="1" x14ac:dyDescent="0.25">
      <c r="A17" s="594" t="s">
        <v>591</v>
      </c>
      <c r="B17" s="595"/>
      <c r="C17" s="595"/>
      <c r="D17" s="595"/>
      <c r="E17" s="595"/>
      <c r="F17" s="595"/>
      <c r="G17" s="595"/>
      <c r="H17" s="595"/>
      <c r="I17" s="595"/>
      <c r="J17" s="595"/>
      <c r="K17" s="595"/>
      <c r="L17" s="596"/>
      <c r="M17" s="482"/>
    </row>
    <row r="18" spans="1:13" ht="54" customHeight="1" x14ac:dyDescent="0.25">
      <c r="A18" s="594" t="s">
        <v>737</v>
      </c>
      <c r="B18" s="595"/>
      <c r="C18" s="595"/>
      <c r="D18" s="595"/>
      <c r="E18" s="595"/>
      <c r="F18" s="595"/>
      <c r="G18" s="595"/>
      <c r="H18" s="595"/>
      <c r="I18" s="595"/>
      <c r="J18" s="595"/>
      <c r="K18" s="595"/>
      <c r="L18" s="596"/>
      <c r="M18" s="482"/>
    </row>
    <row r="19" spans="1:13" ht="28.4" customHeight="1" x14ac:dyDescent="0.25">
      <c r="A19" s="594" t="s">
        <v>589</v>
      </c>
      <c r="B19" s="595"/>
      <c r="C19" s="595"/>
      <c r="D19" s="595"/>
      <c r="E19" s="595"/>
      <c r="F19" s="595"/>
      <c r="G19" s="595"/>
      <c r="H19" s="595"/>
      <c r="I19" s="595"/>
      <c r="J19" s="595"/>
      <c r="K19" s="595"/>
      <c r="L19" s="596"/>
      <c r="M19" s="482"/>
    </row>
    <row r="20" spans="1:13" ht="53.5" customHeight="1" x14ac:dyDescent="0.25">
      <c r="A20" s="594" t="s">
        <v>738</v>
      </c>
      <c r="B20" s="595"/>
      <c r="C20" s="595"/>
      <c r="D20" s="595"/>
      <c r="E20" s="595"/>
      <c r="F20" s="595"/>
      <c r="G20" s="595"/>
      <c r="H20" s="595"/>
      <c r="I20" s="595"/>
      <c r="J20" s="595"/>
      <c r="K20" s="595"/>
      <c r="L20" s="596"/>
      <c r="M20" s="482"/>
    </row>
    <row r="21" spans="1:13" ht="63.65" customHeight="1" x14ac:dyDescent="0.25">
      <c r="A21" s="594" t="s">
        <v>830</v>
      </c>
      <c r="B21" s="595"/>
      <c r="C21" s="595"/>
      <c r="D21" s="595"/>
      <c r="E21" s="595"/>
      <c r="F21" s="595"/>
      <c r="G21" s="595"/>
      <c r="H21" s="595"/>
      <c r="I21" s="595"/>
      <c r="J21" s="595"/>
      <c r="K21" s="595"/>
      <c r="L21" s="596"/>
      <c r="M21" s="482"/>
    </row>
    <row r="22" spans="1:13" ht="141.65" customHeight="1" x14ac:dyDescent="0.25">
      <c r="A22" s="594" t="s">
        <v>833</v>
      </c>
      <c r="B22" s="595"/>
      <c r="C22" s="595"/>
      <c r="D22" s="595"/>
      <c r="E22" s="595"/>
      <c r="F22" s="595"/>
      <c r="G22" s="595"/>
      <c r="H22" s="595"/>
      <c r="I22" s="595"/>
      <c r="J22" s="595"/>
      <c r="K22" s="595"/>
      <c r="L22" s="562"/>
      <c r="M22" s="482"/>
    </row>
    <row r="23" spans="1:13" ht="41.15" customHeight="1" x14ac:dyDescent="0.25">
      <c r="A23" s="600" t="s">
        <v>739</v>
      </c>
      <c r="B23" s="601"/>
      <c r="C23" s="601"/>
      <c r="D23" s="601"/>
      <c r="E23" s="601"/>
      <c r="F23" s="601"/>
      <c r="G23" s="601"/>
      <c r="H23" s="601"/>
      <c r="I23" s="601"/>
      <c r="J23" s="601"/>
      <c r="K23" s="601"/>
      <c r="L23" s="602"/>
      <c r="M23" s="482"/>
    </row>
    <row r="24" spans="1:13" ht="26.5" customHeight="1" x14ac:dyDescent="0.25">
      <c r="A24" s="606" t="s">
        <v>759</v>
      </c>
      <c r="B24" s="607"/>
      <c r="C24" s="607"/>
      <c r="D24" s="607"/>
      <c r="E24" s="607"/>
      <c r="F24" s="607"/>
      <c r="G24" s="607"/>
      <c r="H24" s="607"/>
      <c r="I24" s="607"/>
      <c r="J24" s="607"/>
      <c r="K24" s="607"/>
      <c r="L24" s="608"/>
      <c r="M24" s="482"/>
    </row>
    <row r="25" spans="1:13" ht="15.75" customHeight="1" x14ac:dyDescent="0.3">
      <c r="A25" s="560" t="s">
        <v>763</v>
      </c>
      <c r="B25" s="454"/>
      <c r="C25" s="454"/>
      <c r="D25" s="454"/>
      <c r="E25" s="454"/>
      <c r="F25" s="454"/>
      <c r="G25" s="454"/>
      <c r="H25" s="454"/>
      <c r="I25" s="454"/>
      <c r="J25" s="454"/>
      <c r="K25" s="454"/>
      <c r="L25" s="563"/>
      <c r="M25" s="482"/>
    </row>
    <row r="26" spans="1:13" x14ac:dyDescent="0.25">
      <c r="A26" s="612" t="s">
        <v>740</v>
      </c>
      <c r="B26" s="613"/>
      <c r="C26" s="613"/>
      <c r="D26" s="613"/>
      <c r="E26" s="613"/>
      <c r="F26" s="613"/>
      <c r="G26" s="613"/>
      <c r="H26" s="613"/>
      <c r="I26" s="613"/>
      <c r="J26" s="613"/>
      <c r="K26" s="613"/>
      <c r="L26" s="614"/>
      <c r="M26" s="483"/>
    </row>
    <row r="27" spans="1:13" x14ac:dyDescent="0.25">
      <c r="A27" s="612" t="s">
        <v>741</v>
      </c>
      <c r="B27" s="613"/>
      <c r="C27" s="613"/>
      <c r="D27" s="613"/>
      <c r="E27" s="613"/>
      <c r="F27" s="613"/>
      <c r="G27" s="613"/>
      <c r="H27" s="613"/>
      <c r="I27" s="613"/>
      <c r="J27" s="613"/>
      <c r="K27" s="613"/>
      <c r="L27" s="614"/>
      <c r="M27" s="483"/>
    </row>
    <row r="28" spans="1:13" ht="31.5" customHeight="1" x14ac:dyDescent="0.25">
      <c r="A28" s="606" t="s">
        <v>742</v>
      </c>
      <c r="B28" s="615"/>
      <c r="C28" s="615"/>
      <c r="D28" s="615"/>
      <c r="E28" s="615"/>
      <c r="F28" s="615"/>
      <c r="G28" s="615"/>
      <c r="H28" s="615"/>
      <c r="I28" s="615"/>
      <c r="J28" s="615"/>
      <c r="K28" s="615"/>
      <c r="L28" s="616"/>
      <c r="M28" s="482"/>
    </row>
    <row r="29" spans="1:13" s="479" customFormat="1" ht="45" customHeight="1" x14ac:dyDescent="0.25">
      <c r="A29" s="606" t="s">
        <v>743</v>
      </c>
      <c r="B29" s="615"/>
      <c r="C29" s="615"/>
      <c r="D29" s="615"/>
      <c r="E29" s="615"/>
      <c r="F29" s="615"/>
      <c r="G29" s="615"/>
      <c r="H29" s="615"/>
      <c r="I29" s="615"/>
      <c r="J29" s="615"/>
      <c r="K29" s="615"/>
      <c r="L29" s="616"/>
      <c r="M29" s="484"/>
    </row>
    <row r="30" spans="1:13" x14ac:dyDescent="0.25">
      <c r="A30" s="564" t="s">
        <v>744</v>
      </c>
      <c r="B30" s="547"/>
      <c r="C30" s="547"/>
      <c r="D30" s="547"/>
      <c r="E30" s="547"/>
      <c r="F30" s="547"/>
      <c r="G30" s="547"/>
      <c r="H30" s="547"/>
      <c r="I30" s="547"/>
      <c r="J30" s="547"/>
      <c r="K30" s="547"/>
      <c r="L30" s="565"/>
      <c r="M30" s="482"/>
    </row>
    <row r="31" spans="1:13" x14ac:dyDescent="0.25">
      <c r="A31" s="606" t="s">
        <v>537</v>
      </c>
      <c r="B31" s="615"/>
      <c r="C31" s="615"/>
      <c r="D31" s="615"/>
      <c r="E31" s="615"/>
      <c r="F31" s="615"/>
      <c r="G31" s="615"/>
      <c r="H31" s="615"/>
      <c r="I31" s="615"/>
      <c r="J31" s="615"/>
      <c r="K31" s="615"/>
      <c r="L31" s="616"/>
      <c r="M31" s="482"/>
    </row>
    <row r="32" spans="1:13" x14ac:dyDescent="0.25">
      <c r="A32" s="606" t="s">
        <v>745</v>
      </c>
      <c r="B32" s="615"/>
      <c r="C32" s="615"/>
      <c r="D32" s="615"/>
      <c r="E32" s="615"/>
      <c r="F32" s="615"/>
      <c r="G32" s="615"/>
      <c r="H32" s="615"/>
      <c r="I32" s="615"/>
      <c r="J32" s="615"/>
      <c r="K32" s="615"/>
      <c r="L32" s="616"/>
      <c r="M32" s="482"/>
    </row>
    <row r="33" spans="1:13" x14ac:dyDescent="0.25">
      <c r="A33" s="566"/>
      <c r="B33" s="548"/>
      <c r="C33" s="548"/>
      <c r="D33" s="548"/>
      <c r="E33" s="548"/>
      <c r="F33" s="548"/>
      <c r="G33" s="548"/>
      <c r="H33" s="548"/>
      <c r="I33" s="548"/>
      <c r="J33" s="548"/>
      <c r="K33" s="548"/>
      <c r="L33" s="567"/>
      <c r="M33" s="482"/>
    </row>
    <row r="34" spans="1:13" ht="13" x14ac:dyDescent="0.3">
      <c r="A34" s="560" t="s">
        <v>320</v>
      </c>
      <c r="B34" s="455"/>
      <c r="C34" s="455"/>
      <c r="D34" s="455"/>
      <c r="E34" s="455"/>
      <c r="F34" s="455"/>
      <c r="G34" s="455"/>
      <c r="H34" s="455"/>
      <c r="I34" s="456"/>
      <c r="J34" s="456"/>
      <c r="K34" s="456"/>
      <c r="L34" s="568"/>
      <c r="M34" s="482"/>
    </row>
    <row r="35" spans="1:13" ht="29.25" customHeight="1" x14ac:dyDescent="0.25">
      <c r="A35" s="606" t="s">
        <v>538</v>
      </c>
      <c r="B35" s="615"/>
      <c r="C35" s="615"/>
      <c r="D35" s="615"/>
      <c r="E35" s="615"/>
      <c r="F35" s="615"/>
      <c r="G35" s="615"/>
      <c r="H35" s="615"/>
      <c r="I35" s="615"/>
      <c r="J35" s="615"/>
      <c r="K35" s="615"/>
      <c r="L35" s="616"/>
      <c r="M35" s="482"/>
    </row>
    <row r="36" spans="1:13" x14ac:dyDescent="0.25">
      <c r="A36" s="620" t="s">
        <v>539</v>
      </c>
      <c r="B36" s="621"/>
      <c r="C36" s="621"/>
      <c r="D36" s="621"/>
      <c r="E36" s="621"/>
      <c r="F36" s="621"/>
      <c r="G36" s="621"/>
      <c r="H36" s="621"/>
      <c r="I36" s="621"/>
      <c r="J36" s="621"/>
      <c r="K36" s="621"/>
      <c r="L36" s="622"/>
      <c r="M36" s="482"/>
    </row>
    <row r="37" spans="1:13" ht="41.25" customHeight="1" x14ac:dyDescent="0.25">
      <c r="A37" s="617" t="s">
        <v>807</v>
      </c>
      <c r="B37" s="618"/>
      <c r="C37" s="618"/>
      <c r="D37" s="618"/>
      <c r="E37" s="618"/>
      <c r="F37" s="618"/>
      <c r="G37" s="618"/>
      <c r="H37" s="618"/>
      <c r="I37" s="618"/>
      <c r="J37" s="618"/>
      <c r="K37" s="618"/>
      <c r="L37" s="619"/>
      <c r="M37" s="482"/>
    </row>
    <row r="38" spans="1:13" ht="13" thickBot="1" x14ac:dyDescent="0.3">
      <c r="A38" s="609"/>
      <c r="B38" s="610"/>
      <c r="C38" s="610"/>
      <c r="D38" s="610"/>
      <c r="E38" s="610"/>
      <c r="F38" s="610"/>
      <c r="G38" s="610"/>
      <c r="H38" s="610"/>
      <c r="I38" s="610"/>
      <c r="J38" s="610"/>
      <c r="K38" s="610"/>
      <c r="L38" s="611"/>
      <c r="M38" s="482"/>
    </row>
  </sheetData>
  <sheetProtection algorithmName="SHA-512" hashValue="+3Qg5pfGvWrVCbhS4H6GmRZXUg2M9BJbjzpLZL1TmcYsxu9xi6D2CfvCey2MBCwyluLTWEfGksuEQ7K+aNJzeg==" saltValue="fIwYv3p/Ljgtnf/j0TEdOA==" spinCount="100000" sheet="1" objects="1" scenarios="1"/>
  <mergeCells count="27">
    <mergeCell ref="A24:L24"/>
    <mergeCell ref="A38:L38"/>
    <mergeCell ref="A26:L26"/>
    <mergeCell ref="A28:L28"/>
    <mergeCell ref="A32:L32"/>
    <mergeCell ref="A29:L29"/>
    <mergeCell ref="A37:L37"/>
    <mergeCell ref="A36:L36"/>
    <mergeCell ref="A31:L31"/>
    <mergeCell ref="A27:L27"/>
    <mergeCell ref="A35:L35"/>
    <mergeCell ref="A8:L8"/>
    <mergeCell ref="A11:L11"/>
    <mergeCell ref="A23:L23"/>
    <mergeCell ref="A18:L18"/>
    <mergeCell ref="A15:L15"/>
    <mergeCell ref="A10:L10"/>
    <mergeCell ref="A13:L13"/>
    <mergeCell ref="A21:L21"/>
    <mergeCell ref="A19:L19"/>
    <mergeCell ref="A20:L20"/>
    <mergeCell ref="A17:L17"/>
    <mergeCell ref="A12:L12"/>
    <mergeCell ref="A22:K22"/>
    <mergeCell ref="A14:L14"/>
    <mergeCell ref="A16:L16"/>
    <mergeCell ref="A9:L9"/>
  </mergeCells>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L54"/>
  <sheetViews>
    <sheetView windowProtection="1" workbookViewId="0">
      <selection activeCell="E13" sqref="E13"/>
    </sheetView>
  </sheetViews>
  <sheetFormatPr defaultColWidth="9.1796875" defaultRowHeight="12.5" x14ac:dyDescent="0.25"/>
  <cols>
    <col min="1" max="2" width="2.54296875" style="364" customWidth="1"/>
    <col min="3" max="3" width="29.81640625" style="364" customWidth="1"/>
    <col min="4" max="4" width="18.1796875" style="364" customWidth="1"/>
    <col min="5" max="5" width="12.54296875" style="364" bestFit="1" customWidth="1"/>
    <col min="6" max="6" width="10.453125" style="364" customWidth="1"/>
    <col min="7" max="7" width="9.1796875" style="364"/>
    <col min="8" max="8" width="3.453125" style="364" customWidth="1"/>
    <col min="9" max="9" width="9.1796875" style="364" hidden="1" customWidth="1"/>
    <col min="10" max="10" width="0.1796875" style="364" hidden="1" customWidth="1"/>
    <col min="11" max="12" width="9.1796875" style="364" hidden="1" customWidth="1"/>
    <col min="13" max="13" width="2.453125" style="364" customWidth="1"/>
    <col min="14" max="14" width="1.453125" style="364" customWidth="1"/>
    <col min="15" max="16384" width="9.1796875" style="364"/>
  </cols>
  <sheetData>
    <row r="1" spans="2:7" ht="11.25" customHeight="1" x14ac:dyDescent="0.25"/>
    <row r="2" spans="2:7" ht="36" customHeight="1" x14ac:dyDescent="0.25"/>
    <row r="3" spans="2:7" ht="24" customHeight="1" x14ac:dyDescent="0.25"/>
    <row r="4" spans="2:7" ht="37.5" customHeight="1" x14ac:dyDescent="0.4">
      <c r="B4" s="624" t="s">
        <v>683</v>
      </c>
      <c r="C4" s="625"/>
      <c r="D4" s="625"/>
      <c r="E4" s="365"/>
      <c r="F4" s="365"/>
      <c r="G4" s="365"/>
    </row>
    <row r="5" spans="2:7" x14ac:dyDescent="0.25">
      <c r="B5" s="365"/>
      <c r="C5" s="365"/>
      <c r="D5" s="365"/>
      <c r="E5" s="365"/>
      <c r="F5" s="365"/>
      <c r="G5" s="365"/>
    </row>
    <row r="6" spans="2:7" ht="12.75" customHeight="1" x14ac:dyDescent="0.25">
      <c r="B6" s="623" t="s">
        <v>692</v>
      </c>
      <c r="C6" s="623"/>
      <c r="D6" s="623"/>
      <c r="E6" s="623"/>
      <c r="F6" s="623"/>
      <c r="G6" s="623"/>
    </row>
    <row r="7" spans="2:7" x14ac:dyDescent="0.25">
      <c r="B7" s="623"/>
      <c r="C7" s="623"/>
      <c r="D7" s="623"/>
      <c r="E7" s="623"/>
      <c r="F7" s="623"/>
      <c r="G7" s="623"/>
    </row>
    <row r="8" spans="2:7" x14ac:dyDescent="0.25">
      <c r="B8" s="623"/>
      <c r="C8" s="623"/>
      <c r="D8" s="623"/>
      <c r="E8" s="623"/>
      <c r="F8" s="623"/>
      <c r="G8" s="623"/>
    </row>
    <row r="9" spans="2:7" ht="13" x14ac:dyDescent="0.25">
      <c r="B9" s="401"/>
      <c r="C9" s="401"/>
      <c r="D9" s="401"/>
      <c r="E9" s="401"/>
      <c r="F9" s="401"/>
      <c r="G9" s="401"/>
    </row>
    <row r="10" spans="2:7" ht="13" x14ac:dyDescent="0.3">
      <c r="B10" s="388" t="s">
        <v>693</v>
      </c>
      <c r="C10" s="401"/>
      <c r="D10" s="401"/>
      <c r="E10" s="401"/>
      <c r="F10" s="401"/>
      <c r="G10" s="401"/>
    </row>
    <row r="11" spans="2:7" ht="13" thickBot="1" x14ac:dyDescent="0.3">
      <c r="B11" s="365"/>
      <c r="C11" s="365"/>
      <c r="D11" s="365"/>
      <c r="E11" s="365"/>
      <c r="F11" s="365"/>
      <c r="G11" s="365"/>
    </row>
    <row r="12" spans="2:7" x14ac:dyDescent="0.25">
      <c r="B12" s="366"/>
      <c r="C12" s="367"/>
      <c r="D12" s="367"/>
      <c r="E12" s="367"/>
      <c r="F12" s="367"/>
      <c r="G12" s="368"/>
    </row>
    <row r="13" spans="2:7" ht="15.5" x14ac:dyDescent="0.35">
      <c r="B13" s="369"/>
      <c r="C13" s="370" t="s">
        <v>684</v>
      </c>
      <c r="D13" s="370"/>
      <c r="E13" s="389" t="str">
        <f>IF(DoR="","",DoR)</f>
        <v/>
      </c>
      <c r="F13" s="370"/>
      <c r="G13" s="371"/>
    </row>
    <row r="14" spans="2:7" ht="15.5" x14ac:dyDescent="0.35">
      <c r="B14" s="369"/>
      <c r="C14" s="370"/>
      <c r="D14" s="370"/>
      <c r="E14" s="372"/>
      <c r="F14" s="370"/>
      <c r="G14" s="371"/>
    </row>
    <row r="15" spans="2:7" ht="15.5" x14ac:dyDescent="0.35">
      <c r="B15" s="369"/>
      <c r="C15" s="370" t="s">
        <v>685</v>
      </c>
      <c r="D15" s="370"/>
      <c r="E15" s="629" t="str">
        <f>IF(Name_member="","",Name_member)</f>
        <v/>
      </c>
      <c r="F15" s="630"/>
      <c r="G15" s="373"/>
    </row>
    <row r="16" spans="2:7" ht="15.5" x14ac:dyDescent="0.35">
      <c r="B16" s="369"/>
      <c r="C16" s="370"/>
      <c r="D16" s="370"/>
      <c r="E16" s="374"/>
      <c r="F16" s="374"/>
      <c r="G16" s="371"/>
    </row>
    <row r="17" spans="2:7" ht="15.5" x14ac:dyDescent="0.35">
      <c r="B17" s="369"/>
      <c r="C17" s="370" t="s">
        <v>66</v>
      </c>
      <c r="D17" s="370"/>
      <c r="E17" s="389" t="str">
        <f>IF(DoB="","",DoB)</f>
        <v/>
      </c>
      <c r="F17" s="370"/>
      <c r="G17" s="371"/>
    </row>
    <row r="18" spans="2:7" ht="15.5" x14ac:dyDescent="0.35">
      <c r="B18" s="369"/>
      <c r="C18" s="370"/>
      <c r="D18" s="370"/>
      <c r="E18" s="372"/>
      <c r="F18" s="370"/>
      <c r="G18" s="371"/>
    </row>
    <row r="19" spans="2:7" ht="15.5" x14ac:dyDescent="0.35">
      <c r="B19" s="369"/>
      <c r="C19" s="370" t="s">
        <v>686</v>
      </c>
      <c r="D19" s="370"/>
      <c r="E19" s="389" t="str">
        <f>IF(DJS="","",DJS)</f>
        <v/>
      </c>
      <c r="F19" s="370"/>
      <c r="G19" s="371"/>
    </row>
    <row r="20" spans="2:7" ht="15.5" x14ac:dyDescent="0.35">
      <c r="B20" s="369"/>
      <c r="C20" s="370"/>
      <c r="D20" s="370"/>
      <c r="E20" s="370"/>
      <c r="F20" s="370"/>
      <c r="G20" s="371"/>
    </row>
    <row r="21" spans="2:7" ht="15.5" x14ac:dyDescent="0.35">
      <c r="B21" s="369"/>
      <c r="C21" s="370" t="s">
        <v>687</v>
      </c>
      <c r="D21" s="370"/>
      <c r="E21" s="390" t="str">
        <f>IF(CurrentSal="","",CurrentSal)</f>
        <v/>
      </c>
      <c r="F21" s="370"/>
      <c r="G21" s="371"/>
    </row>
    <row r="22" spans="2:7" ht="16" thickBot="1" x14ac:dyDescent="0.4">
      <c r="B22" s="375"/>
      <c r="C22" s="376"/>
      <c r="D22" s="376"/>
      <c r="E22" s="377"/>
      <c r="F22" s="376"/>
      <c r="G22" s="378"/>
    </row>
    <row r="23" spans="2:7" ht="13.5" customHeight="1" x14ac:dyDescent="0.35">
      <c r="B23" s="365"/>
      <c r="C23" s="370"/>
      <c r="D23" s="370"/>
      <c r="E23" s="379"/>
      <c r="F23" s="370"/>
      <c r="G23" s="380"/>
    </row>
    <row r="24" spans="2:7" ht="31.5" customHeight="1" x14ac:dyDescent="0.35">
      <c r="B24" s="632" t="s">
        <v>774</v>
      </c>
      <c r="C24" s="632"/>
      <c r="D24" s="632"/>
      <c r="E24" s="632"/>
      <c r="F24" s="381"/>
      <c r="G24" s="365"/>
    </row>
    <row r="25" spans="2:7" ht="14.25" customHeight="1" x14ac:dyDescent="0.35">
      <c r="B25" s="365" t="str">
        <f>"* CPI 2%, salary growth "&amp;TEXT(cpi_1,"0.0%")</f>
        <v>* CPI 2%, salary growth 0.0%</v>
      </c>
      <c r="C25" s="400"/>
      <c r="D25" s="392"/>
      <c r="E25" s="393"/>
      <c r="F25" s="381"/>
      <c r="G25" s="365"/>
    </row>
    <row r="26" spans="2:7" ht="14.25" customHeight="1" thickBot="1" x14ac:dyDescent="0.4">
      <c r="B26" s="402" t="str">
        <f>IF(Form_Check=TRUE,"","Insufficient data supplied, please fill in rest of form")</f>
        <v>Insufficient data supplied, please fill in rest of form</v>
      </c>
      <c r="C26" s="391"/>
      <c r="D26" s="382"/>
      <c r="E26" s="381"/>
      <c r="F26" s="381"/>
      <c r="G26" s="365"/>
    </row>
    <row r="27" spans="2:7" ht="15.5" x14ac:dyDescent="0.35">
      <c r="B27" s="366"/>
      <c r="C27" s="383"/>
      <c r="D27" s="384"/>
      <c r="E27" s="384"/>
      <c r="F27" s="384"/>
      <c r="G27" s="368"/>
    </row>
    <row r="28" spans="2:7" ht="15.5" x14ac:dyDescent="0.35">
      <c r="B28" s="369"/>
      <c r="C28" s="385" t="str">
        <f>"Projected pension at "&amp;IF(DoR="","",TEXT(DoR,"d mmmm yyy")) &amp;":"</f>
        <v>Projected pension at :</v>
      </c>
      <c r="D28" s="370"/>
      <c r="E28" s="394" t="str">
        <f>IF(Form_Check=TRUE,IF(ChosenRA&gt;=55,Calculator!I89,Calculator!I84),"")</f>
        <v/>
      </c>
      <c r="F28" s="370"/>
      <c r="G28" s="371"/>
    </row>
    <row r="29" spans="2:7" ht="15.5" x14ac:dyDescent="0.35">
      <c r="B29" s="369"/>
      <c r="C29" s="370"/>
      <c r="D29" s="370"/>
      <c r="E29" s="370"/>
      <c r="F29" s="370"/>
      <c r="G29" s="371"/>
    </row>
    <row r="30" spans="2:7" ht="15.5" x14ac:dyDescent="0.35">
      <c r="B30" s="369"/>
      <c r="C30" s="385" t="s">
        <v>688</v>
      </c>
      <c r="D30" s="370"/>
      <c r="E30" s="390" t="str">
        <f>IF(Form_Check=TRUE,IF(ChosenRA&gt;=55,Calculator!I90,Calculator!I85),"")</f>
        <v/>
      </c>
      <c r="F30" s="370"/>
      <c r="G30" s="371"/>
    </row>
    <row r="31" spans="2:7" ht="15.5" x14ac:dyDescent="0.35">
      <c r="B31" s="369"/>
      <c r="C31" s="370"/>
      <c r="D31" s="370"/>
      <c r="E31" s="370"/>
      <c r="F31" s="370"/>
      <c r="G31" s="371"/>
    </row>
    <row r="32" spans="2:7" ht="45.75" customHeight="1" x14ac:dyDescent="0.35">
      <c r="B32" s="369"/>
      <c r="C32" s="626" t="s">
        <v>689</v>
      </c>
      <c r="D32" s="627"/>
      <c r="E32" s="628"/>
      <c r="F32" s="370"/>
      <c r="G32" s="371"/>
    </row>
    <row r="33" spans="2:7" ht="15.5" x14ac:dyDescent="0.35">
      <c r="B33" s="369"/>
      <c r="C33" s="370"/>
      <c r="D33" s="370"/>
      <c r="E33" s="370"/>
      <c r="F33" s="370"/>
      <c r="G33" s="371"/>
    </row>
    <row r="34" spans="2:7" ht="15.5" x14ac:dyDescent="0.35">
      <c r="B34" s="369"/>
      <c r="C34" s="370" t="s">
        <v>690</v>
      </c>
      <c r="D34" s="370"/>
      <c r="E34" s="370"/>
      <c r="F34" s="370"/>
      <c r="G34" s="371"/>
    </row>
    <row r="35" spans="2:7" ht="15.5" x14ac:dyDescent="0.35">
      <c r="B35" s="369"/>
      <c r="C35" s="370"/>
      <c r="D35" s="370"/>
      <c r="E35" s="370"/>
      <c r="F35" s="370"/>
      <c r="G35" s="371"/>
    </row>
    <row r="36" spans="2:7" ht="15.5" x14ac:dyDescent="0.35">
      <c r="B36" s="369"/>
      <c r="C36" s="385" t="s">
        <v>694</v>
      </c>
      <c r="D36" s="370"/>
      <c r="E36" s="394" t="str">
        <f>IF(Form_Check=TRUE,IF(ChosenRA&gt;=55,Calculator!I79,Calculator!I73),"")</f>
        <v/>
      </c>
      <c r="F36" s="370"/>
      <c r="G36" s="371"/>
    </row>
    <row r="37" spans="2:7" ht="15.5" x14ac:dyDescent="0.35">
      <c r="B37" s="369"/>
      <c r="C37" s="370"/>
      <c r="D37" s="370"/>
      <c r="E37" s="395"/>
      <c r="F37" s="370"/>
      <c r="G37" s="371"/>
    </row>
    <row r="38" spans="2:7" ht="15.5" x14ac:dyDescent="0.35">
      <c r="B38" s="369"/>
      <c r="C38" s="385" t="s">
        <v>691</v>
      </c>
      <c r="D38" s="370"/>
      <c r="E38" s="390" t="str">
        <f>IF(Form_Check=TRUE,IF(ChosenRA&gt;=55,Calculator!I80,Calculator!I74),"")</f>
        <v/>
      </c>
      <c r="F38" s="370"/>
      <c r="G38" s="371"/>
    </row>
    <row r="39" spans="2:7" ht="16" thickBot="1" x14ac:dyDescent="0.4">
      <c r="B39" s="375"/>
      <c r="C39" s="398"/>
      <c r="D39" s="376"/>
      <c r="E39" s="399"/>
      <c r="F39" s="376"/>
      <c r="G39" s="378"/>
    </row>
    <row r="40" spans="2:7" ht="15.75" customHeight="1" x14ac:dyDescent="0.25">
      <c r="B40" s="369"/>
      <c r="C40" s="631" t="str">
        <f>IF(ChosenRA&gt;=55,"","Please note, as you have selected a retirement data that is before Normal Pension Age in the 2015 Scheme, entitlement is deferred until you reach your state pension age. **")</f>
        <v>Please note, as you have selected a retirement data that is before Normal Pension Age in the 2015 Scheme, entitlement is deferred until you reach your state pension age. **</v>
      </c>
      <c r="D40" s="631"/>
      <c r="E40" s="631"/>
      <c r="F40" s="631"/>
      <c r="G40" s="371"/>
    </row>
    <row r="41" spans="2:7" ht="15.75" customHeight="1" x14ac:dyDescent="0.25">
      <c r="B41" s="369"/>
      <c r="C41" s="631"/>
      <c r="D41" s="631"/>
      <c r="E41" s="631"/>
      <c r="F41" s="631"/>
      <c r="G41" s="371"/>
    </row>
    <row r="42" spans="2:7" ht="15.75" customHeight="1" x14ac:dyDescent="0.25">
      <c r="B42" s="369"/>
      <c r="C42" s="631"/>
      <c r="D42" s="631"/>
      <c r="E42" s="631"/>
      <c r="F42" s="631"/>
      <c r="G42" s="371"/>
    </row>
    <row r="43" spans="2:7" ht="15.75" customHeight="1" x14ac:dyDescent="0.35">
      <c r="B43" s="369"/>
      <c r="C43" s="397"/>
      <c r="D43" s="397"/>
      <c r="E43" s="397"/>
      <c r="F43" s="397"/>
      <c r="G43" s="371"/>
    </row>
    <row r="44" spans="2:7" ht="15.5" x14ac:dyDescent="0.35">
      <c r="B44" s="369"/>
      <c r="C44" s="385" t="str">
        <f>IF(ChosenRA&gt;=55,"","Deferred 2015 pension payable at SPA")</f>
        <v>Deferred 2015 pension payable at SPA</v>
      </c>
      <c r="D44" s="370"/>
      <c r="E44" s="394" t="str">
        <f>IF(Form_Check=TRUE,IF(ChosenRA&gt;=55,"",Calculator!I87),"")</f>
        <v/>
      </c>
      <c r="F44" s="370"/>
      <c r="G44" s="371"/>
    </row>
    <row r="45" spans="2:7" ht="15.5" x14ac:dyDescent="0.35">
      <c r="B45" s="369"/>
      <c r="C45" s="385"/>
      <c r="D45" s="370"/>
      <c r="E45" s="396"/>
      <c r="F45" s="370"/>
      <c r="G45" s="371"/>
    </row>
    <row r="46" spans="2:7" ht="15.5" x14ac:dyDescent="0.35">
      <c r="B46" s="369"/>
      <c r="C46" s="385" t="str">
        <f>IF(ChosenRA&gt;=55,"","After maximum commutation:")</f>
        <v>After maximum commutation:</v>
      </c>
      <c r="D46" s="370"/>
      <c r="E46" s="396"/>
      <c r="F46" s="370"/>
      <c r="G46" s="371"/>
    </row>
    <row r="47" spans="2:7" ht="15.5" x14ac:dyDescent="0.35">
      <c r="B47" s="369"/>
      <c r="C47" s="385" t="str">
        <f>IF(ChosenRA&gt;=55,"","Pension")</f>
        <v>Pension</v>
      </c>
      <c r="D47" s="370"/>
      <c r="E47" s="394" t="str">
        <f>IF(Form_Check=TRUE,IF(ChosenRA&gt;=55,"",Calculator!I76),"")</f>
        <v/>
      </c>
      <c r="F47" s="370"/>
      <c r="G47" s="371"/>
    </row>
    <row r="48" spans="2:7" ht="15.5" x14ac:dyDescent="0.35">
      <c r="B48" s="369"/>
      <c r="C48" s="385"/>
      <c r="D48" s="370"/>
      <c r="E48" s="395"/>
      <c r="F48" s="370"/>
      <c r="G48" s="371"/>
    </row>
    <row r="49" spans="2:7" ht="15.5" x14ac:dyDescent="0.35">
      <c r="B49" s="369"/>
      <c r="C49" s="385" t="str">
        <f>IF(ChosenRA&gt;=55,"","Lump sum")</f>
        <v>Lump sum</v>
      </c>
      <c r="D49" s="370"/>
      <c r="E49" s="390" t="str">
        <f>IF(Form_Check=TRUE,IF(ChosenRA&gt;=55,"",Calculator!I77),"")</f>
        <v/>
      </c>
      <c r="F49" s="370"/>
      <c r="G49" s="371"/>
    </row>
    <row r="50" spans="2:7" ht="13" thickBot="1" x14ac:dyDescent="0.3">
      <c r="B50" s="375"/>
      <c r="C50" s="386"/>
      <c r="D50" s="386"/>
      <c r="E50" s="386"/>
      <c r="F50" s="386"/>
      <c r="G50" s="378"/>
    </row>
    <row r="51" spans="2:7" x14ac:dyDescent="0.25">
      <c r="B51" s="365"/>
      <c r="C51" s="380"/>
      <c r="D51" s="380"/>
      <c r="E51" s="380"/>
      <c r="F51" s="380"/>
      <c r="G51" s="380"/>
    </row>
    <row r="52" spans="2:7" x14ac:dyDescent="0.25">
      <c r="B52" s="365" t="str">
        <f>IF(ChosenRA&gt;=55,"","** The deferred pension is payable at a reduced rate from age 55")</f>
        <v>** The deferred pension is payable at a reduced rate from age 55</v>
      </c>
      <c r="D52" s="365"/>
      <c r="E52" s="365"/>
      <c r="F52" s="365"/>
      <c r="G52" s="365"/>
    </row>
    <row r="53" spans="2:7" x14ac:dyDescent="0.25">
      <c r="B53" s="365"/>
      <c r="D53" s="365"/>
      <c r="E53" s="365"/>
      <c r="F53" s="365"/>
      <c r="G53" s="365"/>
    </row>
    <row r="54" spans="2:7" x14ac:dyDescent="0.25">
      <c r="C54" s="365" t="s">
        <v>758</v>
      </c>
      <c r="D54" s="387">
        <f ca="1">Date_curr</f>
        <v>44214</v>
      </c>
    </row>
  </sheetData>
  <sheetProtection algorithmName="SHA-512" hashValue="ZfcAP2WZg/Ol7etDcYIrdAI0obH3MAt8vBxEAltU4Z6thg8Y8/HQglzKTnbTVbfwzxid9H+6itwr1ls8xWCCtw==" saltValue="+rLIrdC6pjw+8ZmPKiLr9Q==" spinCount="100000" sheet="1" objects="1" scenarios="1"/>
  <mergeCells count="6">
    <mergeCell ref="B6:G8"/>
    <mergeCell ref="B4:D4"/>
    <mergeCell ref="C32:E32"/>
    <mergeCell ref="E15:F15"/>
    <mergeCell ref="C40:F42"/>
    <mergeCell ref="B24:E24"/>
  </mergeCells>
  <conditionalFormatting sqref="B39:G39">
    <cfRule type="expression" dxfId="2" priority="2">
      <formula>ChosenRA&lt;55</formula>
    </cfRule>
  </conditionalFormatting>
  <conditionalFormatting sqref="C44:F49">
    <cfRule type="expression" dxfId="1" priority="3">
      <formula>ChosenRA&gt;=55</formula>
    </cfRule>
  </conditionalFormatting>
  <conditionalFormatting sqref="B40:G50">
    <cfRule type="expression" dxfId="0" priority="1">
      <formula>ChosenRA&gt;=55</formula>
    </cfRule>
  </conditionalFormatting>
  <pageMargins left="0.7" right="0.7" top="0.75" bottom="0.75" header="0.3" footer="0.3"/>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L128"/>
  <sheetViews>
    <sheetView windowProtection="1" topLeftCell="A3" zoomScale="85" zoomScaleNormal="85" workbookViewId="0">
      <selection activeCell="H46" sqref="H46:I47"/>
    </sheetView>
  </sheetViews>
  <sheetFormatPr defaultRowHeight="13" x14ac:dyDescent="0.3"/>
  <cols>
    <col min="2" max="2" width="9.81640625" style="1" customWidth="1"/>
    <col min="3" max="3" width="10.1796875" bestFit="1" customWidth="1"/>
    <col min="4" max="5" width="10.453125" bestFit="1" customWidth="1"/>
    <col min="6" max="6" width="9" customWidth="1"/>
    <col min="7" max="8" width="27.453125" customWidth="1"/>
    <col min="11" max="11" width="11.54296875" bestFit="1" customWidth="1"/>
    <col min="12" max="12" width="10.54296875" bestFit="1" customWidth="1"/>
  </cols>
  <sheetData>
    <row r="1" spans="1:9" ht="20" x14ac:dyDescent="0.4">
      <c r="A1" s="13" t="s">
        <v>19</v>
      </c>
      <c r="B1" s="31"/>
      <c r="C1" s="12"/>
      <c r="D1" s="12"/>
      <c r="E1" s="12"/>
      <c r="F1" s="12"/>
      <c r="G1" s="12"/>
      <c r="H1" s="12"/>
      <c r="I1" s="12"/>
    </row>
    <row r="2" spans="1:9" ht="15.5" x14ac:dyDescent="0.35">
      <c r="A2" s="27" t="str">
        <f>IF(title="&gt; Enter workbook title here","Enter workbook title in Cover sheet",title)</f>
        <v>Scottish Police Pension Calculator</v>
      </c>
      <c r="B2" s="32"/>
      <c r="C2" s="11"/>
      <c r="D2" s="11"/>
      <c r="E2" s="11"/>
      <c r="F2" s="11"/>
      <c r="G2" s="11"/>
      <c r="H2" s="11"/>
      <c r="I2" s="11"/>
    </row>
    <row r="3" spans="1:9" ht="15.5" x14ac:dyDescent="0.35">
      <c r="A3" s="126" t="s">
        <v>192</v>
      </c>
      <c r="B3" s="32"/>
      <c r="C3" s="11"/>
      <c r="D3" s="11"/>
      <c r="E3" s="11"/>
      <c r="F3" s="11"/>
      <c r="G3" s="11"/>
      <c r="H3" s="11"/>
      <c r="I3" s="11"/>
    </row>
    <row r="4" spans="1:9" x14ac:dyDescent="0.3">
      <c r="A4" s="7" t="str">
        <f ca="1">CELL("filename",A1)</f>
        <v>C:\Users\u418711\AppData\Local\Microsoft\Windows\INetCache\Content.Outlook\PTLKNQ86\[Copy of PPS Scotland PensionCalculatorv5.5 22Dec2020.xlsx]Parameters</v>
      </c>
    </row>
    <row r="6" spans="1:9" x14ac:dyDescent="0.3">
      <c r="E6" s="29"/>
    </row>
    <row r="7" spans="1:9" x14ac:dyDescent="0.3">
      <c r="B7" s="1" t="s">
        <v>59</v>
      </c>
      <c r="E7" s="33" t="s">
        <v>60</v>
      </c>
    </row>
    <row r="8" spans="1:9" x14ac:dyDescent="0.3">
      <c r="E8" s="33" t="s">
        <v>61</v>
      </c>
    </row>
    <row r="9" spans="1:9" x14ac:dyDescent="0.3">
      <c r="E9" s="33"/>
    </row>
    <row r="10" spans="1:9" x14ac:dyDescent="0.3">
      <c r="B10" s="1" t="s">
        <v>191</v>
      </c>
      <c r="E10" s="34">
        <v>41000</v>
      </c>
    </row>
    <row r="11" spans="1:9" x14ac:dyDescent="0.3">
      <c r="E11" s="33"/>
    </row>
    <row r="12" spans="1:9" x14ac:dyDescent="0.3">
      <c r="B12" s="1" t="s">
        <v>184</v>
      </c>
      <c r="D12" s="29"/>
      <c r="E12" s="34">
        <v>42095</v>
      </c>
    </row>
    <row r="13" spans="1:9" x14ac:dyDescent="0.3">
      <c r="D13" s="29"/>
      <c r="E13" s="34"/>
    </row>
    <row r="14" spans="1:9" x14ac:dyDescent="0.3">
      <c r="B14" s="1" t="s">
        <v>182</v>
      </c>
      <c r="D14" s="29"/>
      <c r="E14" s="79">
        <v>365.25</v>
      </c>
    </row>
    <row r="15" spans="1:9" x14ac:dyDescent="0.3">
      <c r="D15" s="29"/>
    </row>
    <row r="16" spans="1:9" x14ac:dyDescent="0.3">
      <c r="B16" s="1" t="s">
        <v>283</v>
      </c>
      <c r="D16" s="29"/>
      <c r="E16" s="29" t="s">
        <v>60</v>
      </c>
      <c r="F16" s="33">
        <v>30</v>
      </c>
    </row>
    <row r="17" spans="2:11" x14ac:dyDescent="0.3">
      <c r="D17" s="29"/>
      <c r="E17" s="29" t="s">
        <v>61</v>
      </c>
      <c r="F17" s="33">
        <v>35</v>
      </c>
    </row>
    <row r="18" spans="2:11" x14ac:dyDescent="0.3">
      <c r="D18" s="29"/>
    </row>
    <row r="19" spans="2:11" x14ac:dyDescent="0.3">
      <c r="B19" s="1" t="s">
        <v>62</v>
      </c>
      <c r="E19" s="29" t="s">
        <v>60</v>
      </c>
      <c r="F19" s="33">
        <f>1/60</f>
        <v>1.6666666666666666E-2</v>
      </c>
      <c r="G19" s="29"/>
    </row>
    <row r="20" spans="2:11" x14ac:dyDescent="0.3">
      <c r="E20" s="29" t="s">
        <v>61</v>
      </c>
      <c r="F20" s="33">
        <f>1/70</f>
        <v>1.4285714285714285E-2</v>
      </c>
    </row>
    <row r="21" spans="2:11" x14ac:dyDescent="0.3">
      <c r="E21" s="29" t="s">
        <v>63</v>
      </c>
      <c r="F21" s="33">
        <f>1/56.1</f>
        <v>1.7825311942959002E-2</v>
      </c>
    </row>
    <row r="22" spans="2:11" x14ac:dyDescent="0.3">
      <c r="F22" s="33"/>
    </row>
    <row r="23" spans="2:11" x14ac:dyDescent="0.3">
      <c r="B23" s="1" t="s">
        <v>64</v>
      </c>
      <c r="F23" s="33">
        <f>4/70</f>
        <v>5.7142857142857141E-2</v>
      </c>
      <c r="G23" s="29"/>
    </row>
    <row r="24" spans="2:11" x14ac:dyDescent="0.3">
      <c r="F24" s="33"/>
      <c r="G24" s="1" t="s">
        <v>179</v>
      </c>
      <c r="H24" s="78" t="s">
        <v>230</v>
      </c>
    </row>
    <row r="25" spans="2:11" x14ac:dyDescent="0.3">
      <c r="F25" s="33"/>
      <c r="G25" s="29" t="s">
        <v>232</v>
      </c>
    </row>
    <row r="26" spans="2:11" x14ac:dyDescent="0.3">
      <c r="G26" t="s">
        <v>229</v>
      </c>
      <c r="H26" s="29"/>
    </row>
    <row r="27" spans="2:11" x14ac:dyDescent="0.3">
      <c r="B27" s="1" t="s">
        <v>65</v>
      </c>
      <c r="F27" s="29">
        <f>AVERAGE(I28:I31)</f>
        <v>1.0512439007183261</v>
      </c>
      <c r="G27" s="85">
        <v>55</v>
      </c>
      <c r="H27" s="89">
        <v>0.78057311889825931</v>
      </c>
      <c r="I27" s="86">
        <f t="shared" ref="I27:I36" si="0">H28/H27</f>
        <v>1.048994822239754</v>
      </c>
      <c r="J27" s="92"/>
      <c r="K27" s="92"/>
    </row>
    <row r="28" spans="2:11" x14ac:dyDescent="0.3">
      <c r="G28" s="87">
        <v>56</v>
      </c>
      <c r="H28" s="90">
        <v>0.81881716010381</v>
      </c>
      <c r="I28" s="82">
        <f t="shared" si="0"/>
        <v>1.049842969385397</v>
      </c>
      <c r="J28" s="92"/>
      <c r="K28" s="92"/>
    </row>
    <row r="29" spans="2:11" x14ac:dyDescent="0.3">
      <c r="G29" s="87">
        <v>57</v>
      </c>
      <c r="H29" s="90">
        <v>0.85962943874710185</v>
      </c>
      <c r="I29" s="82">
        <f t="shared" si="0"/>
        <v>1.0507403859498923</v>
      </c>
      <c r="J29" s="92"/>
      <c r="K29" s="92"/>
    </row>
    <row r="30" spans="2:11" x14ac:dyDescent="0.3">
      <c r="G30" s="87">
        <v>58</v>
      </c>
      <c r="H30" s="90">
        <v>0.9032473682430191</v>
      </c>
      <c r="I30" s="82">
        <f t="shared" si="0"/>
        <v>1.0516913499612957</v>
      </c>
      <c r="J30" s="92"/>
      <c r="K30" s="92"/>
    </row>
    <row r="31" spans="2:11" x14ac:dyDescent="0.3">
      <c r="G31" s="87">
        <v>59</v>
      </c>
      <c r="H31" s="90">
        <v>0.94993744405648828</v>
      </c>
      <c r="I31" s="82">
        <f t="shared" si="0"/>
        <v>1.0527008975767196</v>
      </c>
      <c r="K31" s="92"/>
    </row>
    <row r="32" spans="2:11" x14ac:dyDescent="0.3">
      <c r="B32" s="1" t="s">
        <v>231</v>
      </c>
      <c r="F32" s="29">
        <f>AVERAGE(I32:I36)</f>
        <v>1.0562155526170673</v>
      </c>
      <c r="G32" s="85">
        <v>60</v>
      </c>
      <c r="H32" s="89">
        <v>1</v>
      </c>
      <c r="I32" s="86">
        <f t="shared" si="0"/>
        <v>1.0537744705877468</v>
      </c>
      <c r="J32" s="29"/>
    </row>
    <row r="33" spans="2:10" x14ac:dyDescent="0.3">
      <c r="G33" s="87">
        <v>61</v>
      </c>
      <c r="H33" s="90">
        <v>1.0537744705877468</v>
      </c>
      <c r="I33" s="82">
        <f t="shared" si="0"/>
        <v>1.0549174187131658</v>
      </c>
      <c r="J33" s="29"/>
    </row>
    <row r="34" spans="2:10" x14ac:dyDescent="0.3">
      <c r="G34" s="87">
        <v>62</v>
      </c>
      <c r="H34" s="90">
        <v>1.1116450444182586</v>
      </c>
      <c r="I34" s="82">
        <f t="shared" si="0"/>
        <v>1.0561351734601889</v>
      </c>
      <c r="J34" s="29"/>
    </row>
    <row r="35" spans="2:10" x14ac:dyDescent="0.3">
      <c r="G35" s="87">
        <v>63</v>
      </c>
      <c r="H35" s="90">
        <v>1.1740474318128369</v>
      </c>
      <c r="I35" s="82">
        <f t="shared" si="0"/>
        <v>1.0574333817127628</v>
      </c>
      <c r="J35" s="29"/>
    </row>
    <row r="36" spans="2:10" x14ac:dyDescent="0.3">
      <c r="G36" s="87">
        <v>64</v>
      </c>
      <c r="H36" s="90">
        <v>1.2414769461130324</v>
      </c>
      <c r="I36" s="82">
        <f t="shared" si="0"/>
        <v>1.0588173186114724</v>
      </c>
      <c r="J36" s="29"/>
    </row>
    <row r="37" spans="2:10" x14ac:dyDescent="0.3">
      <c r="G37" s="88">
        <v>65</v>
      </c>
      <c r="H37" s="91">
        <v>1.3144972912013604</v>
      </c>
      <c r="I37" s="83"/>
    </row>
    <row r="38" spans="2:10" x14ac:dyDescent="0.3">
      <c r="G38" s="9"/>
      <c r="H38" s="90"/>
      <c r="I38" s="9"/>
      <c r="J38" s="29"/>
    </row>
    <row r="39" spans="2:10" x14ac:dyDescent="0.3">
      <c r="B39" s="1" t="s">
        <v>321</v>
      </c>
      <c r="F39" s="33">
        <f>1.05</f>
        <v>1.05</v>
      </c>
      <c r="G39" s="9"/>
      <c r="H39" s="90"/>
      <c r="I39" s="9"/>
      <c r="J39" s="29"/>
    </row>
    <row r="40" spans="2:10" x14ac:dyDescent="0.3">
      <c r="B40" s="1" t="s">
        <v>322</v>
      </c>
      <c r="F40" s="33">
        <v>1.0375000000000001</v>
      </c>
      <c r="G40" s="9"/>
      <c r="H40" s="90"/>
      <c r="I40" s="9"/>
      <c r="J40" s="29"/>
    </row>
    <row r="42" spans="2:10" x14ac:dyDescent="0.3">
      <c r="B42" s="1" t="s">
        <v>189</v>
      </c>
    </row>
    <row r="43" spans="2:10" x14ac:dyDescent="0.3">
      <c r="D43" s="633" t="s">
        <v>190</v>
      </c>
      <c r="E43" s="633"/>
    </row>
    <row r="44" spans="2:10" x14ac:dyDescent="0.3">
      <c r="D44" s="30" t="s">
        <v>71</v>
      </c>
      <c r="E44" s="30" t="s">
        <v>72</v>
      </c>
    </row>
    <row r="45" spans="2:10" x14ac:dyDescent="0.3">
      <c r="D45" s="103">
        <v>18359</v>
      </c>
      <c r="E45" s="106">
        <v>19788</v>
      </c>
      <c r="F45" s="33">
        <v>65</v>
      </c>
    </row>
    <row r="46" spans="2:10" x14ac:dyDescent="0.3">
      <c r="D46" s="104">
        <v>19789</v>
      </c>
      <c r="E46" s="107">
        <v>22164</v>
      </c>
      <c r="F46" s="33">
        <v>66</v>
      </c>
    </row>
    <row r="47" spans="2:10" x14ac:dyDescent="0.3">
      <c r="D47" s="104">
        <v>22165</v>
      </c>
      <c r="E47" s="107">
        <v>28373</v>
      </c>
      <c r="F47" s="33">
        <v>67</v>
      </c>
    </row>
    <row r="48" spans="2:10" x14ac:dyDescent="0.3">
      <c r="D48" s="105">
        <v>28374</v>
      </c>
      <c r="E48" s="108"/>
      <c r="F48" s="33">
        <v>68</v>
      </c>
    </row>
    <row r="52" spans="2:9" x14ac:dyDescent="0.3">
      <c r="B52" s="1" t="s">
        <v>288</v>
      </c>
      <c r="E52" s="118">
        <v>38813</v>
      </c>
    </row>
    <row r="53" spans="2:9" x14ac:dyDescent="0.3">
      <c r="E53" s="34"/>
    </row>
    <row r="54" spans="2:9" x14ac:dyDescent="0.3">
      <c r="B54" s="1" t="s">
        <v>290</v>
      </c>
      <c r="E54" s="34"/>
      <c r="G54" s="33">
        <f>(ProtectDate-NPPSstart)/DoY</f>
        <v>5.9876796714579053</v>
      </c>
    </row>
    <row r="56" spans="2:9" x14ac:dyDescent="0.3">
      <c r="B56" s="1" t="s">
        <v>279</v>
      </c>
    </row>
    <row r="57" spans="2:9" ht="13.5" thickBot="1" x14ac:dyDescent="0.35">
      <c r="B57" s="1" t="s">
        <v>287</v>
      </c>
    </row>
    <row r="58" spans="2:9" ht="15" thickBot="1" x14ac:dyDescent="0.35">
      <c r="E58" s="8"/>
      <c r="G58" s="95" t="s">
        <v>271</v>
      </c>
      <c r="H58" s="634" t="s">
        <v>272</v>
      </c>
      <c r="I58" s="635"/>
    </row>
    <row r="59" spans="2:9" s="94" customFormat="1" ht="78.75" customHeight="1" thickBot="1" x14ac:dyDescent="0.35">
      <c r="B59" s="96"/>
      <c r="G59" s="97" t="s">
        <v>273</v>
      </c>
      <c r="H59" s="98" t="s">
        <v>274</v>
      </c>
      <c r="I59" s="98" t="s">
        <v>275</v>
      </c>
    </row>
    <row r="60" spans="2:9" ht="15" thickBot="1" x14ac:dyDescent="0.35">
      <c r="G60" s="99" t="s">
        <v>276</v>
      </c>
      <c r="H60" s="100">
        <v>30</v>
      </c>
      <c r="I60" s="102">
        <f>7/6</f>
        <v>1.1666666666666667</v>
      </c>
    </row>
    <row r="61" spans="2:9" ht="15" thickBot="1" x14ac:dyDescent="0.35">
      <c r="G61" s="99">
        <v>26</v>
      </c>
      <c r="H61" s="100">
        <v>29</v>
      </c>
      <c r="I61" s="101">
        <v>1.1499999999999999</v>
      </c>
    </row>
    <row r="62" spans="2:9" ht="15" thickBot="1" x14ac:dyDescent="0.35">
      <c r="G62" s="99">
        <v>27</v>
      </c>
      <c r="H62" s="100">
        <v>28</v>
      </c>
      <c r="I62" s="101">
        <v>1.1299999999999999</v>
      </c>
    </row>
    <row r="63" spans="2:9" ht="15" thickBot="1" x14ac:dyDescent="0.35">
      <c r="G63" s="99">
        <v>28</v>
      </c>
      <c r="H63" s="100">
        <v>27</v>
      </c>
      <c r="I63" s="101">
        <v>1.1100000000000001</v>
      </c>
    </row>
    <row r="64" spans="2:9" ht="15" thickBot="1" x14ac:dyDescent="0.35">
      <c r="G64" s="99">
        <v>29</v>
      </c>
      <c r="H64" s="100">
        <v>26</v>
      </c>
      <c r="I64" s="101">
        <v>1.08</v>
      </c>
    </row>
    <row r="65" spans="1:9" ht="15" thickBot="1" x14ac:dyDescent="0.35">
      <c r="G65" s="99">
        <v>30</v>
      </c>
      <c r="H65" s="100">
        <v>25</v>
      </c>
      <c r="I65" s="101">
        <v>1.05</v>
      </c>
    </row>
    <row r="66" spans="1:9" ht="15" thickBot="1" x14ac:dyDescent="0.35">
      <c r="G66" s="99">
        <v>31</v>
      </c>
      <c r="H66" s="100">
        <v>24</v>
      </c>
      <c r="I66" s="101">
        <v>1.02</v>
      </c>
    </row>
    <row r="67" spans="1:9" ht="15" thickBot="1" x14ac:dyDescent="0.35">
      <c r="G67" s="99">
        <v>32</v>
      </c>
      <c r="H67" s="100">
        <v>23</v>
      </c>
      <c r="I67" s="101">
        <v>0.99</v>
      </c>
    </row>
    <row r="68" spans="1:9" ht="15" thickBot="1" x14ac:dyDescent="0.35">
      <c r="G68" s="99">
        <v>33</v>
      </c>
      <c r="H68" s="100">
        <v>22</v>
      </c>
      <c r="I68" s="101">
        <v>0.96</v>
      </c>
    </row>
    <row r="69" spans="1:9" ht="15" thickBot="1" x14ac:dyDescent="0.35">
      <c r="G69" s="99">
        <v>34</v>
      </c>
      <c r="H69" s="100">
        <v>21</v>
      </c>
      <c r="I69" s="101">
        <v>0.92</v>
      </c>
    </row>
    <row r="70" spans="1:9" ht="15" thickBot="1" x14ac:dyDescent="0.35">
      <c r="G70" s="99" t="s">
        <v>277</v>
      </c>
      <c r="H70" s="100" t="s">
        <v>278</v>
      </c>
      <c r="I70" s="101">
        <v>0.88</v>
      </c>
    </row>
    <row r="73" spans="1:9" x14ac:dyDescent="0.3">
      <c r="C73" s="1" t="s">
        <v>428</v>
      </c>
      <c r="G73" s="189">
        <v>0.02</v>
      </c>
      <c r="H73" t="s">
        <v>712</v>
      </c>
    </row>
    <row r="74" spans="1:9" x14ac:dyDescent="0.3">
      <c r="A74" s="29" t="s">
        <v>478</v>
      </c>
      <c r="B74" s="1" t="s">
        <v>449</v>
      </c>
      <c r="C74" s="1" t="s">
        <v>452</v>
      </c>
      <c r="G74" s="189">
        <f>cpi+H74</f>
        <v>0</v>
      </c>
      <c r="H74" s="142">
        <f>IF(DoR&lt;DATE(2021,4,1),-2%,0%)</f>
        <v>-0.02</v>
      </c>
    </row>
    <row r="75" spans="1:9" x14ac:dyDescent="0.3">
      <c r="A75" s="29" t="s">
        <v>478</v>
      </c>
      <c r="B75" s="1" t="s">
        <v>450</v>
      </c>
      <c r="C75" s="1" t="s">
        <v>453</v>
      </c>
      <c r="G75" s="189">
        <f>cpi+1%</f>
        <v>0.03</v>
      </c>
    </row>
    <row r="76" spans="1:9" x14ac:dyDescent="0.3">
      <c r="A76" s="29" t="s">
        <v>478</v>
      </c>
      <c r="B76" s="1" t="s">
        <v>451</v>
      </c>
      <c r="C76" s="1" t="s">
        <v>454</v>
      </c>
      <c r="G76" s="189">
        <f>cpi+2%</f>
        <v>0.04</v>
      </c>
    </row>
    <row r="77" spans="1:9" x14ac:dyDescent="0.3">
      <c r="C77" s="1" t="s">
        <v>479</v>
      </c>
      <c r="G77" s="188">
        <f>G73+1.25%</f>
        <v>3.2500000000000001E-2</v>
      </c>
    </row>
    <row r="78" spans="1:9" x14ac:dyDescent="0.3">
      <c r="C78" s="1"/>
      <c r="G78" s="188"/>
    </row>
    <row r="79" spans="1:9" x14ac:dyDescent="0.3">
      <c r="C79" s="1" t="s">
        <v>270</v>
      </c>
      <c r="G79" s="84">
        <f>cpi</f>
        <v>0.02</v>
      </c>
      <c r="H79" s="143" t="s">
        <v>432</v>
      </c>
    </row>
    <row r="81" spans="2:12" x14ac:dyDescent="0.3">
      <c r="C81" s="29"/>
      <c r="D81" s="29"/>
      <c r="E81" s="29"/>
    </row>
    <row r="82" spans="2:12" ht="12.5" x14ac:dyDescent="0.25">
      <c r="B82" s="29" t="s">
        <v>402</v>
      </c>
      <c r="D82" s="296">
        <f ca="1">TODAY()</f>
        <v>44214</v>
      </c>
      <c r="E82" s="8"/>
      <c r="F82" s="109"/>
      <c r="G82" s="110"/>
    </row>
    <row r="83" spans="2:12" ht="12.5" x14ac:dyDescent="0.25">
      <c r="B83" s="116">
        <f ca="1">DATE(YEAR(Date_curr)-1,4,1)</f>
        <v>43922</v>
      </c>
      <c r="C83" s="111">
        <f ca="1">DATE(YEAR(Date_curr),4,1)</f>
        <v>44287</v>
      </c>
      <c r="D83" s="111">
        <f ca="1">DATE(YEAR(Date_curr)+1,4,1)</f>
        <v>44652</v>
      </c>
      <c r="E83" s="111"/>
      <c r="F83" s="110"/>
      <c r="G83" s="112"/>
    </row>
    <row r="84" spans="2:12" ht="12.5" x14ac:dyDescent="0.25">
      <c r="B84" s="110" t="s">
        <v>523</v>
      </c>
      <c r="D84" s="296">
        <f>IF(Parameters!B112=TRUE,DATE(ABSEndDate1,4,1),IF(PT_Status="Part-time",DATE(ABSEndDate,4,1),IF(AND(Date_curr&lt;C83,Date_curr&gt;=B83),B83,IF(AND(Date_curr&lt;D83,Date_curr&gt;=C83),C83,D83))))</f>
        <v>92</v>
      </c>
      <c r="E84" s="295"/>
    </row>
    <row r="86" spans="2:12" x14ac:dyDescent="0.3">
      <c r="K86" s="8">
        <v>25102</v>
      </c>
    </row>
    <row r="87" spans="2:12" x14ac:dyDescent="0.3">
      <c r="B87" s="1" t="s">
        <v>534</v>
      </c>
      <c r="K87" s="8">
        <v>45190</v>
      </c>
    </row>
    <row r="88" spans="2:12" ht="12.5" x14ac:dyDescent="0.25">
      <c r="B88" s="110" t="s">
        <v>440</v>
      </c>
      <c r="C88" s="110" t="s">
        <v>437</v>
      </c>
      <c r="D88" s="110" t="s">
        <v>438</v>
      </c>
      <c r="E88" s="111" t="s">
        <v>436</v>
      </c>
      <c r="F88" s="110" t="s">
        <v>628</v>
      </c>
      <c r="G88" s="110" t="s">
        <v>439</v>
      </c>
      <c r="H88" s="110"/>
      <c r="I88" s="110"/>
      <c r="J88" s="110"/>
      <c r="K88" s="354">
        <f>YEARFRAC(K86,K87)</f>
        <v>55</v>
      </c>
      <c r="L88" s="353">
        <f>DATEDIF(K86,K87,"y")</f>
        <v>55</v>
      </c>
    </row>
    <row r="89" spans="2:12" ht="12.5" x14ac:dyDescent="0.25">
      <c r="B89" s="110" t="s">
        <v>441</v>
      </c>
      <c r="C89" s="149">
        <v>55</v>
      </c>
      <c r="D89" s="149">
        <v>55</v>
      </c>
      <c r="E89" s="149">
        <v>60</v>
      </c>
      <c r="F89" s="149">
        <v>60</v>
      </c>
      <c r="G89" s="149"/>
      <c r="H89" s="149"/>
      <c r="I89" s="149"/>
      <c r="J89" s="149"/>
      <c r="K89" s="149"/>
      <c r="L89" s="149"/>
    </row>
    <row r="91" spans="2:12" x14ac:dyDescent="0.3">
      <c r="B91" s="1" t="s">
        <v>571</v>
      </c>
    </row>
    <row r="92" spans="2:12" ht="12.5" x14ac:dyDescent="0.25">
      <c r="B92" s="313" t="s">
        <v>568</v>
      </c>
      <c r="C92" s="314" t="s">
        <v>60</v>
      </c>
    </row>
    <row r="93" spans="2:12" ht="12.5" x14ac:dyDescent="0.25">
      <c r="B93" s="313" t="s">
        <v>570</v>
      </c>
      <c r="C93" s="314" t="s">
        <v>61</v>
      </c>
    </row>
    <row r="94" spans="2:12" ht="12.5" x14ac:dyDescent="0.25">
      <c r="B94" s="313" t="s">
        <v>569</v>
      </c>
      <c r="C94" s="314" t="s">
        <v>63</v>
      </c>
    </row>
    <row r="95" spans="2:12" ht="12.5" x14ac:dyDescent="0.25">
      <c r="B95" s="110"/>
    </row>
    <row r="96" spans="2:12" x14ac:dyDescent="0.3">
      <c r="B96" s="1" t="s">
        <v>200</v>
      </c>
    </row>
    <row r="97" spans="2:9" ht="12.5" x14ac:dyDescent="0.25">
      <c r="B97" s="110" t="e">
        <f>INDEX(Parameters!$C$92:$C$94,MATCH(Calculator!J31,Parameters!$B$92:$B$94,0),1)</f>
        <v>#N/A</v>
      </c>
    </row>
    <row r="98" spans="2:9" ht="12.5" x14ac:dyDescent="0.25">
      <c r="B98" s="110"/>
    </row>
    <row r="99" spans="2:9" x14ac:dyDescent="0.3">
      <c r="B99" s="315" t="s">
        <v>574</v>
      </c>
      <c r="G99" s="308"/>
    </row>
    <row r="100" spans="2:9" ht="12.5" x14ac:dyDescent="0.25">
      <c r="B100" s="111">
        <f>DoR</f>
        <v>0</v>
      </c>
      <c r="F100" t="s">
        <v>606</v>
      </c>
    </row>
    <row r="101" spans="2:9" ht="12.5" x14ac:dyDescent="0.25">
      <c r="B101" s="111" t="s">
        <v>417</v>
      </c>
      <c r="C101" s="29" t="s">
        <v>595</v>
      </c>
      <c r="D101" s="29" t="s">
        <v>596</v>
      </c>
      <c r="F101" t="s">
        <v>608</v>
      </c>
      <c r="G101" t="s">
        <v>609</v>
      </c>
      <c r="H101" t="s">
        <v>610</v>
      </c>
      <c r="I101" t="s">
        <v>607</v>
      </c>
    </row>
    <row r="102" spans="2:9" ht="12.5" x14ac:dyDescent="0.25">
      <c r="B102">
        <f>DATEDIF(DoB,DoR,"y")</f>
        <v>0</v>
      </c>
      <c r="C102">
        <f>(DATEDIF(DoB,DoR,"m")/12-B102)*12</f>
        <v>0</v>
      </c>
      <c r="D102" s="308">
        <f>DoR-DATE(YEAR(DoB)+RA_Year,MONTH(DoB),DAY(DoB))</f>
        <v>0</v>
      </c>
      <c r="F102">
        <f>YEARFRAC(DoB,DoR)</f>
        <v>0</v>
      </c>
      <c r="G102">
        <f>INT(F102)</f>
        <v>0</v>
      </c>
      <c r="H102">
        <f>F102-G102</f>
        <v>0</v>
      </c>
      <c r="I102">
        <f>ROUNDUP(H102*12,0)</f>
        <v>0</v>
      </c>
    </row>
    <row r="103" spans="2:9" x14ac:dyDescent="0.3">
      <c r="B103" s="1" t="s">
        <v>575</v>
      </c>
      <c r="G103">
        <f>60-G102-RA_month_roundup/12</f>
        <v>60</v>
      </c>
      <c r="H103">
        <f>INT(G103)</f>
        <v>60</v>
      </c>
      <c r="I103">
        <f>G103*12-12</f>
        <v>708</v>
      </c>
    </row>
    <row r="104" spans="2:9" ht="12.5" x14ac:dyDescent="0.25">
      <c r="B104" s="112">
        <f>B102+D102/DoY</f>
        <v>0</v>
      </c>
    </row>
    <row r="105" spans="2:9" x14ac:dyDescent="0.3">
      <c r="B105" s="1" t="s">
        <v>611</v>
      </c>
      <c r="C105" s="29"/>
    </row>
    <row r="106" spans="2:9" ht="12.5" x14ac:dyDescent="0.25">
      <c r="B106" s="116">
        <f>DATE(YEAR(DoB)+60,MONTH(DoB),DAY(DoB))</f>
        <v>21915</v>
      </c>
      <c r="E106" s="8"/>
      <c r="F106" s="119"/>
    </row>
    <row r="108" spans="2:9" x14ac:dyDescent="0.3">
      <c r="B108" s="1" t="s">
        <v>648</v>
      </c>
    </row>
    <row r="109" spans="2:9" ht="12.5" x14ac:dyDescent="0.25">
      <c r="B109" s="296">
        <v>44651</v>
      </c>
    </row>
    <row r="111" spans="2:9" x14ac:dyDescent="0.3">
      <c r="B111" s="1" t="s">
        <v>669</v>
      </c>
    </row>
    <row r="112" spans="2:9" x14ac:dyDescent="0.3">
      <c r="B112" s="1" t="b">
        <v>1</v>
      </c>
      <c r="C112" t="b">
        <f>B112</f>
        <v>1</v>
      </c>
    </row>
    <row r="115" spans="2:2" x14ac:dyDescent="0.3">
      <c r="B115" s="1" t="s">
        <v>682</v>
      </c>
    </row>
    <row r="116" spans="2:2" ht="12.5" x14ac:dyDescent="0.25">
      <c r="B116" s="29" t="b">
        <f>AND(DoB&lt;&gt;"",DJS&lt;&gt;"",Scheme_Full&lt;&gt;"",CurrentSal&lt;&gt;"",DoR&lt;&gt;"")</f>
        <v>0</v>
      </c>
    </row>
    <row r="118" spans="2:2" x14ac:dyDescent="0.3">
      <c r="B118" s="1" t="s">
        <v>746</v>
      </c>
    </row>
    <row r="119" spans="2:2" ht="12.5" x14ac:dyDescent="0.25">
      <c r="B119" s="29">
        <v>2016</v>
      </c>
    </row>
    <row r="120" spans="2:2" ht="12.5" x14ac:dyDescent="0.25">
      <c r="B120" s="29">
        <v>2017</v>
      </c>
    </row>
    <row r="121" spans="2:2" ht="12.5" x14ac:dyDescent="0.25">
      <c r="B121" s="29">
        <v>2018</v>
      </c>
    </row>
    <row r="122" spans="2:2" ht="12.5" x14ac:dyDescent="0.25">
      <c r="B122" s="29">
        <v>2019</v>
      </c>
    </row>
    <row r="123" spans="2:2" ht="12.5" x14ac:dyDescent="0.25">
      <c r="B123" s="29">
        <v>2020</v>
      </c>
    </row>
    <row r="124" spans="2:2" ht="12.5" x14ac:dyDescent="0.25">
      <c r="B124" s="29">
        <v>2021</v>
      </c>
    </row>
    <row r="125" spans="2:2" ht="12.5" x14ac:dyDescent="0.25">
      <c r="B125" s="29">
        <v>2022</v>
      </c>
    </row>
    <row r="126" spans="2:2" ht="12.5" x14ac:dyDescent="0.25">
      <c r="B126" s="29">
        <v>2023</v>
      </c>
    </row>
    <row r="127" spans="2:2" ht="12.5" x14ac:dyDescent="0.25">
      <c r="B127" s="29">
        <v>2024</v>
      </c>
    </row>
    <row r="128" spans="2:2" ht="12.5" x14ac:dyDescent="0.25">
      <c r="B128" s="29">
        <v>2025</v>
      </c>
    </row>
  </sheetData>
  <mergeCells count="2">
    <mergeCell ref="D43:E43"/>
    <mergeCell ref="H58:I58"/>
  </mergeCells>
  <phoneticPr fontId="29" type="noConversion"/>
  <hyperlinks>
    <hyperlink ref="H24" r:id="rId1"/>
  </hyperlinks>
  <pageMargins left="0.7" right="0.7" top="0.75" bottom="0.75" header="0.3" footer="0.3"/>
  <pageSetup paperSize="9" orientation="portrait" r:id="rId2"/>
  <headerFooter>
    <oddHeader>&amp;CPROTECT - SCHEME MANAGEMENT&amp;L_x000D_&amp;Z&amp;F  [&amp;A]</oddHeader>
    <oddFooter>&amp;LPage &amp;P of &amp;N&amp;R&amp;T &amp;D</oddFooter>
  </headerFooter>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X114"/>
  <sheetViews>
    <sheetView windowProtection="1" topLeftCell="A9" workbookViewId="0">
      <selection activeCell="H46" sqref="H46:I47"/>
    </sheetView>
  </sheetViews>
  <sheetFormatPr defaultRowHeight="12.5" x14ac:dyDescent="0.25"/>
  <cols>
    <col min="2" max="3" width="10.1796875" bestFit="1" customWidth="1"/>
    <col min="11" max="11" width="11.1796875" customWidth="1"/>
    <col min="13" max="14" width="10.1796875" bestFit="1" customWidth="1"/>
    <col min="20" max="20" width="11.1796875" bestFit="1" customWidth="1"/>
    <col min="22" max="22" width="10.1796875" customWidth="1"/>
    <col min="23" max="23" width="10.1796875" bestFit="1" customWidth="1"/>
    <col min="29" max="29" width="11.1796875" bestFit="1" customWidth="1"/>
  </cols>
  <sheetData>
    <row r="1" spans="1:29" ht="20" x14ac:dyDescent="0.4">
      <c r="A1" s="13" t="s">
        <v>19</v>
      </c>
      <c r="B1" s="12"/>
      <c r="C1" s="12"/>
      <c r="D1" s="12"/>
      <c r="E1" s="12"/>
      <c r="F1" s="12"/>
      <c r="G1" s="12"/>
      <c r="H1" s="12"/>
      <c r="I1" s="12"/>
    </row>
    <row r="2" spans="1:29" ht="15.5" x14ac:dyDescent="0.35">
      <c r="A2" s="27" t="str">
        <f>IF(title="&gt; Enter workbook title here","Enter workbook title in Cover sheet",title)</f>
        <v>Scottish Police Pension Calculator</v>
      </c>
      <c r="B2" s="11"/>
      <c r="C2" s="11"/>
      <c r="D2" s="11"/>
      <c r="E2" s="11"/>
      <c r="F2" s="11"/>
      <c r="G2" s="11"/>
      <c r="H2" s="11"/>
      <c r="I2" s="11"/>
    </row>
    <row r="3" spans="1:29" ht="15.5" x14ac:dyDescent="0.35">
      <c r="A3" s="126" t="s">
        <v>193</v>
      </c>
      <c r="B3" s="11"/>
      <c r="C3" s="11"/>
      <c r="D3" s="11"/>
      <c r="E3" s="11"/>
      <c r="F3" s="11"/>
      <c r="G3" s="11"/>
      <c r="H3" s="11"/>
      <c r="I3" s="11"/>
    </row>
    <row r="4" spans="1:29" x14ac:dyDescent="0.25">
      <c r="A4" s="7" t="str">
        <f ca="1">CELL("filename",A1)</f>
        <v>C:\Users\u418711\AppData\Local\Microsoft\Windows\INetCache\Content.Outlook\PTLKNQ86\[Copy of PPS Scotland PensionCalculatorv5.5 22Dec2020.xlsx]Tapers</v>
      </c>
    </row>
    <row r="6" spans="1:29" ht="13" x14ac:dyDescent="0.3">
      <c r="B6" s="1" t="s">
        <v>179</v>
      </c>
      <c r="C6" s="78" t="s">
        <v>180</v>
      </c>
    </row>
    <row r="7" spans="1:29" x14ac:dyDescent="0.25">
      <c r="C7" s="29" t="s">
        <v>181</v>
      </c>
    </row>
    <row r="8" spans="1:29" x14ac:dyDescent="0.25">
      <c r="C8" s="29"/>
    </row>
    <row r="9" spans="1:29" x14ac:dyDescent="0.25">
      <c r="B9" t="s">
        <v>196</v>
      </c>
      <c r="C9" s="33">
        <v>4</v>
      </c>
      <c r="D9" t="s">
        <v>76</v>
      </c>
      <c r="E9" s="29" t="s">
        <v>197</v>
      </c>
    </row>
    <row r="10" spans="1:29" x14ac:dyDescent="0.25">
      <c r="C10" s="29"/>
    </row>
    <row r="11" spans="1:29" ht="15" thickBot="1" x14ac:dyDescent="0.35">
      <c r="B11" s="44" t="s">
        <v>75</v>
      </c>
      <c r="M11" s="44" t="s">
        <v>80</v>
      </c>
      <c r="V11" s="44" t="s">
        <v>199</v>
      </c>
    </row>
    <row r="12" spans="1:29" ht="25.5" customHeight="1" thickBot="1" x14ac:dyDescent="0.3">
      <c r="B12" s="652" t="s">
        <v>66</v>
      </c>
      <c r="C12" s="653"/>
      <c r="D12" s="656" t="s">
        <v>67</v>
      </c>
      <c r="E12" s="653"/>
      <c r="F12" s="658" t="s">
        <v>68</v>
      </c>
      <c r="G12" s="650" t="s">
        <v>69</v>
      </c>
      <c r="H12" s="660"/>
      <c r="I12" s="660"/>
      <c r="J12" s="651"/>
      <c r="K12" s="648" t="s">
        <v>70</v>
      </c>
      <c r="M12" s="638" t="s">
        <v>66</v>
      </c>
      <c r="N12" s="639"/>
      <c r="O12" s="642" t="s">
        <v>67</v>
      </c>
      <c r="P12" s="639"/>
      <c r="Q12" s="644" t="s">
        <v>68</v>
      </c>
      <c r="R12" s="646" t="s">
        <v>69</v>
      </c>
      <c r="S12" s="647"/>
      <c r="T12" s="636" t="s">
        <v>70</v>
      </c>
      <c r="V12" s="638" t="s">
        <v>77</v>
      </c>
      <c r="W12" s="639"/>
      <c r="X12" s="642" t="s">
        <v>78</v>
      </c>
      <c r="Y12" s="639"/>
      <c r="Z12" s="644" t="s">
        <v>68</v>
      </c>
      <c r="AA12" s="646" t="s">
        <v>79</v>
      </c>
      <c r="AB12" s="647"/>
      <c r="AC12" s="636" t="s">
        <v>70</v>
      </c>
    </row>
    <row r="13" spans="1:29" ht="13" thickBot="1" x14ac:dyDescent="0.3">
      <c r="B13" s="654"/>
      <c r="C13" s="655"/>
      <c r="D13" s="657"/>
      <c r="E13" s="655"/>
      <c r="F13" s="659"/>
      <c r="G13" s="650" t="s">
        <v>71</v>
      </c>
      <c r="H13" s="651"/>
      <c r="I13" s="650" t="s">
        <v>72</v>
      </c>
      <c r="J13" s="651"/>
      <c r="K13" s="649"/>
      <c r="M13" s="640"/>
      <c r="N13" s="641"/>
      <c r="O13" s="643"/>
      <c r="P13" s="641"/>
      <c r="Q13" s="645"/>
      <c r="R13" s="45" t="s">
        <v>71</v>
      </c>
      <c r="S13" s="46" t="s">
        <v>72</v>
      </c>
      <c r="T13" s="637"/>
      <c r="V13" s="640"/>
      <c r="W13" s="641"/>
      <c r="X13" s="643"/>
      <c r="Y13" s="641"/>
      <c r="Z13" s="645"/>
      <c r="AA13" s="45" t="s">
        <v>71</v>
      </c>
      <c r="AB13" s="46" t="s">
        <v>72</v>
      </c>
      <c r="AC13" s="637"/>
    </row>
    <row r="14" spans="1:29" ht="15" thickBot="1" x14ac:dyDescent="0.4">
      <c r="B14" s="35" t="s">
        <v>71</v>
      </c>
      <c r="C14" s="36" t="s">
        <v>72</v>
      </c>
      <c r="D14" s="36" t="s">
        <v>73</v>
      </c>
      <c r="E14" s="36" t="s">
        <v>74</v>
      </c>
      <c r="F14" s="37"/>
      <c r="G14" s="36" t="s">
        <v>73</v>
      </c>
      <c r="H14" s="36" t="s">
        <v>74</v>
      </c>
      <c r="I14" s="36" t="s">
        <v>73</v>
      </c>
      <c r="J14" s="36" t="s">
        <v>74</v>
      </c>
      <c r="K14" s="37"/>
      <c r="M14" s="47" t="s">
        <v>71</v>
      </c>
      <c r="N14" s="48" t="s">
        <v>72</v>
      </c>
      <c r="O14" s="48" t="s">
        <v>73</v>
      </c>
      <c r="P14" s="48" t="s">
        <v>74</v>
      </c>
      <c r="Q14" s="49"/>
      <c r="R14" s="48" t="s">
        <v>76</v>
      </c>
      <c r="S14" s="48" t="s">
        <v>76</v>
      </c>
      <c r="T14" s="50"/>
      <c r="V14" s="47" t="s">
        <v>71</v>
      </c>
      <c r="W14" s="48" t="s">
        <v>72</v>
      </c>
      <c r="X14" s="48" t="s">
        <v>73</v>
      </c>
      <c r="Y14" s="48" t="s">
        <v>74</v>
      </c>
      <c r="Z14" s="50"/>
      <c r="AA14" s="48" t="s">
        <v>76</v>
      </c>
      <c r="AB14" s="48" t="s">
        <v>76</v>
      </c>
      <c r="AC14" s="50"/>
    </row>
    <row r="15" spans="1:29" ht="13" thickBot="1" x14ac:dyDescent="0.3">
      <c r="B15" s="38">
        <v>24564</v>
      </c>
      <c r="C15" s="39">
        <v>24593</v>
      </c>
      <c r="D15" s="40">
        <v>44</v>
      </c>
      <c r="E15" s="40">
        <v>11</v>
      </c>
      <c r="F15" s="41">
        <v>2557</v>
      </c>
      <c r="G15" s="40">
        <v>54</v>
      </c>
      <c r="H15" s="40">
        <v>11</v>
      </c>
      <c r="I15" s="42">
        <v>55</v>
      </c>
      <c r="J15" s="40">
        <v>0</v>
      </c>
      <c r="K15" s="43">
        <v>44651</v>
      </c>
      <c r="M15" s="51">
        <v>27121</v>
      </c>
      <c r="N15" s="52">
        <v>27150</v>
      </c>
      <c r="O15" s="53">
        <v>37</v>
      </c>
      <c r="P15" s="53">
        <v>11</v>
      </c>
      <c r="Q15" s="53">
        <v>2557</v>
      </c>
      <c r="R15" s="53">
        <v>47.92</v>
      </c>
      <c r="S15" s="53">
        <v>48</v>
      </c>
      <c r="T15" s="54">
        <v>44651</v>
      </c>
      <c r="V15" s="51">
        <v>33696</v>
      </c>
      <c r="W15" s="52">
        <v>33725</v>
      </c>
      <c r="X15" s="53">
        <v>19</v>
      </c>
      <c r="Y15" s="53">
        <v>11</v>
      </c>
      <c r="Z15" s="53">
        <v>2557</v>
      </c>
      <c r="AA15" s="53">
        <v>29.92</v>
      </c>
      <c r="AB15" s="65">
        <v>30</v>
      </c>
      <c r="AC15" s="54">
        <v>44651</v>
      </c>
    </row>
    <row r="16" spans="1:29" ht="13" thickBot="1" x14ac:dyDescent="0.3">
      <c r="B16" s="38">
        <v>24594</v>
      </c>
      <c r="C16" s="39">
        <v>24624</v>
      </c>
      <c r="D16" s="40">
        <v>44</v>
      </c>
      <c r="E16" s="40">
        <v>10</v>
      </c>
      <c r="F16" s="41">
        <v>2504</v>
      </c>
      <c r="G16" s="40">
        <v>54</v>
      </c>
      <c r="H16" s="40">
        <v>8</v>
      </c>
      <c r="I16" s="42">
        <v>54</v>
      </c>
      <c r="J16" s="40">
        <v>9</v>
      </c>
      <c r="K16" s="43">
        <v>44598</v>
      </c>
      <c r="M16" s="51">
        <v>27151</v>
      </c>
      <c r="N16" s="52">
        <v>27181</v>
      </c>
      <c r="O16" s="53">
        <v>37</v>
      </c>
      <c r="P16" s="53">
        <v>10</v>
      </c>
      <c r="Q16" s="53">
        <v>2504</v>
      </c>
      <c r="R16" s="53">
        <v>47.69</v>
      </c>
      <c r="S16" s="53">
        <v>47.77</v>
      </c>
      <c r="T16" s="54">
        <v>44598</v>
      </c>
      <c r="V16" s="51">
        <v>33726</v>
      </c>
      <c r="W16" s="52">
        <v>33756</v>
      </c>
      <c r="X16" s="53">
        <v>19</v>
      </c>
      <c r="Y16" s="53">
        <v>10</v>
      </c>
      <c r="Z16" s="53">
        <v>2504</v>
      </c>
      <c r="AA16" s="53">
        <v>29.69</v>
      </c>
      <c r="AB16" s="65">
        <v>29.77</v>
      </c>
      <c r="AC16" s="54">
        <v>44598</v>
      </c>
    </row>
    <row r="17" spans="2:29" ht="13" thickBot="1" x14ac:dyDescent="0.3">
      <c r="B17" s="38">
        <v>24625</v>
      </c>
      <c r="C17" s="39">
        <v>24654</v>
      </c>
      <c r="D17" s="40">
        <v>44</v>
      </c>
      <c r="E17" s="40">
        <v>9</v>
      </c>
      <c r="F17" s="41">
        <v>2450</v>
      </c>
      <c r="G17" s="40">
        <v>54</v>
      </c>
      <c r="H17" s="40">
        <v>5</v>
      </c>
      <c r="I17" s="42">
        <v>54</v>
      </c>
      <c r="J17" s="40">
        <v>6</v>
      </c>
      <c r="K17" s="43">
        <v>44544</v>
      </c>
      <c r="M17" s="51">
        <v>27182</v>
      </c>
      <c r="N17" s="52">
        <v>27211</v>
      </c>
      <c r="O17" s="53">
        <v>37</v>
      </c>
      <c r="P17" s="53">
        <v>9</v>
      </c>
      <c r="Q17" s="53">
        <v>2450</v>
      </c>
      <c r="R17" s="53">
        <v>47.46</v>
      </c>
      <c r="S17" s="53">
        <v>47.54</v>
      </c>
      <c r="T17" s="54">
        <v>44544</v>
      </c>
      <c r="V17" s="51">
        <v>33757</v>
      </c>
      <c r="W17" s="52">
        <v>33786</v>
      </c>
      <c r="X17" s="53">
        <v>19</v>
      </c>
      <c r="Y17" s="53">
        <v>9</v>
      </c>
      <c r="Z17" s="53">
        <v>2450</v>
      </c>
      <c r="AA17" s="53">
        <v>29.46</v>
      </c>
      <c r="AB17" s="65">
        <v>29.54</v>
      </c>
      <c r="AC17" s="54">
        <v>44544</v>
      </c>
    </row>
    <row r="18" spans="2:29" ht="13" thickBot="1" x14ac:dyDescent="0.3">
      <c r="B18" s="38">
        <v>24655</v>
      </c>
      <c r="C18" s="39">
        <v>24685</v>
      </c>
      <c r="D18" s="40">
        <v>44</v>
      </c>
      <c r="E18" s="40">
        <v>8</v>
      </c>
      <c r="F18" s="41">
        <v>2398</v>
      </c>
      <c r="G18" s="40">
        <v>54</v>
      </c>
      <c r="H18" s="40">
        <v>3</v>
      </c>
      <c r="I18" s="42">
        <v>54</v>
      </c>
      <c r="J18" s="40">
        <v>4</v>
      </c>
      <c r="K18" s="43">
        <v>44492</v>
      </c>
      <c r="M18" s="51">
        <v>27212</v>
      </c>
      <c r="N18" s="52">
        <v>27242</v>
      </c>
      <c r="O18" s="53">
        <v>37</v>
      </c>
      <c r="P18" s="53">
        <v>8</v>
      </c>
      <c r="Q18" s="53">
        <v>2398</v>
      </c>
      <c r="R18" s="53">
        <v>47.23</v>
      </c>
      <c r="S18" s="53">
        <v>47.31</v>
      </c>
      <c r="T18" s="54">
        <v>44492</v>
      </c>
      <c r="V18" s="51">
        <v>33787</v>
      </c>
      <c r="W18" s="52">
        <v>33817</v>
      </c>
      <c r="X18" s="53">
        <v>19</v>
      </c>
      <c r="Y18" s="53">
        <v>8</v>
      </c>
      <c r="Z18" s="53">
        <v>2398</v>
      </c>
      <c r="AA18" s="53">
        <v>29.23</v>
      </c>
      <c r="AB18" s="65">
        <v>29.31</v>
      </c>
      <c r="AC18" s="54">
        <v>44492</v>
      </c>
    </row>
    <row r="19" spans="2:29" ht="13" thickBot="1" x14ac:dyDescent="0.3">
      <c r="B19" s="38">
        <v>24686</v>
      </c>
      <c r="C19" s="39">
        <v>24716</v>
      </c>
      <c r="D19" s="40">
        <v>44</v>
      </c>
      <c r="E19" s="40">
        <v>7</v>
      </c>
      <c r="F19" s="41">
        <v>2343</v>
      </c>
      <c r="G19" s="40">
        <v>54</v>
      </c>
      <c r="H19" s="40">
        <v>0</v>
      </c>
      <c r="I19" s="42">
        <v>54</v>
      </c>
      <c r="J19" s="40">
        <v>1</v>
      </c>
      <c r="K19" s="43">
        <v>44437</v>
      </c>
      <c r="M19" s="51">
        <v>27243</v>
      </c>
      <c r="N19" s="52">
        <v>27273</v>
      </c>
      <c r="O19" s="53">
        <v>37</v>
      </c>
      <c r="P19" s="53">
        <v>7</v>
      </c>
      <c r="Q19" s="53">
        <v>2343</v>
      </c>
      <c r="R19" s="53">
        <v>47</v>
      </c>
      <c r="S19" s="53">
        <v>47.08</v>
      </c>
      <c r="T19" s="54">
        <v>44437</v>
      </c>
      <c r="V19" s="51">
        <v>33818</v>
      </c>
      <c r="W19" s="52">
        <v>33848</v>
      </c>
      <c r="X19" s="53">
        <v>19</v>
      </c>
      <c r="Y19" s="53">
        <v>7</v>
      </c>
      <c r="Z19" s="53">
        <v>2343</v>
      </c>
      <c r="AA19" s="53">
        <v>28.99</v>
      </c>
      <c r="AB19" s="65">
        <v>29.08</v>
      </c>
      <c r="AC19" s="54">
        <v>44437</v>
      </c>
    </row>
    <row r="20" spans="2:29" ht="13" thickBot="1" x14ac:dyDescent="0.3">
      <c r="B20" s="38">
        <v>24717</v>
      </c>
      <c r="C20" s="39">
        <v>24746</v>
      </c>
      <c r="D20" s="40">
        <v>44</v>
      </c>
      <c r="E20" s="40">
        <v>6</v>
      </c>
      <c r="F20" s="41">
        <v>2289</v>
      </c>
      <c r="G20" s="40">
        <v>53</v>
      </c>
      <c r="H20" s="40">
        <v>9</v>
      </c>
      <c r="I20" s="42">
        <v>53</v>
      </c>
      <c r="J20" s="40">
        <v>10</v>
      </c>
      <c r="K20" s="43">
        <v>44383</v>
      </c>
      <c r="M20" s="51">
        <v>27274</v>
      </c>
      <c r="N20" s="52">
        <v>27303</v>
      </c>
      <c r="O20" s="53">
        <v>37</v>
      </c>
      <c r="P20" s="53">
        <v>6</v>
      </c>
      <c r="Q20" s="53">
        <v>2289</v>
      </c>
      <c r="R20" s="53">
        <v>46.77</v>
      </c>
      <c r="S20" s="53">
        <v>46.84</v>
      </c>
      <c r="T20" s="54">
        <v>44383</v>
      </c>
      <c r="V20" s="51">
        <v>33849</v>
      </c>
      <c r="W20" s="52">
        <v>33878</v>
      </c>
      <c r="X20" s="53">
        <v>19</v>
      </c>
      <c r="Y20" s="53">
        <v>6</v>
      </c>
      <c r="Z20" s="53">
        <v>2289</v>
      </c>
      <c r="AA20" s="53">
        <v>28.76</v>
      </c>
      <c r="AB20" s="65">
        <v>28.84</v>
      </c>
      <c r="AC20" s="54">
        <v>44383</v>
      </c>
    </row>
    <row r="21" spans="2:29" ht="13" thickBot="1" x14ac:dyDescent="0.3">
      <c r="B21" s="38">
        <v>24747</v>
      </c>
      <c r="C21" s="39">
        <v>24777</v>
      </c>
      <c r="D21" s="40">
        <v>44</v>
      </c>
      <c r="E21" s="40">
        <v>5</v>
      </c>
      <c r="F21" s="41">
        <v>2237</v>
      </c>
      <c r="G21" s="40">
        <v>53</v>
      </c>
      <c r="H21" s="40">
        <v>6</v>
      </c>
      <c r="I21" s="42">
        <v>53</v>
      </c>
      <c r="J21" s="40">
        <v>7</v>
      </c>
      <c r="K21" s="43">
        <v>44331</v>
      </c>
      <c r="M21" s="51">
        <v>27304</v>
      </c>
      <c r="N21" s="52">
        <v>27334</v>
      </c>
      <c r="O21" s="53">
        <v>37</v>
      </c>
      <c r="P21" s="53">
        <v>5</v>
      </c>
      <c r="Q21" s="53">
        <v>2237</v>
      </c>
      <c r="R21" s="53">
        <v>46.54</v>
      </c>
      <c r="S21" s="53">
        <v>46.62</v>
      </c>
      <c r="T21" s="54">
        <v>44331</v>
      </c>
      <c r="V21" s="51">
        <v>33879</v>
      </c>
      <c r="W21" s="52">
        <v>33909</v>
      </c>
      <c r="X21" s="53">
        <v>19</v>
      </c>
      <c r="Y21" s="53">
        <v>5</v>
      </c>
      <c r="Z21" s="53">
        <v>2237</v>
      </c>
      <c r="AA21" s="53">
        <v>28.54</v>
      </c>
      <c r="AB21" s="65">
        <v>28.62</v>
      </c>
      <c r="AC21" s="54">
        <v>44331</v>
      </c>
    </row>
    <row r="22" spans="2:29" ht="13" thickBot="1" x14ac:dyDescent="0.3">
      <c r="B22" s="38">
        <v>24778</v>
      </c>
      <c r="C22" s="39">
        <v>24807</v>
      </c>
      <c r="D22" s="40">
        <v>44</v>
      </c>
      <c r="E22" s="40">
        <v>4</v>
      </c>
      <c r="F22" s="41">
        <v>2182</v>
      </c>
      <c r="G22" s="40">
        <v>53</v>
      </c>
      <c r="H22" s="40">
        <v>4</v>
      </c>
      <c r="I22" s="42">
        <v>53</v>
      </c>
      <c r="J22" s="40">
        <v>5</v>
      </c>
      <c r="K22" s="43">
        <v>44276</v>
      </c>
      <c r="M22" s="51">
        <v>27335</v>
      </c>
      <c r="N22" s="52">
        <v>27364</v>
      </c>
      <c r="O22" s="53">
        <v>37</v>
      </c>
      <c r="P22" s="53">
        <v>4</v>
      </c>
      <c r="Q22" s="53">
        <v>2182</v>
      </c>
      <c r="R22" s="53">
        <v>46.31</v>
      </c>
      <c r="S22" s="53">
        <v>46.38</v>
      </c>
      <c r="T22" s="54">
        <v>44276</v>
      </c>
      <c r="V22" s="51">
        <v>33910</v>
      </c>
      <c r="W22" s="52">
        <v>33939</v>
      </c>
      <c r="X22" s="53">
        <v>19</v>
      </c>
      <c r="Y22" s="53">
        <v>4</v>
      </c>
      <c r="Z22" s="53">
        <v>2182</v>
      </c>
      <c r="AA22" s="53">
        <v>28.3</v>
      </c>
      <c r="AB22" s="65">
        <v>28.38</v>
      </c>
      <c r="AC22" s="54">
        <v>44276</v>
      </c>
    </row>
    <row r="23" spans="2:29" ht="13" thickBot="1" x14ac:dyDescent="0.3">
      <c r="B23" s="38">
        <v>24808</v>
      </c>
      <c r="C23" s="39">
        <v>24838</v>
      </c>
      <c r="D23" s="40">
        <v>44</v>
      </c>
      <c r="E23" s="40">
        <v>3</v>
      </c>
      <c r="F23" s="41">
        <v>2130</v>
      </c>
      <c r="G23" s="40">
        <v>53</v>
      </c>
      <c r="H23" s="40">
        <v>1</v>
      </c>
      <c r="I23" s="42">
        <v>53</v>
      </c>
      <c r="J23" s="40">
        <v>2</v>
      </c>
      <c r="K23" s="43">
        <v>44224</v>
      </c>
      <c r="M23" s="51">
        <v>27365</v>
      </c>
      <c r="N23" s="52">
        <v>27395</v>
      </c>
      <c r="O23" s="53">
        <v>37</v>
      </c>
      <c r="P23" s="53">
        <v>3</v>
      </c>
      <c r="Q23" s="53">
        <v>2130</v>
      </c>
      <c r="R23" s="53">
        <v>46.08</v>
      </c>
      <c r="S23" s="53">
        <v>46.16</v>
      </c>
      <c r="T23" s="54">
        <v>44224</v>
      </c>
      <c r="V23" s="51">
        <v>33940</v>
      </c>
      <c r="W23" s="52">
        <v>33970</v>
      </c>
      <c r="X23" s="53">
        <v>19</v>
      </c>
      <c r="Y23" s="53">
        <v>3</v>
      </c>
      <c r="Z23" s="53">
        <v>2130</v>
      </c>
      <c r="AA23" s="53">
        <v>28.08</v>
      </c>
      <c r="AB23" s="65">
        <v>28.16</v>
      </c>
      <c r="AC23" s="54">
        <v>44224</v>
      </c>
    </row>
    <row r="24" spans="2:29" ht="13" thickBot="1" x14ac:dyDescent="0.3">
      <c r="B24" s="38">
        <v>24839</v>
      </c>
      <c r="C24" s="39">
        <v>24869</v>
      </c>
      <c r="D24" s="40">
        <v>44</v>
      </c>
      <c r="E24" s="40">
        <v>2</v>
      </c>
      <c r="F24" s="41">
        <v>2076</v>
      </c>
      <c r="G24" s="40">
        <v>52</v>
      </c>
      <c r="H24" s="40">
        <v>10</v>
      </c>
      <c r="I24" s="42">
        <v>52</v>
      </c>
      <c r="J24" s="40">
        <v>11</v>
      </c>
      <c r="K24" s="43">
        <v>44170</v>
      </c>
      <c r="M24" s="51">
        <v>27396</v>
      </c>
      <c r="N24" s="52">
        <v>27426</v>
      </c>
      <c r="O24" s="53">
        <v>37</v>
      </c>
      <c r="P24" s="53">
        <v>2</v>
      </c>
      <c r="Q24" s="53">
        <v>2076</v>
      </c>
      <c r="R24" s="53">
        <v>45.85</v>
      </c>
      <c r="S24" s="53">
        <v>45.93</v>
      </c>
      <c r="T24" s="54">
        <v>44170</v>
      </c>
      <c r="V24" s="51">
        <v>33971</v>
      </c>
      <c r="W24" s="52">
        <v>34001</v>
      </c>
      <c r="X24" s="53">
        <v>19</v>
      </c>
      <c r="Y24" s="53">
        <v>2</v>
      </c>
      <c r="Z24" s="53">
        <v>2076</v>
      </c>
      <c r="AA24" s="53">
        <v>27.84</v>
      </c>
      <c r="AB24" s="65">
        <v>27.93</v>
      </c>
      <c r="AC24" s="54">
        <v>44170</v>
      </c>
    </row>
    <row r="25" spans="2:29" ht="13" thickBot="1" x14ac:dyDescent="0.3">
      <c r="B25" s="38">
        <v>24870</v>
      </c>
      <c r="C25" s="39">
        <v>24898</v>
      </c>
      <c r="D25" s="40">
        <v>44</v>
      </c>
      <c r="E25" s="40">
        <v>1</v>
      </c>
      <c r="F25" s="41">
        <v>2021</v>
      </c>
      <c r="G25" s="40">
        <v>52</v>
      </c>
      <c r="H25" s="40">
        <v>7</v>
      </c>
      <c r="I25" s="42">
        <v>52</v>
      </c>
      <c r="J25" s="40">
        <v>8</v>
      </c>
      <c r="K25" s="43">
        <v>44115</v>
      </c>
      <c r="M25" s="51">
        <v>27427</v>
      </c>
      <c r="N25" s="52">
        <v>27454</v>
      </c>
      <c r="O25" s="53">
        <v>37</v>
      </c>
      <c r="P25" s="53">
        <v>1</v>
      </c>
      <c r="Q25" s="53">
        <v>2021</v>
      </c>
      <c r="R25" s="53">
        <v>45.62</v>
      </c>
      <c r="S25" s="53">
        <v>45.69</v>
      </c>
      <c r="T25" s="54">
        <v>44115</v>
      </c>
      <c r="V25" s="51">
        <v>34002</v>
      </c>
      <c r="W25" s="52">
        <v>34029</v>
      </c>
      <c r="X25" s="53">
        <v>19</v>
      </c>
      <c r="Y25" s="53">
        <v>1</v>
      </c>
      <c r="Z25" s="53">
        <v>2021</v>
      </c>
      <c r="AA25" s="53">
        <v>27.62</v>
      </c>
      <c r="AB25" s="65">
        <v>27.69</v>
      </c>
      <c r="AC25" s="54">
        <v>44115</v>
      </c>
    </row>
    <row r="26" spans="2:29" ht="13" thickBot="1" x14ac:dyDescent="0.3">
      <c r="B26" s="38">
        <v>24899</v>
      </c>
      <c r="C26" s="39">
        <v>24929</v>
      </c>
      <c r="D26" s="40">
        <v>44</v>
      </c>
      <c r="E26" s="40">
        <v>0</v>
      </c>
      <c r="F26" s="41">
        <v>1971</v>
      </c>
      <c r="G26" s="40">
        <v>52</v>
      </c>
      <c r="H26" s="40">
        <v>5</v>
      </c>
      <c r="I26" s="42">
        <v>52</v>
      </c>
      <c r="J26" s="40">
        <v>6</v>
      </c>
      <c r="K26" s="43">
        <v>44065</v>
      </c>
      <c r="M26" s="51">
        <v>27455</v>
      </c>
      <c r="N26" s="52">
        <v>27485</v>
      </c>
      <c r="O26" s="53">
        <v>37</v>
      </c>
      <c r="P26" s="53">
        <v>0</v>
      </c>
      <c r="Q26" s="53">
        <v>1971</v>
      </c>
      <c r="R26" s="53">
        <v>45.4</v>
      </c>
      <c r="S26" s="53">
        <v>45.48</v>
      </c>
      <c r="T26" s="54">
        <v>44065</v>
      </c>
      <c r="V26" s="51">
        <v>34030</v>
      </c>
      <c r="W26" s="52">
        <v>34060</v>
      </c>
      <c r="X26" s="53">
        <v>19</v>
      </c>
      <c r="Y26" s="53">
        <v>0</v>
      </c>
      <c r="Z26" s="53">
        <v>1971</v>
      </c>
      <c r="AA26" s="53">
        <v>27.39</v>
      </c>
      <c r="AB26" s="65">
        <v>27.48</v>
      </c>
      <c r="AC26" s="54">
        <v>44065</v>
      </c>
    </row>
    <row r="27" spans="2:29" ht="13" thickBot="1" x14ac:dyDescent="0.3">
      <c r="B27" s="38">
        <v>24930</v>
      </c>
      <c r="C27" s="39">
        <v>24959</v>
      </c>
      <c r="D27" s="40">
        <v>43</v>
      </c>
      <c r="E27" s="40">
        <v>11</v>
      </c>
      <c r="F27" s="41">
        <v>1916</v>
      </c>
      <c r="G27" s="40">
        <v>52</v>
      </c>
      <c r="H27" s="40">
        <v>2</v>
      </c>
      <c r="I27" s="42">
        <v>52</v>
      </c>
      <c r="J27" s="40">
        <v>3</v>
      </c>
      <c r="K27" s="43">
        <v>44010</v>
      </c>
      <c r="M27" s="51">
        <v>27486</v>
      </c>
      <c r="N27" s="52">
        <v>27515</v>
      </c>
      <c r="O27" s="53">
        <v>36</v>
      </c>
      <c r="P27" s="53">
        <v>11</v>
      </c>
      <c r="Q27" s="53">
        <v>1916</v>
      </c>
      <c r="R27" s="53">
        <v>45.16</v>
      </c>
      <c r="S27" s="53">
        <v>45.24</v>
      </c>
      <c r="T27" s="54">
        <v>44010</v>
      </c>
      <c r="V27" s="51">
        <v>34061</v>
      </c>
      <c r="W27" s="52">
        <v>34090</v>
      </c>
      <c r="X27" s="53">
        <v>18</v>
      </c>
      <c r="Y27" s="53">
        <v>11</v>
      </c>
      <c r="Z27" s="53">
        <v>1916</v>
      </c>
      <c r="AA27" s="53">
        <v>27.16</v>
      </c>
      <c r="AB27" s="65">
        <v>27.24</v>
      </c>
      <c r="AC27" s="54">
        <v>44010</v>
      </c>
    </row>
    <row r="28" spans="2:29" ht="13" thickBot="1" x14ac:dyDescent="0.3">
      <c r="B28" s="38">
        <v>24960</v>
      </c>
      <c r="C28" s="39">
        <v>24990</v>
      </c>
      <c r="D28" s="40">
        <v>43</v>
      </c>
      <c r="E28" s="40">
        <v>10</v>
      </c>
      <c r="F28" s="41">
        <v>1864</v>
      </c>
      <c r="G28" s="40">
        <v>51</v>
      </c>
      <c r="H28" s="40">
        <v>11</v>
      </c>
      <c r="I28" s="42">
        <v>52</v>
      </c>
      <c r="J28" s="40">
        <v>0</v>
      </c>
      <c r="K28" s="43">
        <v>43958</v>
      </c>
      <c r="M28" s="51">
        <v>27516</v>
      </c>
      <c r="N28" s="52">
        <v>27546</v>
      </c>
      <c r="O28" s="53">
        <v>36</v>
      </c>
      <c r="P28" s="53">
        <v>10</v>
      </c>
      <c r="Q28" s="53">
        <v>1864</v>
      </c>
      <c r="R28" s="53">
        <v>44.94</v>
      </c>
      <c r="S28" s="53">
        <v>45.02</v>
      </c>
      <c r="T28" s="54">
        <v>43958</v>
      </c>
      <c r="V28" s="51">
        <v>34091</v>
      </c>
      <c r="W28" s="52">
        <v>34121</v>
      </c>
      <c r="X28" s="53">
        <v>18</v>
      </c>
      <c r="Y28" s="53">
        <v>10</v>
      </c>
      <c r="Z28" s="53">
        <v>1864</v>
      </c>
      <c r="AA28" s="53">
        <v>26.93</v>
      </c>
      <c r="AB28" s="65">
        <v>27.02</v>
      </c>
      <c r="AC28" s="54">
        <v>43958</v>
      </c>
    </row>
    <row r="29" spans="2:29" ht="13" thickBot="1" x14ac:dyDescent="0.3">
      <c r="B29" s="38">
        <v>24991</v>
      </c>
      <c r="C29" s="39">
        <v>25020</v>
      </c>
      <c r="D29" s="40">
        <v>43</v>
      </c>
      <c r="E29" s="40">
        <v>9</v>
      </c>
      <c r="F29" s="41">
        <v>1810</v>
      </c>
      <c r="G29" s="40">
        <v>51</v>
      </c>
      <c r="H29" s="40">
        <v>8</v>
      </c>
      <c r="I29" s="42">
        <v>51</v>
      </c>
      <c r="J29" s="40">
        <v>9</v>
      </c>
      <c r="K29" s="43">
        <v>43904</v>
      </c>
      <c r="M29" s="51">
        <v>27547</v>
      </c>
      <c r="N29" s="52">
        <v>27576</v>
      </c>
      <c r="O29" s="53">
        <v>36</v>
      </c>
      <c r="P29" s="53">
        <v>9</v>
      </c>
      <c r="Q29" s="53">
        <v>1810</v>
      </c>
      <c r="R29" s="53">
        <v>44.71</v>
      </c>
      <c r="S29" s="53">
        <v>44.79</v>
      </c>
      <c r="T29" s="54">
        <v>43904</v>
      </c>
      <c r="V29" s="51">
        <v>34122</v>
      </c>
      <c r="W29" s="52">
        <v>34151</v>
      </c>
      <c r="X29" s="53">
        <v>18</v>
      </c>
      <c r="Y29" s="53">
        <v>9</v>
      </c>
      <c r="Z29" s="53">
        <v>1810</v>
      </c>
      <c r="AA29" s="53">
        <v>26.7</v>
      </c>
      <c r="AB29" s="65">
        <v>26.78</v>
      </c>
      <c r="AC29" s="54">
        <v>43904</v>
      </c>
    </row>
    <row r="30" spans="2:29" ht="13" thickBot="1" x14ac:dyDescent="0.3">
      <c r="B30" s="38">
        <v>25021</v>
      </c>
      <c r="C30" s="39">
        <v>25051</v>
      </c>
      <c r="D30" s="40">
        <v>43</v>
      </c>
      <c r="E30" s="40">
        <v>8</v>
      </c>
      <c r="F30" s="41">
        <v>1757</v>
      </c>
      <c r="G30" s="40">
        <v>51</v>
      </c>
      <c r="H30" s="40">
        <v>6</v>
      </c>
      <c r="I30" s="42">
        <v>51</v>
      </c>
      <c r="J30" s="40">
        <v>7</v>
      </c>
      <c r="K30" s="43">
        <v>43851</v>
      </c>
      <c r="M30" s="51">
        <v>27577</v>
      </c>
      <c r="N30" s="52">
        <v>27607</v>
      </c>
      <c r="O30" s="53">
        <v>36</v>
      </c>
      <c r="P30" s="53">
        <v>8</v>
      </c>
      <c r="Q30" s="53">
        <v>1757</v>
      </c>
      <c r="R30" s="53">
        <v>44.48</v>
      </c>
      <c r="S30" s="53">
        <v>44.56</v>
      </c>
      <c r="T30" s="54">
        <v>43851</v>
      </c>
      <c r="V30" s="51">
        <v>34152</v>
      </c>
      <c r="W30" s="52">
        <v>34182</v>
      </c>
      <c r="X30" s="53">
        <v>18</v>
      </c>
      <c r="Y30" s="53">
        <v>8</v>
      </c>
      <c r="Z30" s="53">
        <v>1757</v>
      </c>
      <c r="AA30" s="53">
        <v>26.48</v>
      </c>
      <c r="AB30" s="65">
        <v>26.56</v>
      </c>
      <c r="AC30" s="54">
        <v>43851</v>
      </c>
    </row>
    <row r="31" spans="2:29" ht="13" thickBot="1" x14ac:dyDescent="0.3">
      <c r="B31" s="38">
        <v>25052</v>
      </c>
      <c r="C31" s="39">
        <v>25082</v>
      </c>
      <c r="D31" s="40">
        <v>43</v>
      </c>
      <c r="E31" s="40">
        <v>7</v>
      </c>
      <c r="F31" s="41">
        <v>1703</v>
      </c>
      <c r="G31" s="40">
        <v>51</v>
      </c>
      <c r="H31" s="40">
        <v>3</v>
      </c>
      <c r="I31" s="42">
        <v>51</v>
      </c>
      <c r="J31" s="40">
        <v>4</v>
      </c>
      <c r="K31" s="43">
        <v>43797</v>
      </c>
      <c r="M31" s="51">
        <v>27608</v>
      </c>
      <c r="N31" s="52">
        <v>27638</v>
      </c>
      <c r="O31" s="53">
        <v>36</v>
      </c>
      <c r="P31" s="53">
        <v>7</v>
      </c>
      <c r="Q31" s="53">
        <v>1703</v>
      </c>
      <c r="R31" s="53">
        <v>44.24</v>
      </c>
      <c r="S31" s="53">
        <v>44.33</v>
      </c>
      <c r="T31" s="54">
        <v>43797</v>
      </c>
      <c r="V31" s="51">
        <v>34183</v>
      </c>
      <c r="W31" s="52">
        <v>34213</v>
      </c>
      <c r="X31" s="53">
        <v>18</v>
      </c>
      <c r="Y31" s="53">
        <v>7</v>
      </c>
      <c r="Z31" s="53">
        <v>1703</v>
      </c>
      <c r="AA31" s="53">
        <v>26.24</v>
      </c>
      <c r="AB31" s="65">
        <v>26.32</v>
      </c>
      <c r="AC31" s="54">
        <v>43797</v>
      </c>
    </row>
    <row r="32" spans="2:29" ht="13" thickBot="1" x14ac:dyDescent="0.3">
      <c r="B32" s="38">
        <v>25083</v>
      </c>
      <c r="C32" s="39">
        <v>25112</v>
      </c>
      <c r="D32" s="40">
        <v>43</v>
      </c>
      <c r="E32" s="40">
        <v>6</v>
      </c>
      <c r="F32" s="41">
        <v>1649</v>
      </c>
      <c r="G32" s="40">
        <v>51</v>
      </c>
      <c r="H32" s="40">
        <v>0</v>
      </c>
      <c r="I32" s="42">
        <v>51</v>
      </c>
      <c r="J32" s="40">
        <v>1</v>
      </c>
      <c r="K32" s="43">
        <v>43743</v>
      </c>
      <c r="M32" s="51">
        <v>27639</v>
      </c>
      <c r="N32" s="52">
        <v>27668</v>
      </c>
      <c r="O32" s="53">
        <v>36</v>
      </c>
      <c r="P32" s="53">
        <v>6</v>
      </c>
      <c r="Q32" s="53">
        <v>1649</v>
      </c>
      <c r="R32" s="53">
        <v>44.01</v>
      </c>
      <c r="S32" s="53">
        <v>44.09</v>
      </c>
      <c r="T32" s="54">
        <v>43743</v>
      </c>
      <c r="V32" s="51">
        <v>34214</v>
      </c>
      <c r="W32" s="52">
        <v>34243</v>
      </c>
      <c r="X32" s="53">
        <v>18</v>
      </c>
      <c r="Y32" s="53">
        <v>6</v>
      </c>
      <c r="Z32" s="53">
        <v>1649</v>
      </c>
      <c r="AA32" s="53">
        <v>26.01</v>
      </c>
      <c r="AB32" s="65">
        <v>26.09</v>
      </c>
      <c r="AC32" s="54">
        <v>43743</v>
      </c>
    </row>
    <row r="33" spans="2:29" ht="13" thickBot="1" x14ac:dyDescent="0.3">
      <c r="B33" s="38">
        <v>25113</v>
      </c>
      <c r="C33" s="39">
        <v>25143</v>
      </c>
      <c r="D33" s="40">
        <v>43</v>
      </c>
      <c r="E33" s="40">
        <v>5</v>
      </c>
      <c r="F33" s="41">
        <v>1596</v>
      </c>
      <c r="G33" s="40">
        <v>50</v>
      </c>
      <c r="H33" s="40">
        <v>9</v>
      </c>
      <c r="I33" s="42">
        <v>50</v>
      </c>
      <c r="J33" s="40">
        <v>10</v>
      </c>
      <c r="K33" s="43">
        <v>43690</v>
      </c>
      <c r="M33" s="51">
        <v>27669</v>
      </c>
      <c r="N33" s="52">
        <v>27699</v>
      </c>
      <c r="O33" s="53">
        <v>36</v>
      </c>
      <c r="P33" s="53">
        <v>5</v>
      </c>
      <c r="Q33" s="53">
        <v>1596</v>
      </c>
      <c r="R33" s="53">
        <v>43.78</v>
      </c>
      <c r="S33" s="53">
        <v>43.87</v>
      </c>
      <c r="T33" s="54">
        <v>43690</v>
      </c>
      <c r="V33" s="51">
        <v>34244</v>
      </c>
      <c r="W33" s="52">
        <v>34274</v>
      </c>
      <c r="X33" s="53">
        <v>18</v>
      </c>
      <c r="Y33" s="53">
        <v>5</v>
      </c>
      <c r="Z33" s="53">
        <v>1596</v>
      </c>
      <c r="AA33" s="53">
        <v>25.78</v>
      </c>
      <c r="AB33" s="65">
        <v>25.86</v>
      </c>
      <c r="AC33" s="54">
        <v>43690</v>
      </c>
    </row>
    <row r="34" spans="2:29" ht="13" thickBot="1" x14ac:dyDescent="0.3">
      <c r="B34" s="38">
        <v>25144</v>
      </c>
      <c r="C34" s="39">
        <v>25173</v>
      </c>
      <c r="D34" s="40">
        <v>43</v>
      </c>
      <c r="E34" s="40">
        <v>4</v>
      </c>
      <c r="F34" s="41">
        <v>1542</v>
      </c>
      <c r="G34" s="40">
        <v>50</v>
      </c>
      <c r="H34" s="40">
        <v>7</v>
      </c>
      <c r="I34" s="42">
        <v>50</v>
      </c>
      <c r="J34" s="40">
        <v>8</v>
      </c>
      <c r="K34" s="43">
        <v>43636</v>
      </c>
      <c r="M34" s="51">
        <v>27700</v>
      </c>
      <c r="N34" s="52">
        <v>27729</v>
      </c>
      <c r="O34" s="53">
        <v>36</v>
      </c>
      <c r="P34" s="53">
        <v>4</v>
      </c>
      <c r="Q34" s="53">
        <v>1542</v>
      </c>
      <c r="R34" s="53">
        <v>43.55</v>
      </c>
      <c r="S34" s="53">
        <v>43.63</v>
      </c>
      <c r="T34" s="54">
        <v>43636</v>
      </c>
      <c r="V34" s="51">
        <v>34275</v>
      </c>
      <c r="W34" s="52">
        <v>34304</v>
      </c>
      <c r="X34" s="53">
        <v>18</v>
      </c>
      <c r="Y34" s="53">
        <v>4</v>
      </c>
      <c r="Z34" s="53">
        <v>1542</v>
      </c>
      <c r="AA34" s="53">
        <v>25.55</v>
      </c>
      <c r="AB34" s="65">
        <v>25.63</v>
      </c>
      <c r="AC34" s="54">
        <v>43636</v>
      </c>
    </row>
    <row r="35" spans="2:29" ht="13" thickBot="1" x14ac:dyDescent="0.3">
      <c r="B35" s="38">
        <v>25174</v>
      </c>
      <c r="C35" s="39">
        <v>25204</v>
      </c>
      <c r="D35" s="40">
        <v>43</v>
      </c>
      <c r="E35" s="40">
        <v>3</v>
      </c>
      <c r="F35" s="41">
        <v>1489</v>
      </c>
      <c r="G35" s="40">
        <v>50</v>
      </c>
      <c r="H35" s="40">
        <v>4</v>
      </c>
      <c r="I35" s="42">
        <v>50</v>
      </c>
      <c r="J35" s="40">
        <v>5</v>
      </c>
      <c r="K35" s="43">
        <v>43583</v>
      </c>
      <c r="M35" s="51">
        <v>27730</v>
      </c>
      <c r="N35" s="52">
        <v>27760</v>
      </c>
      <c r="O35" s="53">
        <v>36</v>
      </c>
      <c r="P35" s="53">
        <v>3</v>
      </c>
      <c r="Q35" s="53">
        <v>1489</v>
      </c>
      <c r="R35" s="53">
        <v>43.32</v>
      </c>
      <c r="S35" s="53">
        <v>43.41</v>
      </c>
      <c r="T35" s="54">
        <v>43583</v>
      </c>
      <c r="V35" s="51">
        <v>34305</v>
      </c>
      <c r="W35" s="52">
        <v>34335</v>
      </c>
      <c r="X35" s="53">
        <v>18</v>
      </c>
      <c r="Y35" s="53">
        <v>3</v>
      </c>
      <c r="Z35" s="53">
        <v>1489</v>
      </c>
      <c r="AA35" s="53">
        <v>25.32</v>
      </c>
      <c r="AB35" s="65">
        <v>25.4</v>
      </c>
      <c r="AC35" s="54">
        <v>43583</v>
      </c>
    </row>
    <row r="36" spans="2:29" ht="13" thickBot="1" x14ac:dyDescent="0.3">
      <c r="B36" s="38">
        <v>25205</v>
      </c>
      <c r="C36" s="39">
        <v>25235</v>
      </c>
      <c r="D36" s="40">
        <v>43</v>
      </c>
      <c r="E36" s="40">
        <v>2</v>
      </c>
      <c r="F36" s="41">
        <v>1435</v>
      </c>
      <c r="G36" s="40">
        <v>50</v>
      </c>
      <c r="H36" s="40">
        <v>1</v>
      </c>
      <c r="I36" s="42">
        <v>50</v>
      </c>
      <c r="J36" s="40">
        <v>2</v>
      </c>
      <c r="K36" s="43">
        <v>43529</v>
      </c>
      <c r="M36" s="51">
        <v>27761</v>
      </c>
      <c r="N36" s="52">
        <v>27791</v>
      </c>
      <c r="O36" s="53">
        <v>36</v>
      </c>
      <c r="P36" s="53">
        <v>2</v>
      </c>
      <c r="Q36" s="53">
        <v>1435</v>
      </c>
      <c r="R36" s="53">
        <v>43.09</v>
      </c>
      <c r="S36" s="53">
        <v>43.17</v>
      </c>
      <c r="T36" s="54">
        <v>43529</v>
      </c>
      <c r="V36" s="51">
        <v>34336</v>
      </c>
      <c r="W36" s="52">
        <v>34366</v>
      </c>
      <c r="X36" s="53">
        <v>18</v>
      </c>
      <c r="Y36" s="53">
        <v>2</v>
      </c>
      <c r="Z36" s="53">
        <v>1435</v>
      </c>
      <c r="AA36" s="53">
        <v>25.09</v>
      </c>
      <c r="AB36" s="65">
        <v>25.17</v>
      </c>
      <c r="AC36" s="54">
        <v>43529</v>
      </c>
    </row>
    <row r="37" spans="2:29" ht="13" thickBot="1" x14ac:dyDescent="0.3">
      <c r="B37" s="38">
        <v>25236</v>
      </c>
      <c r="C37" s="39">
        <v>25263</v>
      </c>
      <c r="D37" s="40">
        <v>43</v>
      </c>
      <c r="E37" s="40">
        <v>1</v>
      </c>
      <c r="F37" s="41">
        <v>1381</v>
      </c>
      <c r="G37" s="40">
        <v>49</v>
      </c>
      <c r="H37" s="40">
        <v>10</v>
      </c>
      <c r="I37" s="42">
        <v>49</v>
      </c>
      <c r="J37" s="40">
        <v>11</v>
      </c>
      <c r="K37" s="43">
        <v>43475</v>
      </c>
      <c r="M37" s="51">
        <v>27792</v>
      </c>
      <c r="N37" s="52">
        <v>27820</v>
      </c>
      <c r="O37" s="53">
        <v>36</v>
      </c>
      <c r="P37" s="53">
        <v>1</v>
      </c>
      <c r="Q37" s="53">
        <v>1381</v>
      </c>
      <c r="R37" s="53">
        <v>42.86</v>
      </c>
      <c r="S37" s="53">
        <v>42.94</v>
      </c>
      <c r="T37" s="54">
        <v>43475</v>
      </c>
      <c r="V37" s="51">
        <v>34367</v>
      </c>
      <c r="W37" s="52">
        <v>34394</v>
      </c>
      <c r="X37" s="53">
        <v>18</v>
      </c>
      <c r="Y37" s="53">
        <v>1</v>
      </c>
      <c r="Z37" s="53">
        <v>1381</v>
      </c>
      <c r="AA37" s="53">
        <v>24.87</v>
      </c>
      <c r="AB37" s="65">
        <v>24.94</v>
      </c>
      <c r="AC37" s="54">
        <v>43475</v>
      </c>
    </row>
    <row r="38" spans="2:29" ht="13" thickBot="1" x14ac:dyDescent="0.3">
      <c r="B38" s="38">
        <v>25264</v>
      </c>
      <c r="C38" s="39">
        <v>25294</v>
      </c>
      <c r="D38" s="40">
        <v>43</v>
      </c>
      <c r="E38" s="40">
        <v>0</v>
      </c>
      <c r="F38" s="41">
        <v>1332</v>
      </c>
      <c r="G38" s="40">
        <v>49</v>
      </c>
      <c r="H38" s="40">
        <v>8</v>
      </c>
      <c r="I38" s="42">
        <v>49</v>
      </c>
      <c r="J38" s="40">
        <v>9</v>
      </c>
      <c r="K38" s="43">
        <v>43426</v>
      </c>
      <c r="M38" s="51">
        <v>27821</v>
      </c>
      <c r="N38" s="52">
        <v>27851</v>
      </c>
      <c r="O38" s="53">
        <v>36</v>
      </c>
      <c r="P38" s="53">
        <v>0</v>
      </c>
      <c r="Q38" s="53">
        <v>1332</v>
      </c>
      <c r="R38" s="53">
        <v>42.64</v>
      </c>
      <c r="S38" s="53">
        <v>42.73</v>
      </c>
      <c r="T38" s="54">
        <v>43426</v>
      </c>
      <c r="V38" s="51">
        <v>34395</v>
      </c>
      <c r="W38" s="52">
        <v>34425</v>
      </c>
      <c r="X38" s="53">
        <v>18</v>
      </c>
      <c r="Y38" s="53">
        <v>0</v>
      </c>
      <c r="Z38" s="53">
        <v>1332</v>
      </c>
      <c r="AA38" s="53">
        <v>24.65</v>
      </c>
      <c r="AB38" s="65">
        <v>24.73</v>
      </c>
      <c r="AC38" s="54">
        <v>43426</v>
      </c>
    </row>
    <row r="39" spans="2:29" ht="13" thickBot="1" x14ac:dyDescent="0.3">
      <c r="B39" s="38">
        <v>25295</v>
      </c>
      <c r="C39" s="39">
        <v>25324</v>
      </c>
      <c r="D39" s="40">
        <v>42</v>
      </c>
      <c r="E39" s="40">
        <v>11</v>
      </c>
      <c r="F39" s="41">
        <v>1278</v>
      </c>
      <c r="G39" s="40">
        <v>49</v>
      </c>
      <c r="H39" s="40">
        <v>5</v>
      </c>
      <c r="I39" s="42">
        <v>49</v>
      </c>
      <c r="J39" s="40">
        <v>6</v>
      </c>
      <c r="K39" s="43">
        <v>43372</v>
      </c>
      <c r="M39" s="51">
        <v>27852</v>
      </c>
      <c r="N39" s="52">
        <v>27881</v>
      </c>
      <c r="O39" s="53">
        <v>35</v>
      </c>
      <c r="P39" s="53">
        <v>11</v>
      </c>
      <c r="Q39" s="53">
        <v>1278</v>
      </c>
      <c r="R39" s="53">
        <v>42.41</v>
      </c>
      <c r="S39" s="53">
        <v>42.49</v>
      </c>
      <c r="T39" s="54">
        <v>43372</v>
      </c>
      <c r="V39" s="51">
        <v>34426</v>
      </c>
      <c r="W39" s="52">
        <v>34455</v>
      </c>
      <c r="X39" s="53">
        <v>17</v>
      </c>
      <c r="Y39" s="53">
        <v>11</v>
      </c>
      <c r="Z39" s="53">
        <v>1278</v>
      </c>
      <c r="AA39" s="53">
        <v>24.42</v>
      </c>
      <c r="AB39" s="65">
        <v>24.5</v>
      </c>
      <c r="AC39" s="54">
        <v>43372</v>
      </c>
    </row>
    <row r="40" spans="2:29" ht="13" thickBot="1" x14ac:dyDescent="0.3">
      <c r="B40" s="38">
        <v>25325</v>
      </c>
      <c r="C40" s="39">
        <v>25355</v>
      </c>
      <c r="D40" s="40">
        <v>42</v>
      </c>
      <c r="E40" s="40">
        <v>10</v>
      </c>
      <c r="F40" s="41">
        <v>1225</v>
      </c>
      <c r="G40" s="40">
        <v>49</v>
      </c>
      <c r="H40" s="40">
        <v>2</v>
      </c>
      <c r="I40" s="42">
        <v>49</v>
      </c>
      <c r="J40" s="40">
        <v>3</v>
      </c>
      <c r="K40" s="43">
        <v>43319</v>
      </c>
      <c r="M40" s="51">
        <v>27882</v>
      </c>
      <c r="N40" s="52">
        <v>27912</v>
      </c>
      <c r="O40" s="53">
        <v>35</v>
      </c>
      <c r="P40" s="53">
        <v>10</v>
      </c>
      <c r="Q40" s="53">
        <v>1225</v>
      </c>
      <c r="R40" s="53">
        <v>42.18</v>
      </c>
      <c r="S40" s="53">
        <v>42.27</v>
      </c>
      <c r="T40" s="54">
        <v>43319</v>
      </c>
      <c r="V40" s="51">
        <v>34456</v>
      </c>
      <c r="W40" s="52">
        <v>34486</v>
      </c>
      <c r="X40" s="53">
        <v>17</v>
      </c>
      <c r="Y40" s="53">
        <v>10</v>
      </c>
      <c r="Z40" s="53">
        <v>1225</v>
      </c>
      <c r="AA40" s="53">
        <v>24.19</v>
      </c>
      <c r="AB40" s="65">
        <v>24.27</v>
      </c>
      <c r="AC40" s="54">
        <v>43319</v>
      </c>
    </row>
    <row r="41" spans="2:29" ht="13" thickBot="1" x14ac:dyDescent="0.3">
      <c r="B41" s="38">
        <v>25356</v>
      </c>
      <c r="C41" s="39">
        <v>25385</v>
      </c>
      <c r="D41" s="40">
        <v>42</v>
      </c>
      <c r="E41" s="40">
        <v>9</v>
      </c>
      <c r="F41" s="41">
        <v>1171</v>
      </c>
      <c r="G41" s="40">
        <v>48</v>
      </c>
      <c r="H41" s="40">
        <v>11</v>
      </c>
      <c r="I41" s="42">
        <v>49</v>
      </c>
      <c r="J41" s="40">
        <v>0</v>
      </c>
      <c r="K41" s="43">
        <v>43265</v>
      </c>
      <c r="M41" s="51">
        <v>27913</v>
      </c>
      <c r="N41" s="52">
        <v>27942</v>
      </c>
      <c r="O41" s="53">
        <v>35</v>
      </c>
      <c r="P41" s="53">
        <v>9</v>
      </c>
      <c r="Q41" s="53">
        <v>1171</v>
      </c>
      <c r="R41" s="53">
        <v>41.95</v>
      </c>
      <c r="S41" s="53">
        <v>42.03</v>
      </c>
      <c r="T41" s="54">
        <v>43265</v>
      </c>
      <c r="V41" s="51">
        <v>34487</v>
      </c>
      <c r="W41" s="52">
        <v>34516</v>
      </c>
      <c r="X41" s="53">
        <v>17</v>
      </c>
      <c r="Y41" s="53">
        <v>9</v>
      </c>
      <c r="Z41" s="53">
        <v>1171</v>
      </c>
      <c r="AA41" s="53">
        <v>23.96</v>
      </c>
      <c r="AB41" s="65">
        <v>24.04</v>
      </c>
      <c r="AC41" s="54">
        <v>43265</v>
      </c>
    </row>
    <row r="42" spans="2:29" ht="13" thickBot="1" x14ac:dyDescent="0.3">
      <c r="B42" s="38">
        <v>25386</v>
      </c>
      <c r="C42" s="39">
        <v>25416</v>
      </c>
      <c r="D42" s="40">
        <v>42</v>
      </c>
      <c r="E42" s="40">
        <v>8</v>
      </c>
      <c r="F42" s="41">
        <v>1118</v>
      </c>
      <c r="G42" s="40">
        <v>48</v>
      </c>
      <c r="H42" s="40">
        <v>9</v>
      </c>
      <c r="I42" s="42">
        <v>48</v>
      </c>
      <c r="J42" s="40">
        <v>10</v>
      </c>
      <c r="K42" s="43">
        <v>43212</v>
      </c>
      <c r="M42" s="51">
        <v>27943</v>
      </c>
      <c r="N42" s="52">
        <v>27973</v>
      </c>
      <c r="O42" s="53">
        <v>35</v>
      </c>
      <c r="P42" s="53">
        <v>8</v>
      </c>
      <c r="Q42" s="53">
        <v>1118</v>
      </c>
      <c r="R42" s="53">
        <v>41.72</v>
      </c>
      <c r="S42" s="53">
        <v>41.81</v>
      </c>
      <c r="T42" s="54">
        <v>43212</v>
      </c>
      <c r="V42" s="51">
        <v>34517</v>
      </c>
      <c r="W42" s="52">
        <v>34547</v>
      </c>
      <c r="X42" s="53">
        <v>17</v>
      </c>
      <c r="Y42" s="53">
        <v>8</v>
      </c>
      <c r="Z42" s="53">
        <v>1118</v>
      </c>
      <c r="AA42" s="53">
        <v>23.73</v>
      </c>
      <c r="AB42" s="65">
        <v>23.81</v>
      </c>
      <c r="AC42" s="54">
        <v>43212</v>
      </c>
    </row>
    <row r="43" spans="2:29" ht="13" thickBot="1" x14ac:dyDescent="0.3">
      <c r="B43" s="38">
        <v>25417</v>
      </c>
      <c r="C43" s="39">
        <v>25447</v>
      </c>
      <c r="D43" s="40">
        <v>42</v>
      </c>
      <c r="E43" s="40">
        <v>7</v>
      </c>
      <c r="F43" s="41">
        <v>1064</v>
      </c>
      <c r="G43" s="40">
        <v>48</v>
      </c>
      <c r="H43" s="40">
        <v>6</v>
      </c>
      <c r="I43" s="42">
        <v>48</v>
      </c>
      <c r="J43" s="40">
        <v>7</v>
      </c>
      <c r="K43" s="43">
        <v>43158</v>
      </c>
      <c r="M43" s="51">
        <v>27974</v>
      </c>
      <c r="N43" s="52">
        <v>28004</v>
      </c>
      <c r="O43" s="53">
        <v>35</v>
      </c>
      <c r="P43" s="53">
        <v>7</v>
      </c>
      <c r="Q43" s="53">
        <v>1064</v>
      </c>
      <c r="R43" s="53">
        <v>41.49</v>
      </c>
      <c r="S43" s="53">
        <v>41.57</v>
      </c>
      <c r="T43" s="54">
        <v>43158</v>
      </c>
      <c r="V43" s="51">
        <v>34548</v>
      </c>
      <c r="W43" s="52">
        <v>34578</v>
      </c>
      <c r="X43" s="53">
        <v>17</v>
      </c>
      <c r="Y43" s="53">
        <v>7</v>
      </c>
      <c r="Z43" s="53">
        <v>1064</v>
      </c>
      <c r="AA43" s="53">
        <v>23.49</v>
      </c>
      <c r="AB43" s="65">
        <v>23.58</v>
      </c>
      <c r="AC43" s="54">
        <v>43158</v>
      </c>
    </row>
    <row r="44" spans="2:29" ht="13" thickBot="1" x14ac:dyDescent="0.3">
      <c r="B44" s="38">
        <v>25448</v>
      </c>
      <c r="C44" s="39">
        <v>25477</v>
      </c>
      <c r="D44" s="40">
        <v>42</v>
      </c>
      <c r="E44" s="40">
        <v>6</v>
      </c>
      <c r="F44" s="41">
        <v>1010</v>
      </c>
      <c r="G44" s="40">
        <v>48</v>
      </c>
      <c r="H44" s="40">
        <v>3</v>
      </c>
      <c r="I44" s="42">
        <v>48</v>
      </c>
      <c r="J44" s="40">
        <v>4</v>
      </c>
      <c r="K44" s="43">
        <v>43104</v>
      </c>
      <c r="M44" s="51">
        <v>28005</v>
      </c>
      <c r="N44" s="52">
        <v>28034</v>
      </c>
      <c r="O44" s="53">
        <v>35</v>
      </c>
      <c r="P44" s="53">
        <v>6</v>
      </c>
      <c r="Q44" s="53">
        <v>1010</v>
      </c>
      <c r="R44" s="53">
        <v>41.26</v>
      </c>
      <c r="S44" s="53">
        <v>41.34</v>
      </c>
      <c r="T44" s="54">
        <v>43104</v>
      </c>
      <c r="V44" s="51">
        <v>34579</v>
      </c>
      <c r="W44" s="52">
        <v>34608</v>
      </c>
      <c r="X44" s="53">
        <v>17</v>
      </c>
      <c r="Y44" s="53">
        <v>6</v>
      </c>
      <c r="Z44" s="53">
        <v>1010</v>
      </c>
      <c r="AA44" s="53">
        <v>23.26</v>
      </c>
      <c r="AB44" s="65">
        <v>23.34</v>
      </c>
      <c r="AC44" s="54">
        <v>43104</v>
      </c>
    </row>
    <row r="45" spans="2:29" ht="13" thickBot="1" x14ac:dyDescent="0.3">
      <c r="B45" s="38">
        <v>25478</v>
      </c>
      <c r="C45" s="39">
        <v>25508</v>
      </c>
      <c r="D45" s="40">
        <v>42</v>
      </c>
      <c r="E45" s="40">
        <v>5</v>
      </c>
      <c r="F45" s="41">
        <v>957</v>
      </c>
      <c r="G45" s="40">
        <v>48</v>
      </c>
      <c r="H45" s="40">
        <v>0</v>
      </c>
      <c r="I45" s="42">
        <v>48</v>
      </c>
      <c r="J45" s="40">
        <v>1</v>
      </c>
      <c r="K45" s="43">
        <v>43051</v>
      </c>
      <c r="M45" s="51">
        <v>28035</v>
      </c>
      <c r="N45" s="52">
        <v>28065</v>
      </c>
      <c r="O45" s="53">
        <v>35</v>
      </c>
      <c r="P45" s="53">
        <v>5</v>
      </c>
      <c r="Q45" s="53">
        <v>957</v>
      </c>
      <c r="R45" s="53">
        <v>41.03</v>
      </c>
      <c r="S45" s="53">
        <v>41.11</v>
      </c>
      <c r="T45" s="54">
        <v>43051</v>
      </c>
      <c r="V45" s="51">
        <v>34609</v>
      </c>
      <c r="W45" s="52">
        <v>34639</v>
      </c>
      <c r="X45" s="53">
        <v>17</v>
      </c>
      <c r="Y45" s="53">
        <v>5</v>
      </c>
      <c r="Z45" s="53">
        <v>957</v>
      </c>
      <c r="AA45" s="53">
        <v>23.03</v>
      </c>
      <c r="AB45" s="65">
        <v>23.12</v>
      </c>
      <c r="AC45" s="54">
        <v>43051</v>
      </c>
    </row>
    <row r="46" spans="2:29" ht="13" thickBot="1" x14ac:dyDescent="0.3">
      <c r="B46" s="38">
        <v>25509</v>
      </c>
      <c r="C46" s="39">
        <v>25538</v>
      </c>
      <c r="D46" s="40">
        <v>42</v>
      </c>
      <c r="E46" s="40">
        <v>4</v>
      </c>
      <c r="F46" s="41">
        <v>903</v>
      </c>
      <c r="G46" s="40">
        <v>47</v>
      </c>
      <c r="H46" s="40">
        <v>10</v>
      </c>
      <c r="I46" s="42">
        <v>47</v>
      </c>
      <c r="J46" s="40">
        <v>11</v>
      </c>
      <c r="K46" s="43">
        <v>42997</v>
      </c>
      <c r="M46" s="51">
        <v>28066</v>
      </c>
      <c r="N46" s="52">
        <v>28095</v>
      </c>
      <c r="O46" s="53">
        <v>35</v>
      </c>
      <c r="P46" s="53">
        <v>4</v>
      </c>
      <c r="Q46" s="53">
        <v>903</v>
      </c>
      <c r="R46" s="53">
        <v>40.799999999999997</v>
      </c>
      <c r="S46" s="53">
        <v>40.880000000000003</v>
      </c>
      <c r="T46" s="54">
        <v>42997</v>
      </c>
      <c r="V46" s="51">
        <v>34640</v>
      </c>
      <c r="W46" s="52">
        <v>34669</v>
      </c>
      <c r="X46" s="53">
        <v>17</v>
      </c>
      <c r="Y46" s="53">
        <v>4</v>
      </c>
      <c r="Z46" s="53">
        <v>903</v>
      </c>
      <c r="AA46" s="53">
        <v>22.8</v>
      </c>
      <c r="AB46" s="65">
        <v>22.88</v>
      </c>
      <c r="AC46" s="54">
        <v>42997</v>
      </c>
    </row>
    <row r="47" spans="2:29" ht="13" thickBot="1" x14ac:dyDescent="0.3">
      <c r="B47" s="38">
        <v>25539</v>
      </c>
      <c r="C47" s="39">
        <v>25569</v>
      </c>
      <c r="D47" s="40">
        <v>42</v>
      </c>
      <c r="E47" s="40">
        <v>3</v>
      </c>
      <c r="F47" s="41">
        <v>851</v>
      </c>
      <c r="G47" s="40">
        <v>47</v>
      </c>
      <c r="H47" s="40">
        <v>7</v>
      </c>
      <c r="I47" s="42">
        <v>47</v>
      </c>
      <c r="J47" s="40">
        <v>8</v>
      </c>
      <c r="K47" s="43">
        <v>42945</v>
      </c>
      <c r="M47" s="51">
        <v>28096</v>
      </c>
      <c r="N47" s="52">
        <v>28126</v>
      </c>
      <c r="O47" s="53">
        <v>35</v>
      </c>
      <c r="P47" s="53">
        <v>3</v>
      </c>
      <c r="Q47" s="53">
        <v>851</v>
      </c>
      <c r="R47" s="53">
        <v>40.57</v>
      </c>
      <c r="S47" s="53">
        <v>40.659999999999997</v>
      </c>
      <c r="T47" s="54">
        <v>42945</v>
      </c>
      <c r="V47" s="51">
        <v>34670</v>
      </c>
      <c r="W47" s="52">
        <v>34700</v>
      </c>
      <c r="X47" s="53">
        <v>17</v>
      </c>
      <c r="Y47" s="53">
        <v>3</v>
      </c>
      <c r="Z47" s="53">
        <v>851</v>
      </c>
      <c r="AA47" s="53">
        <v>22.58</v>
      </c>
      <c r="AB47" s="65">
        <v>22.66</v>
      </c>
      <c r="AC47" s="54">
        <v>42945</v>
      </c>
    </row>
    <row r="48" spans="2:29" ht="13" thickBot="1" x14ac:dyDescent="0.3">
      <c r="B48" s="38">
        <v>25570</v>
      </c>
      <c r="C48" s="39">
        <v>25600</v>
      </c>
      <c r="D48" s="40">
        <v>42</v>
      </c>
      <c r="E48" s="40">
        <v>2</v>
      </c>
      <c r="F48" s="41">
        <v>796</v>
      </c>
      <c r="G48" s="40">
        <v>47</v>
      </c>
      <c r="H48" s="40">
        <v>4</v>
      </c>
      <c r="I48" s="42">
        <v>47</v>
      </c>
      <c r="J48" s="40">
        <v>5</v>
      </c>
      <c r="K48" s="43">
        <v>42890</v>
      </c>
      <c r="M48" s="51">
        <v>28127</v>
      </c>
      <c r="N48" s="52">
        <v>28157</v>
      </c>
      <c r="O48" s="53">
        <v>35</v>
      </c>
      <c r="P48" s="53">
        <v>2</v>
      </c>
      <c r="Q48" s="53">
        <v>796</v>
      </c>
      <c r="R48" s="53">
        <v>40.340000000000003</v>
      </c>
      <c r="S48" s="53">
        <v>40.42</v>
      </c>
      <c r="T48" s="54">
        <v>42890</v>
      </c>
      <c r="V48" s="51">
        <v>34701</v>
      </c>
      <c r="W48" s="52">
        <v>34731</v>
      </c>
      <c r="X48" s="53">
        <v>17</v>
      </c>
      <c r="Y48" s="53">
        <v>2</v>
      </c>
      <c r="Z48" s="53">
        <v>796</v>
      </c>
      <c r="AA48" s="53">
        <v>22.34</v>
      </c>
      <c r="AB48" s="65">
        <v>22.42</v>
      </c>
      <c r="AC48" s="54">
        <v>42890</v>
      </c>
    </row>
    <row r="49" spans="2:29" ht="13" thickBot="1" x14ac:dyDescent="0.3">
      <c r="B49" s="38">
        <v>25601</v>
      </c>
      <c r="C49" s="39">
        <v>25628</v>
      </c>
      <c r="D49" s="40">
        <v>42</v>
      </c>
      <c r="E49" s="40">
        <v>1</v>
      </c>
      <c r="F49" s="41">
        <v>742</v>
      </c>
      <c r="G49" s="40">
        <v>47</v>
      </c>
      <c r="H49" s="40">
        <v>1</v>
      </c>
      <c r="I49" s="42">
        <v>47</v>
      </c>
      <c r="J49" s="40">
        <v>2</v>
      </c>
      <c r="K49" s="43">
        <v>42836</v>
      </c>
      <c r="M49" s="51">
        <v>28158</v>
      </c>
      <c r="N49" s="52">
        <v>28185</v>
      </c>
      <c r="O49" s="53">
        <v>35</v>
      </c>
      <c r="P49" s="53">
        <v>1</v>
      </c>
      <c r="Q49" s="53">
        <v>742</v>
      </c>
      <c r="R49" s="53">
        <v>40.11</v>
      </c>
      <c r="S49" s="53">
        <v>40.19</v>
      </c>
      <c r="T49" s="54">
        <v>42836</v>
      </c>
      <c r="V49" s="51">
        <v>34732</v>
      </c>
      <c r="W49" s="52">
        <v>34759</v>
      </c>
      <c r="X49" s="53">
        <v>17</v>
      </c>
      <c r="Y49" s="53">
        <v>1</v>
      </c>
      <c r="Z49" s="53">
        <v>742</v>
      </c>
      <c r="AA49" s="53">
        <v>22.12</v>
      </c>
      <c r="AB49" s="65">
        <v>22.19</v>
      </c>
      <c r="AC49" s="54">
        <v>42836</v>
      </c>
    </row>
    <row r="50" spans="2:29" ht="13" thickBot="1" x14ac:dyDescent="0.3">
      <c r="B50" s="38">
        <v>25629</v>
      </c>
      <c r="C50" s="39">
        <v>25659</v>
      </c>
      <c r="D50" s="40">
        <v>42</v>
      </c>
      <c r="E50" s="40">
        <v>0</v>
      </c>
      <c r="F50" s="41">
        <v>693</v>
      </c>
      <c r="G50" s="40">
        <v>46</v>
      </c>
      <c r="H50" s="40">
        <v>11</v>
      </c>
      <c r="I50" s="42">
        <v>47</v>
      </c>
      <c r="J50" s="40">
        <v>0</v>
      </c>
      <c r="K50" s="43">
        <v>42787</v>
      </c>
      <c r="M50" s="51">
        <v>28186</v>
      </c>
      <c r="N50" s="52">
        <v>28216</v>
      </c>
      <c r="O50" s="53">
        <v>35</v>
      </c>
      <c r="P50" s="53">
        <v>0</v>
      </c>
      <c r="Q50" s="53">
        <v>693</v>
      </c>
      <c r="R50" s="53">
        <v>39.9</v>
      </c>
      <c r="S50" s="53">
        <v>39.979999999999997</v>
      </c>
      <c r="T50" s="54">
        <v>42787</v>
      </c>
      <c r="V50" s="51">
        <v>34760</v>
      </c>
      <c r="W50" s="52">
        <v>34790</v>
      </c>
      <c r="X50" s="53">
        <v>17</v>
      </c>
      <c r="Y50" s="53">
        <v>0</v>
      </c>
      <c r="Z50" s="53">
        <v>693</v>
      </c>
      <c r="AA50" s="53">
        <v>21.9</v>
      </c>
      <c r="AB50" s="65">
        <v>21.98</v>
      </c>
      <c r="AC50" s="54">
        <v>42787</v>
      </c>
    </row>
    <row r="51" spans="2:29" ht="13" thickBot="1" x14ac:dyDescent="0.3">
      <c r="B51" s="38">
        <v>25660</v>
      </c>
      <c r="C51" s="39">
        <v>25689</v>
      </c>
      <c r="D51" s="40">
        <v>41</v>
      </c>
      <c r="E51" s="40">
        <v>11</v>
      </c>
      <c r="F51" s="41">
        <v>639</v>
      </c>
      <c r="G51" s="40">
        <v>46</v>
      </c>
      <c r="H51" s="40">
        <v>8</v>
      </c>
      <c r="I51" s="42">
        <v>46</v>
      </c>
      <c r="J51" s="40">
        <v>9</v>
      </c>
      <c r="K51" s="43">
        <v>42733</v>
      </c>
      <c r="M51" s="51">
        <v>28217</v>
      </c>
      <c r="N51" s="52">
        <v>28246</v>
      </c>
      <c r="O51" s="53">
        <v>34</v>
      </c>
      <c r="P51" s="53">
        <v>11</v>
      </c>
      <c r="Q51" s="53">
        <v>639</v>
      </c>
      <c r="R51" s="53">
        <v>39.67</v>
      </c>
      <c r="S51" s="53">
        <v>39.75</v>
      </c>
      <c r="T51" s="54">
        <v>42733</v>
      </c>
      <c r="V51" s="51">
        <v>34791</v>
      </c>
      <c r="W51" s="52">
        <v>34820</v>
      </c>
      <c r="X51" s="53">
        <v>16</v>
      </c>
      <c r="Y51" s="53">
        <v>11</v>
      </c>
      <c r="Z51" s="53">
        <v>639</v>
      </c>
      <c r="AA51" s="53">
        <v>21.67</v>
      </c>
      <c r="AB51" s="65">
        <v>21.75</v>
      </c>
      <c r="AC51" s="54">
        <v>42733</v>
      </c>
    </row>
    <row r="52" spans="2:29" ht="13" thickBot="1" x14ac:dyDescent="0.3">
      <c r="B52" s="38">
        <v>25690</v>
      </c>
      <c r="C52" s="39">
        <v>25720</v>
      </c>
      <c r="D52" s="40">
        <v>41</v>
      </c>
      <c r="E52" s="40">
        <v>10</v>
      </c>
      <c r="F52" s="41">
        <v>586</v>
      </c>
      <c r="G52" s="40">
        <v>46</v>
      </c>
      <c r="H52" s="40">
        <v>5</v>
      </c>
      <c r="I52" s="42">
        <v>46</v>
      </c>
      <c r="J52" s="40">
        <v>6</v>
      </c>
      <c r="K52" s="43">
        <v>42680</v>
      </c>
      <c r="M52" s="51">
        <v>28247</v>
      </c>
      <c r="N52" s="52">
        <v>28277</v>
      </c>
      <c r="O52" s="53">
        <v>34</v>
      </c>
      <c r="P52" s="53">
        <v>10</v>
      </c>
      <c r="Q52" s="53">
        <v>586</v>
      </c>
      <c r="R52" s="53">
        <v>39.44</v>
      </c>
      <c r="S52" s="53">
        <v>39.520000000000003</v>
      </c>
      <c r="T52" s="54">
        <v>42680</v>
      </c>
      <c r="V52" s="51">
        <v>34821</v>
      </c>
      <c r="W52" s="52">
        <v>34851</v>
      </c>
      <c r="X52" s="53">
        <v>16</v>
      </c>
      <c r="Y52" s="53">
        <v>10</v>
      </c>
      <c r="Z52" s="53">
        <v>586</v>
      </c>
      <c r="AA52" s="53">
        <v>21.44</v>
      </c>
      <c r="AB52" s="65">
        <v>21.52</v>
      </c>
      <c r="AC52" s="54">
        <v>42680</v>
      </c>
    </row>
    <row r="53" spans="2:29" ht="13" thickBot="1" x14ac:dyDescent="0.3">
      <c r="B53" s="38">
        <v>25721</v>
      </c>
      <c r="C53" s="39">
        <v>25750</v>
      </c>
      <c r="D53" s="40">
        <v>41</v>
      </c>
      <c r="E53" s="40">
        <v>9</v>
      </c>
      <c r="F53" s="41">
        <v>532</v>
      </c>
      <c r="G53" s="40">
        <v>46</v>
      </c>
      <c r="H53" s="40">
        <v>2</v>
      </c>
      <c r="I53" s="42">
        <v>46</v>
      </c>
      <c r="J53" s="40">
        <v>3</v>
      </c>
      <c r="K53" s="43">
        <v>42626</v>
      </c>
      <c r="M53" s="51">
        <v>28278</v>
      </c>
      <c r="N53" s="52">
        <v>28307</v>
      </c>
      <c r="O53" s="53">
        <v>34</v>
      </c>
      <c r="P53" s="53">
        <v>9</v>
      </c>
      <c r="Q53" s="53">
        <v>532</v>
      </c>
      <c r="R53" s="53">
        <v>39.21</v>
      </c>
      <c r="S53" s="53">
        <v>39.29</v>
      </c>
      <c r="T53" s="54">
        <v>42626</v>
      </c>
      <c r="V53" s="51">
        <v>34852</v>
      </c>
      <c r="W53" s="52">
        <v>34881</v>
      </c>
      <c r="X53" s="53">
        <v>16</v>
      </c>
      <c r="Y53" s="53">
        <v>9</v>
      </c>
      <c r="Z53" s="53">
        <v>532</v>
      </c>
      <c r="AA53" s="53">
        <v>21.21</v>
      </c>
      <c r="AB53" s="65">
        <v>21.29</v>
      </c>
      <c r="AC53" s="54">
        <v>42626</v>
      </c>
    </row>
    <row r="54" spans="2:29" ht="13" thickBot="1" x14ac:dyDescent="0.3">
      <c r="B54" s="38">
        <v>25751</v>
      </c>
      <c r="C54" s="39">
        <v>25781</v>
      </c>
      <c r="D54" s="40">
        <v>41</v>
      </c>
      <c r="E54" s="40">
        <v>8</v>
      </c>
      <c r="F54" s="41">
        <v>480</v>
      </c>
      <c r="G54" s="40">
        <v>46</v>
      </c>
      <c r="H54" s="40">
        <v>0</v>
      </c>
      <c r="I54" s="42">
        <v>46</v>
      </c>
      <c r="J54" s="40">
        <v>1</v>
      </c>
      <c r="K54" s="43">
        <v>42574</v>
      </c>
      <c r="M54" s="61">
        <v>28308</v>
      </c>
      <c r="N54" s="62">
        <v>28338</v>
      </c>
      <c r="O54" s="63">
        <v>34</v>
      </c>
      <c r="P54" s="63">
        <v>8</v>
      </c>
      <c r="Q54" s="63">
        <v>480</v>
      </c>
      <c r="R54" s="63">
        <v>38.979999999999997</v>
      </c>
      <c r="S54" s="63">
        <v>39.06</v>
      </c>
      <c r="T54" s="64">
        <v>42574</v>
      </c>
      <c r="V54" s="51">
        <v>34882</v>
      </c>
      <c r="W54" s="52">
        <v>34912</v>
      </c>
      <c r="X54" s="53">
        <v>16</v>
      </c>
      <c r="Y54" s="53">
        <v>8</v>
      </c>
      <c r="Z54" s="53">
        <v>480</v>
      </c>
      <c r="AA54" s="53">
        <v>20.98</v>
      </c>
      <c r="AB54" s="65">
        <v>21.06</v>
      </c>
      <c r="AC54" s="54">
        <v>42574</v>
      </c>
    </row>
    <row r="55" spans="2:29" ht="13" thickBot="1" x14ac:dyDescent="0.3">
      <c r="B55" s="38">
        <v>25782</v>
      </c>
      <c r="C55" s="39">
        <v>25812</v>
      </c>
      <c r="D55" s="40">
        <v>41</v>
      </c>
      <c r="E55" s="40">
        <v>7</v>
      </c>
      <c r="F55" s="41">
        <v>425</v>
      </c>
      <c r="G55" s="40">
        <v>45</v>
      </c>
      <c r="H55" s="40">
        <v>9</v>
      </c>
      <c r="I55" s="42">
        <v>45</v>
      </c>
      <c r="J55" s="40">
        <v>10</v>
      </c>
      <c r="K55" s="43">
        <v>42519</v>
      </c>
      <c r="M55" s="51">
        <v>28339</v>
      </c>
      <c r="N55" s="52">
        <v>28369</v>
      </c>
      <c r="O55" s="53">
        <v>34</v>
      </c>
      <c r="P55" s="53">
        <v>7</v>
      </c>
      <c r="Q55" s="53">
        <v>425</v>
      </c>
      <c r="R55" s="53">
        <v>38.74</v>
      </c>
      <c r="S55" s="53">
        <v>38.83</v>
      </c>
      <c r="T55" s="54">
        <v>42519</v>
      </c>
      <c r="V55" s="51">
        <v>34913</v>
      </c>
      <c r="W55" s="52">
        <v>34943</v>
      </c>
      <c r="X55" s="53">
        <v>16</v>
      </c>
      <c r="Y55" s="53">
        <v>7</v>
      </c>
      <c r="Z55" s="53">
        <v>425</v>
      </c>
      <c r="AA55" s="53">
        <v>20.74</v>
      </c>
      <c r="AB55" s="65">
        <v>20.83</v>
      </c>
      <c r="AC55" s="54">
        <v>42519</v>
      </c>
    </row>
    <row r="56" spans="2:29" ht="13" thickBot="1" x14ac:dyDescent="0.3">
      <c r="B56" s="55">
        <v>25813</v>
      </c>
      <c r="C56" s="56">
        <v>25842</v>
      </c>
      <c r="D56" s="57">
        <v>41</v>
      </c>
      <c r="E56" s="57">
        <v>6</v>
      </c>
      <c r="F56" s="58">
        <v>371</v>
      </c>
      <c r="G56" s="57">
        <v>45</v>
      </c>
      <c r="H56" s="57">
        <v>6</v>
      </c>
      <c r="I56" s="59">
        <v>45</v>
      </c>
      <c r="J56" s="57">
        <v>7</v>
      </c>
      <c r="K56" s="60">
        <v>42465</v>
      </c>
      <c r="M56" s="51">
        <v>28370</v>
      </c>
      <c r="N56" s="52">
        <v>28399</v>
      </c>
      <c r="O56" s="53">
        <v>34</v>
      </c>
      <c r="P56" s="53">
        <v>6</v>
      </c>
      <c r="Q56" s="53">
        <v>371</v>
      </c>
      <c r="R56" s="53">
        <v>38.51</v>
      </c>
      <c r="S56" s="53">
        <v>38.590000000000003</v>
      </c>
      <c r="T56" s="54">
        <v>42465</v>
      </c>
      <c r="V56" s="51">
        <v>34944</v>
      </c>
      <c r="W56" s="52">
        <v>34973</v>
      </c>
      <c r="X56" s="53">
        <v>16</v>
      </c>
      <c r="Y56" s="53">
        <v>6</v>
      </c>
      <c r="Z56" s="53">
        <v>371</v>
      </c>
      <c r="AA56" s="53">
        <v>20.51</v>
      </c>
      <c r="AB56" s="65">
        <v>20.59</v>
      </c>
      <c r="AC56" s="54">
        <v>42465</v>
      </c>
    </row>
    <row r="57" spans="2:29" ht="13" thickBot="1" x14ac:dyDescent="0.3">
      <c r="B57" s="38">
        <v>25843</v>
      </c>
      <c r="C57" s="39">
        <v>25873</v>
      </c>
      <c r="D57" s="40">
        <v>41</v>
      </c>
      <c r="E57" s="40">
        <v>5</v>
      </c>
      <c r="F57" s="41">
        <v>319</v>
      </c>
      <c r="G57" s="40">
        <v>45</v>
      </c>
      <c r="H57" s="40">
        <v>3</v>
      </c>
      <c r="I57" s="42">
        <v>45</v>
      </c>
      <c r="J57" s="40">
        <v>4</v>
      </c>
      <c r="K57" s="43">
        <v>42413</v>
      </c>
      <c r="M57" s="51">
        <v>28400</v>
      </c>
      <c r="N57" s="52">
        <v>28430</v>
      </c>
      <c r="O57" s="53">
        <v>34</v>
      </c>
      <c r="P57" s="53">
        <v>5</v>
      </c>
      <c r="Q57" s="53">
        <v>319</v>
      </c>
      <c r="R57" s="53">
        <v>38.29</v>
      </c>
      <c r="S57" s="53">
        <v>38.369999999999997</v>
      </c>
      <c r="T57" s="54">
        <v>42413</v>
      </c>
      <c r="V57" s="51">
        <v>34974</v>
      </c>
      <c r="W57" s="52">
        <v>35004</v>
      </c>
      <c r="X57" s="53">
        <v>16</v>
      </c>
      <c r="Y57" s="53">
        <v>5</v>
      </c>
      <c r="Z57" s="53">
        <v>319</v>
      </c>
      <c r="AA57" s="53">
        <v>20.29</v>
      </c>
      <c r="AB57" s="65">
        <v>20.37</v>
      </c>
      <c r="AC57" s="54">
        <v>42413</v>
      </c>
    </row>
    <row r="58" spans="2:29" ht="13" thickBot="1" x14ac:dyDescent="0.3">
      <c r="B58" s="38">
        <v>25874</v>
      </c>
      <c r="C58" s="39">
        <v>25903</v>
      </c>
      <c r="D58" s="40">
        <v>41</v>
      </c>
      <c r="E58" s="40">
        <v>4</v>
      </c>
      <c r="F58" s="41">
        <v>264</v>
      </c>
      <c r="G58" s="40">
        <v>45</v>
      </c>
      <c r="H58" s="40">
        <v>1</v>
      </c>
      <c r="I58" s="42">
        <v>45</v>
      </c>
      <c r="J58" s="40">
        <v>2</v>
      </c>
      <c r="K58" s="43">
        <v>42358</v>
      </c>
      <c r="M58" s="51">
        <v>28431</v>
      </c>
      <c r="N58" s="52">
        <v>28460</v>
      </c>
      <c r="O58" s="53">
        <v>34</v>
      </c>
      <c r="P58" s="53">
        <v>4</v>
      </c>
      <c r="Q58" s="53">
        <v>264</v>
      </c>
      <c r="R58" s="53">
        <v>38.049999999999997</v>
      </c>
      <c r="S58" s="53">
        <v>38.130000000000003</v>
      </c>
      <c r="T58" s="54">
        <v>42358</v>
      </c>
      <c r="V58" s="51">
        <v>35005</v>
      </c>
      <c r="W58" s="52">
        <v>35034</v>
      </c>
      <c r="X58" s="53">
        <v>16</v>
      </c>
      <c r="Y58" s="53">
        <v>4</v>
      </c>
      <c r="Z58" s="53">
        <v>264</v>
      </c>
      <c r="AA58" s="53">
        <v>20.05</v>
      </c>
      <c r="AB58" s="65">
        <v>20.13</v>
      </c>
      <c r="AC58" s="54">
        <v>42358</v>
      </c>
    </row>
    <row r="59" spans="2:29" ht="13" thickBot="1" x14ac:dyDescent="0.3">
      <c r="B59" s="38">
        <v>25904</v>
      </c>
      <c r="C59" s="39">
        <v>25934</v>
      </c>
      <c r="D59" s="40">
        <v>41</v>
      </c>
      <c r="E59" s="40">
        <v>3</v>
      </c>
      <c r="F59" s="41">
        <v>212</v>
      </c>
      <c r="G59" s="40">
        <v>44</v>
      </c>
      <c r="H59" s="40">
        <v>10</v>
      </c>
      <c r="I59" s="42">
        <v>44</v>
      </c>
      <c r="J59" s="40">
        <v>11</v>
      </c>
      <c r="K59" s="43">
        <v>42306</v>
      </c>
      <c r="M59" s="51">
        <v>28461</v>
      </c>
      <c r="N59" s="52">
        <v>28491</v>
      </c>
      <c r="O59" s="53">
        <v>34</v>
      </c>
      <c r="P59" s="53">
        <v>3</v>
      </c>
      <c r="Q59" s="53">
        <v>212</v>
      </c>
      <c r="R59" s="53">
        <v>37.83</v>
      </c>
      <c r="S59" s="53">
        <v>37.909999999999997</v>
      </c>
      <c r="T59" s="54">
        <v>42306</v>
      </c>
      <c r="V59" s="51">
        <v>35035</v>
      </c>
      <c r="W59" s="52">
        <v>35065</v>
      </c>
      <c r="X59" s="53">
        <v>16</v>
      </c>
      <c r="Y59" s="53">
        <v>3</v>
      </c>
      <c r="Z59" s="53">
        <v>212</v>
      </c>
      <c r="AA59" s="53">
        <v>19.829999999999998</v>
      </c>
      <c r="AB59" s="65">
        <v>19.91</v>
      </c>
      <c r="AC59" s="54">
        <v>42306</v>
      </c>
    </row>
    <row r="60" spans="2:29" ht="13" thickBot="1" x14ac:dyDescent="0.3">
      <c r="B60" s="38">
        <v>25935</v>
      </c>
      <c r="C60" s="39">
        <v>25965</v>
      </c>
      <c r="D60" s="40">
        <v>41</v>
      </c>
      <c r="E60" s="40">
        <v>2</v>
      </c>
      <c r="F60" s="41">
        <v>158</v>
      </c>
      <c r="G60" s="40">
        <v>44</v>
      </c>
      <c r="H60" s="40">
        <v>7</v>
      </c>
      <c r="I60" s="42">
        <v>44</v>
      </c>
      <c r="J60" s="40">
        <v>8</v>
      </c>
      <c r="K60" s="43">
        <v>42252</v>
      </c>
      <c r="M60" s="51">
        <v>28492</v>
      </c>
      <c r="N60" s="52">
        <v>28522</v>
      </c>
      <c r="O60" s="53">
        <v>34</v>
      </c>
      <c r="P60" s="53">
        <v>2</v>
      </c>
      <c r="Q60" s="53">
        <v>158</v>
      </c>
      <c r="R60" s="53">
        <v>37.590000000000003</v>
      </c>
      <c r="S60" s="53">
        <v>37.68</v>
      </c>
      <c r="T60" s="54">
        <v>42252</v>
      </c>
      <c r="V60" s="51">
        <v>35066</v>
      </c>
      <c r="W60" s="52">
        <v>35096</v>
      </c>
      <c r="X60" s="53">
        <v>16</v>
      </c>
      <c r="Y60" s="53">
        <v>2</v>
      </c>
      <c r="Z60" s="53">
        <v>158</v>
      </c>
      <c r="AA60" s="53">
        <v>19.59</v>
      </c>
      <c r="AB60" s="65">
        <v>19.68</v>
      </c>
      <c r="AC60" s="54">
        <v>42252</v>
      </c>
    </row>
    <row r="61" spans="2:29" ht="13" thickBot="1" x14ac:dyDescent="0.3">
      <c r="B61" s="38">
        <v>25966</v>
      </c>
      <c r="C61" s="39">
        <v>25993</v>
      </c>
      <c r="D61" s="40">
        <v>41</v>
      </c>
      <c r="E61" s="40">
        <v>1</v>
      </c>
      <c r="F61" s="41">
        <v>103</v>
      </c>
      <c r="G61" s="40">
        <v>44</v>
      </c>
      <c r="H61" s="40">
        <v>4</v>
      </c>
      <c r="I61" s="42">
        <v>44</v>
      </c>
      <c r="J61" s="40">
        <v>5</v>
      </c>
      <c r="K61" s="43">
        <v>42197</v>
      </c>
      <c r="M61" s="51">
        <v>28523</v>
      </c>
      <c r="N61" s="52">
        <v>28550</v>
      </c>
      <c r="O61" s="53">
        <v>34</v>
      </c>
      <c r="P61" s="53">
        <v>1</v>
      </c>
      <c r="Q61" s="53">
        <v>103</v>
      </c>
      <c r="R61" s="53">
        <v>37.369999999999997</v>
      </c>
      <c r="S61" s="53">
        <v>37.44</v>
      </c>
      <c r="T61" s="54">
        <v>42197</v>
      </c>
      <c r="V61" s="51">
        <v>35097</v>
      </c>
      <c r="W61" s="52">
        <v>35125</v>
      </c>
      <c r="X61" s="53">
        <v>16</v>
      </c>
      <c r="Y61" s="53">
        <v>1</v>
      </c>
      <c r="Z61" s="53">
        <v>103</v>
      </c>
      <c r="AA61" s="53">
        <v>19.36</v>
      </c>
      <c r="AB61" s="65">
        <v>19.440000000000001</v>
      </c>
      <c r="AC61" s="54">
        <v>42197</v>
      </c>
    </row>
    <row r="62" spans="2:29" ht="13" thickBot="1" x14ac:dyDescent="0.3">
      <c r="B62" s="38">
        <v>25994</v>
      </c>
      <c r="C62" s="39">
        <v>26024</v>
      </c>
      <c r="D62" s="40">
        <v>41</v>
      </c>
      <c r="E62" s="40">
        <v>0</v>
      </c>
      <c r="F62" s="41">
        <v>54</v>
      </c>
      <c r="G62" s="40">
        <v>44</v>
      </c>
      <c r="H62" s="40">
        <v>2</v>
      </c>
      <c r="I62" s="42">
        <v>44</v>
      </c>
      <c r="J62" s="40">
        <v>3</v>
      </c>
      <c r="K62" s="43">
        <v>42148</v>
      </c>
      <c r="M62" s="51">
        <v>28551</v>
      </c>
      <c r="N62" s="52">
        <v>28581</v>
      </c>
      <c r="O62" s="53">
        <v>34</v>
      </c>
      <c r="P62" s="53">
        <v>0</v>
      </c>
      <c r="Q62" s="53">
        <v>54</v>
      </c>
      <c r="R62" s="53">
        <v>37.15</v>
      </c>
      <c r="S62" s="53">
        <v>37.229999999999997</v>
      </c>
      <c r="T62" s="54">
        <v>42148</v>
      </c>
      <c r="V62" s="51">
        <v>35126</v>
      </c>
      <c r="W62" s="52">
        <v>35156</v>
      </c>
      <c r="X62" s="53">
        <v>16</v>
      </c>
      <c r="Y62" s="53">
        <v>0</v>
      </c>
      <c r="Z62" s="53">
        <v>54</v>
      </c>
      <c r="AA62" s="53">
        <v>19.149999999999999</v>
      </c>
      <c r="AB62" s="65">
        <v>19.23</v>
      </c>
      <c r="AC62" s="54">
        <v>42148</v>
      </c>
    </row>
    <row r="65" spans="2:50" ht="15" thickBot="1" x14ac:dyDescent="0.35">
      <c r="B65" s="44" t="s">
        <v>178</v>
      </c>
    </row>
    <row r="66" spans="2:50" ht="25.5" customHeight="1" thickBot="1" x14ac:dyDescent="0.3">
      <c r="B66" s="66" t="s">
        <v>81</v>
      </c>
      <c r="C66" s="67" t="s">
        <v>82</v>
      </c>
      <c r="D66" s="68" t="s">
        <v>83</v>
      </c>
      <c r="E66" s="68" t="s">
        <v>84</v>
      </c>
      <c r="F66" s="68" t="s">
        <v>85</v>
      </c>
      <c r="G66" s="68" t="s">
        <v>86</v>
      </c>
      <c r="H66" s="69" t="s">
        <v>87</v>
      </c>
      <c r="I66" s="67" t="s">
        <v>88</v>
      </c>
      <c r="J66" s="68" t="s">
        <v>89</v>
      </c>
      <c r="K66" s="68" t="s">
        <v>90</v>
      </c>
      <c r="L66" s="68" t="s">
        <v>91</v>
      </c>
      <c r="M66" s="68" t="s">
        <v>92</v>
      </c>
      <c r="N66" s="68" t="s">
        <v>93</v>
      </c>
      <c r="O66" s="68" t="s">
        <v>94</v>
      </c>
      <c r="P66" s="68" t="s">
        <v>95</v>
      </c>
      <c r="Q66" s="68" t="s">
        <v>96</v>
      </c>
      <c r="R66" s="68" t="s">
        <v>97</v>
      </c>
      <c r="S66" s="68" t="s">
        <v>98</v>
      </c>
      <c r="T66" s="68" t="s">
        <v>99</v>
      </c>
      <c r="U66" s="68" t="s">
        <v>100</v>
      </c>
      <c r="V66" s="68" t="s">
        <v>101</v>
      </c>
      <c r="W66" s="68" t="s">
        <v>102</v>
      </c>
      <c r="X66" s="68" t="s">
        <v>103</v>
      </c>
      <c r="Y66" s="68" t="s">
        <v>104</v>
      </c>
      <c r="Z66" s="68" t="s">
        <v>105</v>
      </c>
      <c r="AA66" s="68" t="s">
        <v>106</v>
      </c>
      <c r="AB66" s="68" t="s">
        <v>107</v>
      </c>
      <c r="AC66" s="68" t="s">
        <v>108</v>
      </c>
      <c r="AD66" s="68" t="s">
        <v>109</v>
      </c>
      <c r="AE66" s="68" t="s">
        <v>110</v>
      </c>
      <c r="AF66" s="68" t="s">
        <v>111</v>
      </c>
      <c r="AG66" s="68" t="s">
        <v>112</v>
      </c>
      <c r="AH66" s="68" t="s">
        <v>113</v>
      </c>
      <c r="AI66" s="68" t="s">
        <v>114</v>
      </c>
      <c r="AJ66" s="68" t="s">
        <v>115</v>
      </c>
      <c r="AK66" s="68" t="s">
        <v>116</v>
      </c>
      <c r="AL66" s="68" t="s">
        <v>117</v>
      </c>
      <c r="AM66" s="68" t="s">
        <v>118</v>
      </c>
      <c r="AN66" s="68" t="s">
        <v>119</v>
      </c>
      <c r="AO66" s="68" t="s">
        <v>120</v>
      </c>
      <c r="AP66" s="68" t="s">
        <v>121</v>
      </c>
      <c r="AQ66" s="68" t="s">
        <v>122</v>
      </c>
      <c r="AR66" s="68" t="s">
        <v>123</v>
      </c>
      <c r="AS66" s="68" t="s">
        <v>124</v>
      </c>
      <c r="AT66" s="68" t="s">
        <v>125</v>
      </c>
      <c r="AU66" s="68" t="s">
        <v>126</v>
      </c>
      <c r="AV66" s="68" t="s">
        <v>127</v>
      </c>
      <c r="AW66" s="68" t="s">
        <v>128</v>
      </c>
      <c r="AX66" s="68" t="s">
        <v>129</v>
      </c>
    </row>
    <row r="67" spans="2:50" ht="13" thickBot="1" x14ac:dyDescent="0.3">
      <c r="B67" s="70" t="s">
        <v>130</v>
      </c>
      <c r="C67" s="71">
        <v>2504</v>
      </c>
      <c r="D67" s="72">
        <v>2450</v>
      </c>
      <c r="E67" s="72">
        <v>2398</v>
      </c>
      <c r="F67" s="72">
        <v>2343</v>
      </c>
      <c r="G67" s="72">
        <v>2289</v>
      </c>
      <c r="H67" s="72">
        <v>2237</v>
      </c>
      <c r="I67" s="72">
        <v>2182</v>
      </c>
      <c r="J67" s="72">
        <v>2130</v>
      </c>
      <c r="K67" s="72">
        <v>2076</v>
      </c>
      <c r="L67" s="72">
        <v>2021</v>
      </c>
      <c r="M67" s="72">
        <v>1971</v>
      </c>
      <c r="N67" s="72">
        <v>1916</v>
      </c>
      <c r="O67" s="72">
        <v>1864</v>
      </c>
      <c r="P67" s="72">
        <v>1810</v>
      </c>
      <c r="Q67" s="72">
        <v>1757</v>
      </c>
      <c r="R67" s="72">
        <v>1703</v>
      </c>
      <c r="S67" s="72">
        <v>1649</v>
      </c>
      <c r="T67" s="72">
        <v>1596</v>
      </c>
      <c r="U67" s="72">
        <v>1542</v>
      </c>
      <c r="V67" s="72">
        <v>1489</v>
      </c>
      <c r="W67" s="72">
        <v>1435</v>
      </c>
      <c r="X67" s="72">
        <v>1381</v>
      </c>
      <c r="Y67" s="72">
        <v>1332</v>
      </c>
      <c r="Z67" s="72">
        <v>1278</v>
      </c>
      <c r="AA67" s="72">
        <v>1225</v>
      </c>
      <c r="AB67" s="72">
        <v>1171</v>
      </c>
      <c r="AC67" s="72">
        <v>1118</v>
      </c>
      <c r="AD67" s="72">
        <v>1064</v>
      </c>
      <c r="AE67" s="72">
        <v>1010</v>
      </c>
      <c r="AF67" s="72">
        <v>957</v>
      </c>
      <c r="AG67" s="72">
        <v>903</v>
      </c>
      <c r="AH67" s="72">
        <v>851</v>
      </c>
      <c r="AI67" s="72">
        <v>796</v>
      </c>
      <c r="AJ67" s="72">
        <v>742</v>
      </c>
      <c r="AK67" s="72">
        <v>693</v>
      </c>
      <c r="AL67" s="72">
        <v>639</v>
      </c>
      <c r="AM67" s="72">
        <v>586</v>
      </c>
      <c r="AN67" s="72">
        <v>532</v>
      </c>
      <c r="AO67" s="72">
        <v>480</v>
      </c>
      <c r="AP67" s="72">
        <v>425</v>
      </c>
      <c r="AQ67" s="72">
        <v>371</v>
      </c>
      <c r="AR67" s="72">
        <v>319</v>
      </c>
      <c r="AS67" s="72">
        <v>264</v>
      </c>
      <c r="AT67" s="72">
        <v>212</v>
      </c>
      <c r="AU67" s="72">
        <v>158</v>
      </c>
      <c r="AV67" s="72">
        <v>103</v>
      </c>
      <c r="AW67" s="72">
        <v>54</v>
      </c>
      <c r="AX67" s="113"/>
    </row>
    <row r="68" spans="2:50" ht="13" thickBot="1" x14ac:dyDescent="0.3">
      <c r="B68" s="73" t="s">
        <v>131</v>
      </c>
      <c r="C68" s="71">
        <v>2450</v>
      </c>
      <c r="D68" s="72">
        <v>2398</v>
      </c>
      <c r="E68" s="72">
        <v>2343</v>
      </c>
      <c r="F68" s="72">
        <v>2289</v>
      </c>
      <c r="G68" s="72">
        <v>2237</v>
      </c>
      <c r="H68" s="72">
        <v>2182</v>
      </c>
      <c r="I68" s="72">
        <v>2130</v>
      </c>
      <c r="J68" s="72">
        <v>2076</v>
      </c>
      <c r="K68" s="72">
        <v>2021</v>
      </c>
      <c r="L68" s="72">
        <v>1971</v>
      </c>
      <c r="M68" s="72">
        <v>1916</v>
      </c>
      <c r="N68" s="72">
        <v>1864</v>
      </c>
      <c r="O68" s="72">
        <v>1810</v>
      </c>
      <c r="P68" s="72">
        <v>1757</v>
      </c>
      <c r="Q68" s="72">
        <v>1703</v>
      </c>
      <c r="R68" s="72">
        <v>1649</v>
      </c>
      <c r="S68" s="72">
        <v>1596</v>
      </c>
      <c r="T68" s="72">
        <v>1542</v>
      </c>
      <c r="U68" s="72">
        <v>1489</v>
      </c>
      <c r="V68" s="72">
        <v>1435</v>
      </c>
      <c r="W68" s="72">
        <v>1381</v>
      </c>
      <c r="X68" s="72">
        <v>1332</v>
      </c>
      <c r="Y68" s="72">
        <v>1278</v>
      </c>
      <c r="Z68" s="72">
        <v>1225</v>
      </c>
      <c r="AA68" s="72">
        <v>1171</v>
      </c>
      <c r="AB68" s="72">
        <v>1118</v>
      </c>
      <c r="AC68" s="72">
        <v>1064</v>
      </c>
      <c r="AD68" s="72">
        <v>1010</v>
      </c>
      <c r="AE68" s="72">
        <v>957</v>
      </c>
      <c r="AF68" s="72">
        <v>903</v>
      </c>
      <c r="AG68" s="72">
        <v>851</v>
      </c>
      <c r="AH68" s="72">
        <v>796</v>
      </c>
      <c r="AI68" s="72">
        <v>742</v>
      </c>
      <c r="AJ68" s="72">
        <v>693</v>
      </c>
      <c r="AK68" s="72">
        <v>639</v>
      </c>
      <c r="AL68" s="72">
        <v>586</v>
      </c>
      <c r="AM68" s="72">
        <v>532</v>
      </c>
      <c r="AN68" s="72">
        <v>480</v>
      </c>
      <c r="AO68" s="72">
        <v>425</v>
      </c>
      <c r="AP68" s="72">
        <v>371</v>
      </c>
      <c r="AQ68" s="72">
        <v>319</v>
      </c>
      <c r="AR68" s="72">
        <v>264</v>
      </c>
      <c r="AS68" s="72">
        <v>212</v>
      </c>
      <c r="AT68" s="72">
        <v>158</v>
      </c>
      <c r="AU68" s="72">
        <v>103</v>
      </c>
      <c r="AV68" s="72">
        <v>54</v>
      </c>
      <c r="AW68" s="113"/>
      <c r="AX68" s="114"/>
    </row>
    <row r="69" spans="2:50" ht="13" thickBot="1" x14ac:dyDescent="0.3">
      <c r="B69" s="73" t="s">
        <v>132</v>
      </c>
      <c r="C69" s="71">
        <v>2398</v>
      </c>
      <c r="D69" s="72">
        <v>2343</v>
      </c>
      <c r="E69" s="72">
        <v>2289</v>
      </c>
      <c r="F69" s="72">
        <v>2237</v>
      </c>
      <c r="G69" s="72">
        <v>2182</v>
      </c>
      <c r="H69" s="72">
        <v>2130</v>
      </c>
      <c r="I69" s="72">
        <v>2076</v>
      </c>
      <c r="J69" s="72">
        <v>2021</v>
      </c>
      <c r="K69" s="72">
        <v>1971</v>
      </c>
      <c r="L69" s="72">
        <v>1916</v>
      </c>
      <c r="M69" s="72">
        <v>1864</v>
      </c>
      <c r="N69" s="72">
        <v>1810</v>
      </c>
      <c r="O69" s="72">
        <v>1757</v>
      </c>
      <c r="P69" s="72">
        <v>1703</v>
      </c>
      <c r="Q69" s="72">
        <v>1649</v>
      </c>
      <c r="R69" s="72">
        <v>1596</v>
      </c>
      <c r="S69" s="72">
        <v>1542</v>
      </c>
      <c r="T69" s="72">
        <v>1489</v>
      </c>
      <c r="U69" s="72">
        <v>1435</v>
      </c>
      <c r="V69" s="72">
        <v>1381</v>
      </c>
      <c r="W69" s="72">
        <v>1332</v>
      </c>
      <c r="X69" s="72">
        <v>1278</v>
      </c>
      <c r="Y69" s="72">
        <v>1225</v>
      </c>
      <c r="Z69" s="72">
        <v>1171</v>
      </c>
      <c r="AA69" s="72">
        <v>1118</v>
      </c>
      <c r="AB69" s="72">
        <v>1064</v>
      </c>
      <c r="AC69" s="72">
        <v>1010</v>
      </c>
      <c r="AD69" s="72">
        <v>957</v>
      </c>
      <c r="AE69" s="72">
        <v>903</v>
      </c>
      <c r="AF69" s="72">
        <v>851</v>
      </c>
      <c r="AG69" s="72">
        <v>796</v>
      </c>
      <c r="AH69" s="72">
        <v>742</v>
      </c>
      <c r="AI69" s="72">
        <v>693</v>
      </c>
      <c r="AJ69" s="72">
        <v>639</v>
      </c>
      <c r="AK69" s="72">
        <v>586</v>
      </c>
      <c r="AL69" s="72">
        <v>532</v>
      </c>
      <c r="AM69" s="72">
        <v>480</v>
      </c>
      <c r="AN69" s="72">
        <v>425</v>
      </c>
      <c r="AO69" s="72">
        <v>371</v>
      </c>
      <c r="AP69" s="72">
        <v>319</v>
      </c>
      <c r="AQ69" s="72">
        <v>264</v>
      </c>
      <c r="AR69" s="72">
        <v>212</v>
      </c>
      <c r="AS69" s="72">
        <v>158</v>
      </c>
      <c r="AT69" s="72">
        <v>103</v>
      </c>
      <c r="AU69" s="72">
        <v>54</v>
      </c>
      <c r="AV69" s="113"/>
      <c r="AW69" s="114"/>
      <c r="AX69" s="114"/>
    </row>
    <row r="70" spans="2:50" ht="13" thickBot="1" x14ac:dyDescent="0.3">
      <c r="B70" s="73" t="s">
        <v>133</v>
      </c>
      <c r="C70" s="71">
        <v>2343</v>
      </c>
      <c r="D70" s="72">
        <v>2289</v>
      </c>
      <c r="E70" s="72">
        <v>2237</v>
      </c>
      <c r="F70" s="72">
        <v>2182</v>
      </c>
      <c r="G70" s="72">
        <v>2130</v>
      </c>
      <c r="H70" s="72">
        <v>2076</v>
      </c>
      <c r="I70" s="72">
        <v>2021</v>
      </c>
      <c r="J70" s="72">
        <v>1971</v>
      </c>
      <c r="K70" s="72">
        <v>1916</v>
      </c>
      <c r="L70" s="72">
        <v>1864</v>
      </c>
      <c r="M70" s="72">
        <v>1810</v>
      </c>
      <c r="N70" s="72">
        <v>1757</v>
      </c>
      <c r="O70" s="72">
        <v>1703</v>
      </c>
      <c r="P70" s="72">
        <v>1649</v>
      </c>
      <c r="Q70" s="72">
        <v>1596</v>
      </c>
      <c r="R70" s="72">
        <v>1542</v>
      </c>
      <c r="S70" s="72">
        <v>1489</v>
      </c>
      <c r="T70" s="72">
        <v>1435</v>
      </c>
      <c r="U70" s="72">
        <v>1381</v>
      </c>
      <c r="V70" s="72">
        <v>1332</v>
      </c>
      <c r="W70" s="72">
        <v>1278</v>
      </c>
      <c r="X70" s="72">
        <v>1225</v>
      </c>
      <c r="Y70" s="72">
        <v>1171</v>
      </c>
      <c r="Z70" s="72">
        <v>1118</v>
      </c>
      <c r="AA70" s="72">
        <v>1064</v>
      </c>
      <c r="AB70" s="72">
        <v>1010</v>
      </c>
      <c r="AC70" s="72">
        <v>957</v>
      </c>
      <c r="AD70" s="72">
        <v>903</v>
      </c>
      <c r="AE70" s="72">
        <v>851</v>
      </c>
      <c r="AF70" s="72">
        <v>796</v>
      </c>
      <c r="AG70" s="72">
        <v>742</v>
      </c>
      <c r="AH70" s="72">
        <v>693</v>
      </c>
      <c r="AI70" s="72">
        <v>639</v>
      </c>
      <c r="AJ70" s="72">
        <v>586</v>
      </c>
      <c r="AK70" s="72">
        <v>532</v>
      </c>
      <c r="AL70" s="72">
        <v>480</v>
      </c>
      <c r="AM70" s="72">
        <v>425</v>
      </c>
      <c r="AN70" s="72">
        <v>371</v>
      </c>
      <c r="AO70" s="72">
        <v>319</v>
      </c>
      <c r="AP70" s="72">
        <v>264</v>
      </c>
      <c r="AQ70" s="72">
        <v>212</v>
      </c>
      <c r="AR70" s="72">
        <v>158</v>
      </c>
      <c r="AS70" s="72">
        <v>103</v>
      </c>
      <c r="AT70" s="72">
        <v>54</v>
      </c>
      <c r="AU70" s="113"/>
      <c r="AV70" s="114"/>
      <c r="AW70" s="114"/>
      <c r="AX70" s="114"/>
    </row>
    <row r="71" spans="2:50" ht="13" thickBot="1" x14ac:dyDescent="0.3">
      <c r="B71" s="73" t="s">
        <v>134</v>
      </c>
      <c r="C71" s="71">
        <v>2289</v>
      </c>
      <c r="D71" s="72">
        <v>2237</v>
      </c>
      <c r="E71" s="72">
        <v>2182</v>
      </c>
      <c r="F71" s="72">
        <v>2130</v>
      </c>
      <c r="G71" s="72">
        <v>2076</v>
      </c>
      <c r="H71" s="72">
        <v>2021</v>
      </c>
      <c r="I71" s="72">
        <v>1971</v>
      </c>
      <c r="J71" s="72">
        <v>1916</v>
      </c>
      <c r="K71" s="72">
        <v>1864</v>
      </c>
      <c r="L71" s="72">
        <v>1810</v>
      </c>
      <c r="M71" s="72">
        <v>1757</v>
      </c>
      <c r="N71" s="72">
        <v>1703</v>
      </c>
      <c r="O71" s="72">
        <v>1649</v>
      </c>
      <c r="P71" s="72">
        <v>1596</v>
      </c>
      <c r="Q71" s="72">
        <v>1542</v>
      </c>
      <c r="R71" s="72">
        <v>1489</v>
      </c>
      <c r="S71" s="72">
        <v>1435</v>
      </c>
      <c r="T71" s="72">
        <v>1381</v>
      </c>
      <c r="U71" s="72">
        <v>1332</v>
      </c>
      <c r="V71" s="72">
        <v>1278</v>
      </c>
      <c r="W71" s="72">
        <v>1225</v>
      </c>
      <c r="X71" s="72">
        <v>1171</v>
      </c>
      <c r="Y71" s="72">
        <v>1118</v>
      </c>
      <c r="Z71" s="72">
        <v>1064</v>
      </c>
      <c r="AA71" s="72">
        <v>1010</v>
      </c>
      <c r="AB71" s="72">
        <v>957</v>
      </c>
      <c r="AC71" s="72">
        <v>903</v>
      </c>
      <c r="AD71" s="72">
        <v>851</v>
      </c>
      <c r="AE71" s="72">
        <v>796</v>
      </c>
      <c r="AF71" s="72">
        <v>742</v>
      </c>
      <c r="AG71" s="72">
        <v>693</v>
      </c>
      <c r="AH71" s="72">
        <v>639</v>
      </c>
      <c r="AI71" s="72">
        <v>586</v>
      </c>
      <c r="AJ71" s="72">
        <v>532</v>
      </c>
      <c r="AK71" s="72">
        <v>480</v>
      </c>
      <c r="AL71" s="72">
        <v>425</v>
      </c>
      <c r="AM71" s="72">
        <v>371</v>
      </c>
      <c r="AN71" s="72">
        <v>319</v>
      </c>
      <c r="AO71" s="72">
        <v>264</v>
      </c>
      <c r="AP71" s="72">
        <v>212</v>
      </c>
      <c r="AQ71" s="72">
        <v>158</v>
      </c>
      <c r="AR71" s="72">
        <v>103</v>
      </c>
      <c r="AS71" s="115">
        <v>54</v>
      </c>
      <c r="AU71" s="114"/>
      <c r="AV71" s="114"/>
      <c r="AW71" s="114"/>
      <c r="AX71" s="114"/>
    </row>
    <row r="72" spans="2:50" ht="13" thickBot="1" x14ac:dyDescent="0.3">
      <c r="B72" s="73" t="s">
        <v>135</v>
      </c>
      <c r="C72" s="71">
        <v>2237</v>
      </c>
      <c r="D72" s="72">
        <v>2182</v>
      </c>
      <c r="E72" s="72">
        <v>2130</v>
      </c>
      <c r="F72" s="72">
        <v>2076</v>
      </c>
      <c r="G72" s="72">
        <v>2021</v>
      </c>
      <c r="H72" s="72">
        <v>1971</v>
      </c>
      <c r="I72" s="72">
        <v>1916</v>
      </c>
      <c r="J72" s="72">
        <v>1864</v>
      </c>
      <c r="K72" s="72">
        <v>1810</v>
      </c>
      <c r="L72" s="72">
        <v>1757</v>
      </c>
      <c r="M72" s="72">
        <v>1703</v>
      </c>
      <c r="N72" s="72">
        <v>1649</v>
      </c>
      <c r="O72" s="72">
        <v>1596</v>
      </c>
      <c r="P72" s="72">
        <v>1542</v>
      </c>
      <c r="Q72" s="72">
        <v>1489</v>
      </c>
      <c r="R72" s="72">
        <v>1435</v>
      </c>
      <c r="S72" s="72">
        <v>1381</v>
      </c>
      <c r="T72" s="72">
        <v>1332</v>
      </c>
      <c r="U72" s="72">
        <v>1278</v>
      </c>
      <c r="V72" s="72">
        <v>1225</v>
      </c>
      <c r="W72" s="72">
        <v>1171</v>
      </c>
      <c r="X72" s="72">
        <v>1118</v>
      </c>
      <c r="Y72" s="72">
        <v>1064</v>
      </c>
      <c r="Z72" s="72">
        <v>1010</v>
      </c>
      <c r="AA72" s="72">
        <v>957</v>
      </c>
      <c r="AB72" s="72">
        <v>903</v>
      </c>
      <c r="AC72" s="72">
        <v>851</v>
      </c>
      <c r="AD72" s="72">
        <v>796</v>
      </c>
      <c r="AE72" s="72">
        <v>742</v>
      </c>
      <c r="AF72" s="72">
        <v>693</v>
      </c>
      <c r="AG72" s="72">
        <v>639</v>
      </c>
      <c r="AH72" s="72">
        <v>586</v>
      </c>
      <c r="AI72" s="72">
        <v>532</v>
      </c>
      <c r="AJ72" s="72">
        <v>480</v>
      </c>
      <c r="AK72" s="72">
        <v>425</v>
      </c>
      <c r="AL72" s="72">
        <v>371</v>
      </c>
      <c r="AM72" s="72">
        <v>319</v>
      </c>
      <c r="AN72" s="72">
        <v>264</v>
      </c>
      <c r="AO72" s="72">
        <v>212</v>
      </c>
      <c r="AP72" s="72">
        <v>158</v>
      </c>
      <c r="AQ72" s="72">
        <v>103</v>
      </c>
      <c r="AR72" s="72">
        <v>54</v>
      </c>
      <c r="AS72" s="74"/>
      <c r="AT72" s="114"/>
      <c r="AU72" s="114"/>
      <c r="AV72" s="114"/>
      <c r="AW72" s="114"/>
      <c r="AX72" s="114"/>
    </row>
    <row r="73" spans="2:50" ht="13" thickBot="1" x14ac:dyDescent="0.3">
      <c r="B73" s="73" t="s">
        <v>136</v>
      </c>
      <c r="C73" s="71">
        <v>2182</v>
      </c>
      <c r="D73" s="72">
        <v>2130</v>
      </c>
      <c r="E73" s="72">
        <v>2076</v>
      </c>
      <c r="F73" s="72">
        <v>2021</v>
      </c>
      <c r="G73" s="72">
        <v>1971</v>
      </c>
      <c r="H73" s="72">
        <v>1916</v>
      </c>
      <c r="I73" s="72">
        <v>1864</v>
      </c>
      <c r="J73" s="72">
        <v>1810</v>
      </c>
      <c r="K73" s="72">
        <v>1757</v>
      </c>
      <c r="L73" s="72">
        <v>1703</v>
      </c>
      <c r="M73" s="72">
        <v>1649</v>
      </c>
      <c r="N73" s="72">
        <v>1596</v>
      </c>
      <c r="O73" s="72">
        <v>1542</v>
      </c>
      <c r="P73" s="72">
        <v>1489</v>
      </c>
      <c r="Q73" s="72">
        <v>1435</v>
      </c>
      <c r="R73" s="72">
        <v>1381</v>
      </c>
      <c r="S73" s="72">
        <v>1332</v>
      </c>
      <c r="T73" s="72">
        <v>1278</v>
      </c>
      <c r="U73" s="72">
        <v>1225</v>
      </c>
      <c r="V73" s="72">
        <v>1171</v>
      </c>
      <c r="W73" s="72">
        <v>1118</v>
      </c>
      <c r="X73" s="72">
        <v>1064</v>
      </c>
      <c r="Y73" s="72">
        <v>1010</v>
      </c>
      <c r="Z73" s="72">
        <v>957</v>
      </c>
      <c r="AA73" s="72">
        <v>903</v>
      </c>
      <c r="AB73" s="72">
        <v>851</v>
      </c>
      <c r="AC73" s="72">
        <v>796</v>
      </c>
      <c r="AD73" s="72">
        <v>742</v>
      </c>
      <c r="AE73" s="72">
        <v>693</v>
      </c>
      <c r="AF73" s="72">
        <v>639</v>
      </c>
      <c r="AG73" s="72">
        <v>586</v>
      </c>
      <c r="AH73" s="72">
        <v>532</v>
      </c>
      <c r="AI73" s="72">
        <v>480</v>
      </c>
      <c r="AJ73" s="72">
        <v>425</v>
      </c>
      <c r="AK73" s="72">
        <v>371</v>
      </c>
      <c r="AL73" s="72">
        <v>319</v>
      </c>
      <c r="AM73" s="72">
        <v>264</v>
      </c>
      <c r="AN73" s="72">
        <v>212</v>
      </c>
      <c r="AO73" s="72">
        <v>158</v>
      </c>
      <c r="AP73" s="72">
        <v>103</v>
      </c>
      <c r="AQ73" s="72">
        <v>54</v>
      </c>
      <c r="AR73" s="74"/>
      <c r="AS73" s="74"/>
      <c r="AT73" s="114"/>
      <c r="AU73" s="114"/>
      <c r="AV73" s="114"/>
      <c r="AW73" s="114"/>
      <c r="AX73" s="114"/>
    </row>
    <row r="74" spans="2:50" ht="13" thickBot="1" x14ac:dyDescent="0.3">
      <c r="B74" s="73" t="s">
        <v>137</v>
      </c>
      <c r="C74" s="71">
        <v>2130</v>
      </c>
      <c r="D74" s="72">
        <v>2076</v>
      </c>
      <c r="E74" s="72">
        <v>2021</v>
      </c>
      <c r="F74" s="72">
        <v>1971</v>
      </c>
      <c r="G74" s="72">
        <v>1916</v>
      </c>
      <c r="H74" s="72">
        <v>1864</v>
      </c>
      <c r="I74" s="72">
        <v>1810</v>
      </c>
      <c r="J74" s="72">
        <v>1757</v>
      </c>
      <c r="K74" s="72">
        <v>1703</v>
      </c>
      <c r="L74" s="72">
        <v>1649</v>
      </c>
      <c r="M74" s="72">
        <v>1596</v>
      </c>
      <c r="N74" s="72">
        <v>1542</v>
      </c>
      <c r="O74" s="72">
        <v>1489</v>
      </c>
      <c r="P74" s="72">
        <v>1435</v>
      </c>
      <c r="Q74" s="72">
        <v>1381</v>
      </c>
      <c r="R74" s="72">
        <v>1332</v>
      </c>
      <c r="S74" s="72">
        <v>1278</v>
      </c>
      <c r="T74" s="72">
        <v>1225</v>
      </c>
      <c r="U74" s="72">
        <v>1171</v>
      </c>
      <c r="V74" s="72">
        <v>1118</v>
      </c>
      <c r="W74" s="72">
        <v>1064</v>
      </c>
      <c r="X74" s="72">
        <v>1010</v>
      </c>
      <c r="Y74" s="72">
        <v>957</v>
      </c>
      <c r="Z74" s="72">
        <v>903</v>
      </c>
      <c r="AA74" s="72">
        <v>851</v>
      </c>
      <c r="AB74" s="72">
        <v>796</v>
      </c>
      <c r="AC74" s="72">
        <v>742</v>
      </c>
      <c r="AD74" s="72">
        <v>693</v>
      </c>
      <c r="AE74" s="72">
        <v>639</v>
      </c>
      <c r="AF74" s="72">
        <v>586</v>
      </c>
      <c r="AG74" s="72">
        <v>532</v>
      </c>
      <c r="AH74" s="72">
        <v>480</v>
      </c>
      <c r="AI74" s="72">
        <v>425</v>
      </c>
      <c r="AJ74" s="72">
        <v>371</v>
      </c>
      <c r="AK74" s="72">
        <v>319</v>
      </c>
      <c r="AL74" s="72">
        <v>264</v>
      </c>
      <c r="AM74" s="72">
        <v>212</v>
      </c>
      <c r="AN74" s="72">
        <v>158</v>
      </c>
      <c r="AO74" s="72">
        <v>103</v>
      </c>
      <c r="AP74" s="72">
        <v>54</v>
      </c>
      <c r="AQ74" s="74"/>
      <c r="AR74" s="74"/>
      <c r="AS74" s="74"/>
      <c r="AT74" s="114"/>
      <c r="AU74" s="114"/>
      <c r="AV74" s="114"/>
      <c r="AW74" s="114"/>
      <c r="AX74" s="114"/>
    </row>
    <row r="75" spans="2:50" ht="13" thickBot="1" x14ac:dyDescent="0.3">
      <c r="B75" s="73" t="s">
        <v>138</v>
      </c>
      <c r="C75" s="71">
        <v>2076</v>
      </c>
      <c r="D75" s="72">
        <v>2021</v>
      </c>
      <c r="E75" s="72">
        <v>1971</v>
      </c>
      <c r="F75" s="72">
        <v>1916</v>
      </c>
      <c r="G75" s="72">
        <v>1864</v>
      </c>
      <c r="H75" s="72">
        <v>1810</v>
      </c>
      <c r="I75" s="72">
        <v>1757</v>
      </c>
      <c r="J75" s="72">
        <v>1703</v>
      </c>
      <c r="K75" s="72">
        <v>1649</v>
      </c>
      <c r="L75" s="72">
        <v>1596</v>
      </c>
      <c r="M75" s="72">
        <v>1542</v>
      </c>
      <c r="N75" s="72">
        <v>1489</v>
      </c>
      <c r="O75" s="72">
        <v>1435</v>
      </c>
      <c r="P75" s="72">
        <v>1381</v>
      </c>
      <c r="Q75" s="72">
        <v>1332</v>
      </c>
      <c r="R75" s="72">
        <v>1278</v>
      </c>
      <c r="S75" s="72">
        <v>1225</v>
      </c>
      <c r="T75" s="72">
        <v>1171</v>
      </c>
      <c r="U75" s="72">
        <v>1118</v>
      </c>
      <c r="V75" s="72">
        <v>1064</v>
      </c>
      <c r="W75" s="72">
        <v>1010</v>
      </c>
      <c r="X75" s="72">
        <v>957</v>
      </c>
      <c r="Y75" s="72">
        <v>903</v>
      </c>
      <c r="Z75" s="72">
        <v>851</v>
      </c>
      <c r="AA75" s="72">
        <v>796</v>
      </c>
      <c r="AB75" s="72">
        <v>742</v>
      </c>
      <c r="AC75" s="72">
        <v>693</v>
      </c>
      <c r="AD75" s="72">
        <v>639</v>
      </c>
      <c r="AE75" s="72">
        <v>586</v>
      </c>
      <c r="AF75" s="72">
        <v>532</v>
      </c>
      <c r="AG75" s="72">
        <v>480</v>
      </c>
      <c r="AH75" s="72">
        <v>425</v>
      </c>
      <c r="AI75" s="72">
        <v>371</v>
      </c>
      <c r="AJ75" s="72">
        <v>319</v>
      </c>
      <c r="AK75" s="72">
        <v>264</v>
      </c>
      <c r="AL75" s="72">
        <v>212</v>
      </c>
      <c r="AM75" s="72">
        <v>158</v>
      </c>
      <c r="AN75" s="72">
        <v>103</v>
      </c>
      <c r="AO75" s="72">
        <v>54</v>
      </c>
      <c r="AP75" s="74"/>
      <c r="AQ75" s="74"/>
      <c r="AR75" s="74"/>
      <c r="AS75" s="74"/>
      <c r="AT75" s="114"/>
      <c r="AU75" s="114"/>
      <c r="AV75" s="114"/>
      <c r="AW75" s="114"/>
      <c r="AX75" s="114"/>
    </row>
    <row r="76" spans="2:50" ht="13" thickBot="1" x14ac:dyDescent="0.3">
      <c r="B76" s="73" t="s">
        <v>139</v>
      </c>
      <c r="C76" s="71">
        <v>2021</v>
      </c>
      <c r="D76" s="72">
        <v>1971</v>
      </c>
      <c r="E76" s="72">
        <v>1916</v>
      </c>
      <c r="F76" s="72">
        <v>1864</v>
      </c>
      <c r="G76" s="72">
        <v>1810</v>
      </c>
      <c r="H76" s="72">
        <v>1757</v>
      </c>
      <c r="I76" s="72">
        <v>1703</v>
      </c>
      <c r="J76" s="72">
        <v>1649</v>
      </c>
      <c r="K76" s="72">
        <v>1596</v>
      </c>
      <c r="L76" s="72">
        <v>1542</v>
      </c>
      <c r="M76" s="72">
        <v>1489</v>
      </c>
      <c r="N76" s="72">
        <v>1435</v>
      </c>
      <c r="O76" s="72">
        <v>1381</v>
      </c>
      <c r="P76" s="72">
        <v>1332</v>
      </c>
      <c r="Q76" s="72">
        <v>1278</v>
      </c>
      <c r="R76" s="72">
        <v>1225</v>
      </c>
      <c r="S76" s="72">
        <v>1171</v>
      </c>
      <c r="T76" s="72">
        <v>1118</v>
      </c>
      <c r="U76" s="72">
        <v>1064</v>
      </c>
      <c r="V76" s="72">
        <v>1010</v>
      </c>
      <c r="W76" s="72">
        <v>957</v>
      </c>
      <c r="X76" s="72">
        <v>903</v>
      </c>
      <c r="Y76" s="72">
        <v>851</v>
      </c>
      <c r="Z76" s="72">
        <v>796</v>
      </c>
      <c r="AA76" s="72">
        <v>742</v>
      </c>
      <c r="AB76" s="72">
        <v>693</v>
      </c>
      <c r="AC76" s="72">
        <v>639</v>
      </c>
      <c r="AD76" s="72">
        <v>586</v>
      </c>
      <c r="AE76" s="72">
        <v>532</v>
      </c>
      <c r="AF76" s="72">
        <v>480</v>
      </c>
      <c r="AG76" s="72">
        <v>425</v>
      </c>
      <c r="AH76" s="72">
        <v>371</v>
      </c>
      <c r="AI76" s="72">
        <v>319</v>
      </c>
      <c r="AJ76" s="72">
        <v>264</v>
      </c>
      <c r="AK76" s="72">
        <v>212</v>
      </c>
      <c r="AL76" s="72">
        <v>158</v>
      </c>
      <c r="AM76" s="72">
        <v>103</v>
      </c>
      <c r="AN76" s="72">
        <v>54</v>
      </c>
      <c r="AO76" s="74"/>
      <c r="AP76" s="74"/>
      <c r="AQ76" s="74"/>
      <c r="AR76" s="74"/>
      <c r="AS76" s="74"/>
      <c r="AT76" s="114"/>
      <c r="AU76" s="114"/>
      <c r="AV76" s="114"/>
      <c r="AW76" s="114"/>
      <c r="AX76" s="114"/>
    </row>
    <row r="77" spans="2:50" ht="13" thickBot="1" x14ac:dyDescent="0.3">
      <c r="B77" s="73" t="s">
        <v>140</v>
      </c>
      <c r="C77" s="71">
        <v>1971</v>
      </c>
      <c r="D77" s="72">
        <v>1916</v>
      </c>
      <c r="E77" s="72">
        <v>1864</v>
      </c>
      <c r="F77" s="72">
        <v>1810</v>
      </c>
      <c r="G77" s="72">
        <v>1757</v>
      </c>
      <c r="H77" s="72">
        <v>1703</v>
      </c>
      <c r="I77" s="72">
        <v>1649</v>
      </c>
      <c r="J77" s="72">
        <v>1596</v>
      </c>
      <c r="K77" s="72">
        <v>1542</v>
      </c>
      <c r="L77" s="72">
        <v>1489</v>
      </c>
      <c r="M77" s="72">
        <v>1435</v>
      </c>
      <c r="N77" s="72">
        <v>1381</v>
      </c>
      <c r="O77" s="72">
        <v>1332</v>
      </c>
      <c r="P77" s="72">
        <v>1278</v>
      </c>
      <c r="Q77" s="72">
        <v>1225</v>
      </c>
      <c r="R77" s="72">
        <v>1171</v>
      </c>
      <c r="S77" s="72">
        <v>1118</v>
      </c>
      <c r="T77" s="72">
        <v>1064</v>
      </c>
      <c r="U77" s="72">
        <v>1010</v>
      </c>
      <c r="V77" s="72">
        <v>957</v>
      </c>
      <c r="W77" s="72">
        <v>903</v>
      </c>
      <c r="X77" s="72">
        <v>851</v>
      </c>
      <c r="Y77" s="72">
        <v>796</v>
      </c>
      <c r="Z77" s="72">
        <v>742</v>
      </c>
      <c r="AA77" s="72">
        <v>693</v>
      </c>
      <c r="AB77" s="72">
        <v>639</v>
      </c>
      <c r="AC77" s="72">
        <v>586</v>
      </c>
      <c r="AD77" s="72">
        <v>532</v>
      </c>
      <c r="AE77" s="72">
        <v>480</v>
      </c>
      <c r="AF77" s="72">
        <v>425</v>
      </c>
      <c r="AG77" s="72">
        <v>371</v>
      </c>
      <c r="AH77" s="72">
        <v>319</v>
      </c>
      <c r="AI77" s="72">
        <v>264</v>
      </c>
      <c r="AJ77" s="72">
        <v>212</v>
      </c>
      <c r="AK77" s="72">
        <v>158</v>
      </c>
      <c r="AL77" s="72">
        <v>103</v>
      </c>
      <c r="AM77" s="72">
        <v>54</v>
      </c>
      <c r="AN77" s="74"/>
      <c r="AO77" s="74"/>
      <c r="AP77" s="74"/>
      <c r="AQ77" s="74"/>
      <c r="AR77" s="74"/>
      <c r="AS77" s="74"/>
      <c r="AT77" s="114"/>
      <c r="AU77" s="114"/>
      <c r="AV77" s="114"/>
      <c r="AW77" s="114"/>
      <c r="AX77" s="114"/>
    </row>
    <row r="78" spans="2:50" ht="13" thickBot="1" x14ac:dyDescent="0.3">
      <c r="B78" s="73" t="s">
        <v>141</v>
      </c>
      <c r="C78" s="71">
        <v>1916</v>
      </c>
      <c r="D78" s="72">
        <v>1864</v>
      </c>
      <c r="E78" s="72">
        <v>1810</v>
      </c>
      <c r="F78" s="72">
        <v>1757</v>
      </c>
      <c r="G78" s="72">
        <v>1703</v>
      </c>
      <c r="H78" s="72">
        <v>1649</v>
      </c>
      <c r="I78" s="72">
        <v>1596</v>
      </c>
      <c r="J78" s="72">
        <v>1542</v>
      </c>
      <c r="K78" s="72">
        <v>1489</v>
      </c>
      <c r="L78" s="72">
        <v>1435</v>
      </c>
      <c r="M78" s="72">
        <v>1381</v>
      </c>
      <c r="N78" s="72">
        <v>1332</v>
      </c>
      <c r="O78" s="72">
        <v>1278</v>
      </c>
      <c r="P78" s="72">
        <v>1225</v>
      </c>
      <c r="Q78" s="72">
        <v>1171</v>
      </c>
      <c r="R78" s="72">
        <v>1118</v>
      </c>
      <c r="S78" s="72">
        <v>1064</v>
      </c>
      <c r="T78" s="72">
        <v>1010</v>
      </c>
      <c r="U78" s="72">
        <v>957</v>
      </c>
      <c r="V78" s="72">
        <v>903</v>
      </c>
      <c r="W78" s="72">
        <v>851</v>
      </c>
      <c r="X78" s="72">
        <v>796</v>
      </c>
      <c r="Y78" s="72">
        <v>742</v>
      </c>
      <c r="Z78" s="72">
        <v>693</v>
      </c>
      <c r="AA78" s="72">
        <v>639</v>
      </c>
      <c r="AB78" s="72">
        <v>586</v>
      </c>
      <c r="AC78" s="72">
        <v>532</v>
      </c>
      <c r="AD78" s="72">
        <v>480</v>
      </c>
      <c r="AE78" s="72">
        <v>425</v>
      </c>
      <c r="AF78" s="72">
        <v>371</v>
      </c>
      <c r="AG78" s="72">
        <v>319</v>
      </c>
      <c r="AH78" s="72">
        <v>264</v>
      </c>
      <c r="AI78" s="72">
        <v>212</v>
      </c>
      <c r="AJ78" s="72">
        <v>158</v>
      </c>
      <c r="AK78" s="72">
        <v>103</v>
      </c>
      <c r="AL78" s="72">
        <v>54</v>
      </c>
      <c r="AM78" s="74"/>
      <c r="AN78" s="74"/>
      <c r="AO78" s="74"/>
      <c r="AP78" s="74"/>
      <c r="AQ78" s="74"/>
      <c r="AR78" s="74"/>
      <c r="AS78" s="74"/>
      <c r="AT78" s="114"/>
      <c r="AU78" s="114"/>
      <c r="AV78" s="114"/>
      <c r="AW78" s="114"/>
      <c r="AX78" s="114"/>
    </row>
    <row r="79" spans="2:50" ht="13" thickBot="1" x14ac:dyDescent="0.3">
      <c r="B79" s="73" t="s">
        <v>142</v>
      </c>
      <c r="C79" s="71">
        <v>1864</v>
      </c>
      <c r="D79" s="72">
        <v>1810</v>
      </c>
      <c r="E79" s="72">
        <v>1757</v>
      </c>
      <c r="F79" s="72">
        <v>1703</v>
      </c>
      <c r="G79" s="72">
        <v>1649</v>
      </c>
      <c r="H79" s="72">
        <v>1596</v>
      </c>
      <c r="I79" s="72">
        <v>1542</v>
      </c>
      <c r="J79" s="72">
        <v>1489</v>
      </c>
      <c r="K79" s="72">
        <v>1435</v>
      </c>
      <c r="L79" s="72">
        <v>1381</v>
      </c>
      <c r="M79" s="72">
        <v>1332</v>
      </c>
      <c r="N79" s="72">
        <v>1278</v>
      </c>
      <c r="O79" s="72">
        <v>1225</v>
      </c>
      <c r="P79" s="72">
        <v>1171</v>
      </c>
      <c r="Q79" s="72">
        <v>1118</v>
      </c>
      <c r="R79" s="72">
        <v>1064</v>
      </c>
      <c r="S79" s="72">
        <v>1010</v>
      </c>
      <c r="T79" s="72">
        <v>957</v>
      </c>
      <c r="U79" s="72">
        <v>903</v>
      </c>
      <c r="V79" s="72">
        <v>851</v>
      </c>
      <c r="W79" s="72">
        <v>796</v>
      </c>
      <c r="X79" s="72">
        <v>742</v>
      </c>
      <c r="Y79" s="72">
        <v>693</v>
      </c>
      <c r="Z79" s="72">
        <v>639</v>
      </c>
      <c r="AA79" s="72">
        <v>586</v>
      </c>
      <c r="AB79" s="72">
        <v>532</v>
      </c>
      <c r="AC79" s="72">
        <v>480</v>
      </c>
      <c r="AD79" s="72">
        <v>425</v>
      </c>
      <c r="AE79" s="72">
        <v>371</v>
      </c>
      <c r="AF79" s="72">
        <v>319</v>
      </c>
      <c r="AG79" s="72">
        <v>264</v>
      </c>
      <c r="AH79" s="72">
        <v>212</v>
      </c>
      <c r="AI79" s="72">
        <v>158</v>
      </c>
      <c r="AJ79" s="72">
        <v>103</v>
      </c>
      <c r="AK79" s="72">
        <v>54</v>
      </c>
      <c r="AL79" s="74"/>
      <c r="AM79" s="74"/>
      <c r="AN79" s="74"/>
      <c r="AO79" s="74"/>
      <c r="AP79" s="74"/>
      <c r="AQ79" s="74"/>
      <c r="AR79" s="74"/>
      <c r="AS79" s="74"/>
      <c r="AT79" s="114"/>
      <c r="AU79" s="114"/>
      <c r="AV79" s="114"/>
      <c r="AW79" s="114"/>
      <c r="AX79" s="114"/>
    </row>
    <row r="80" spans="2:50" ht="13" thickBot="1" x14ac:dyDescent="0.3">
      <c r="B80" s="73" t="s">
        <v>143</v>
      </c>
      <c r="C80" s="71">
        <v>1810</v>
      </c>
      <c r="D80" s="72">
        <v>1757</v>
      </c>
      <c r="E80" s="72">
        <v>1703</v>
      </c>
      <c r="F80" s="72">
        <v>1649</v>
      </c>
      <c r="G80" s="72">
        <v>1596</v>
      </c>
      <c r="H80" s="72">
        <v>1542</v>
      </c>
      <c r="I80" s="72">
        <v>1489</v>
      </c>
      <c r="J80" s="72">
        <v>1435</v>
      </c>
      <c r="K80" s="72">
        <v>1381</v>
      </c>
      <c r="L80" s="72">
        <v>1332</v>
      </c>
      <c r="M80" s="72">
        <v>1278</v>
      </c>
      <c r="N80" s="72">
        <v>1225</v>
      </c>
      <c r="O80" s="72">
        <v>1171</v>
      </c>
      <c r="P80" s="72">
        <v>1118</v>
      </c>
      <c r="Q80" s="72">
        <v>1064</v>
      </c>
      <c r="R80" s="72">
        <v>1010</v>
      </c>
      <c r="S80" s="72">
        <v>957</v>
      </c>
      <c r="T80" s="72">
        <v>903</v>
      </c>
      <c r="U80" s="72">
        <v>851</v>
      </c>
      <c r="V80" s="72">
        <v>796</v>
      </c>
      <c r="W80" s="72">
        <v>742</v>
      </c>
      <c r="X80" s="72">
        <v>693</v>
      </c>
      <c r="Y80" s="72">
        <v>639</v>
      </c>
      <c r="Z80" s="72">
        <v>586</v>
      </c>
      <c r="AA80" s="72">
        <v>532</v>
      </c>
      <c r="AB80" s="72">
        <v>480</v>
      </c>
      <c r="AC80" s="72">
        <v>425</v>
      </c>
      <c r="AD80" s="72">
        <v>371</v>
      </c>
      <c r="AE80" s="72">
        <v>319</v>
      </c>
      <c r="AF80" s="72">
        <v>264</v>
      </c>
      <c r="AG80" s="72">
        <v>212</v>
      </c>
      <c r="AH80" s="72">
        <v>158</v>
      </c>
      <c r="AI80" s="72">
        <v>103</v>
      </c>
      <c r="AJ80" s="72">
        <v>54</v>
      </c>
      <c r="AK80" s="74"/>
      <c r="AL80" s="74"/>
      <c r="AM80" s="74"/>
      <c r="AN80" s="74"/>
      <c r="AO80" s="74"/>
      <c r="AP80" s="74"/>
      <c r="AQ80" s="74"/>
      <c r="AR80" s="74"/>
      <c r="AS80" s="74"/>
      <c r="AT80" s="114"/>
      <c r="AU80" s="114"/>
      <c r="AV80" s="114"/>
      <c r="AW80" s="114"/>
      <c r="AX80" s="114"/>
    </row>
    <row r="81" spans="2:50" ht="13" thickBot="1" x14ac:dyDescent="0.3">
      <c r="B81" s="73" t="s">
        <v>144</v>
      </c>
      <c r="C81" s="71">
        <v>1757</v>
      </c>
      <c r="D81" s="72">
        <v>1703</v>
      </c>
      <c r="E81" s="72">
        <v>1649</v>
      </c>
      <c r="F81" s="72">
        <v>1596</v>
      </c>
      <c r="G81" s="72">
        <v>1542</v>
      </c>
      <c r="H81" s="72">
        <v>1489</v>
      </c>
      <c r="I81" s="72">
        <v>1435</v>
      </c>
      <c r="J81" s="72">
        <v>1381</v>
      </c>
      <c r="K81" s="72">
        <v>1332</v>
      </c>
      <c r="L81" s="72">
        <v>1278</v>
      </c>
      <c r="M81" s="72">
        <v>1225</v>
      </c>
      <c r="N81" s="72">
        <v>1171</v>
      </c>
      <c r="O81" s="72">
        <v>1118</v>
      </c>
      <c r="P81" s="72">
        <v>1064</v>
      </c>
      <c r="Q81" s="72">
        <v>1010</v>
      </c>
      <c r="R81" s="72">
        <v>957</v>
      </c>
      <c r="S81" s="72">
        <v>903</v>
      </c>
      <c r="T81" s="72">
        <v>851</v>
      </c>
      <c r="U81" s="72">
        <v>796</v>
      </c>
      <c r="V81" s="72">
        <v>742</v>
      </c>
      <c r="W81" s="72">
        <v>693</v>
      </c>
      <c r="X81" s="72">
        <v>639</v>
      </c>
      <c r="Y81" s="72">
        <v>586</v>
      </c>
      <c r="Z81" s="72">
        <v>532</v>
      </c>
      <c r="AA81" s="72">
        <v>480</v>
      </c>
      <c r="AB81" s="72">
        <v>425</v>
      </c>
      <c r="AC81" s="72">
        <v>371</v>
      </c>
      <c r="AD81" s="72">
        <v>319</v>
      </c>
      <c r="AE81" s="72">
        <v>264</v>
      </c>
      <c r="AF81" s="72">
        <v>212</v>
      </c>
      <c r="AG81" s="72">
        <v>158</v>
      </c>
      <c r="AH81" s="72">
        <v>103</v>
      </c>
      <c r="AI81" s="72">
        <v>54</v>
      </c>
      <c r="AJ81" s="74"/>
      <c r="AK81" s="74"/>
      <c r="AL81" s="74"/>
      <c r="AM81" s="74"/>
      <c r="AN81" s="74"/>
      <c r="AO81" s="74"/>
      <c r="AP81" s="74"/>
      <c r="AQ81" s="74"/>
      <c r="AR81" s="74"/>
      <c r="AS81" s="74"/>
      <c r="AT81" s="114"/>
      <c r="AU81" s="114"/>
      <c r="AV81" s="114"/>
      <c r="AW81" s="114"/>
      <c r="AX81" s="114"/>
    </row>
    <row r="82" spans="2:50" ht="13" thickBot="1" x14ac:dyDescent="0.3">
      <c r="B82" s="73" t="s">
        <v>145</v>
      </c>
      <c r="C82" s="71">
        <v>1703</v>
      </c>
      <c r="D82" s="72">
        <v>1649</v>
      </c>
      <c r="E82" s="72">
        <v>1596</v>
      </c>
      <c r="F82" s="72">
        <v>1542</v>
      </c>
      <c r="G82" s="72">
        <v>1489</v>
      </c>
      <c r="H82" s="72">
        <v>1435</v>
      </c>
      <c r="I82" s="72">
        <v>1381</v>
      </c>
      <c r="J82" s="72">
        <v>1332</v>
      </c>
      <c r="K82" s="72">
        <v>1278</v>
      </c>
      <c r="L82" s="72">
        <v>1225</v>
      </c>
      <c r="M82" s="72">
        <v>1171</v>
      </c>
      <c r="N82" s="72">
        <v>1118</v>
      </c>
      <c r="O82" s="72">
        <v>1064</v>
      </c>
      <c r="P82" s="72">
        <v>1010</v>
      </c>
      <c r="Q82" s="72">
        <v>957</v>
      </c>
      <c r="R82" s="72">
        <v>903</v>
      </c>
      <c r="S82" s="72">
        <v>851</v>
      </c>
      <c r="T82" s="72">
        <v>796</v>
      </c>
      <c r="U82" s="72">
        <v>742</v>
      </c>
      <c r="V82" s="72">
        <v>693</v>
      </c>
      <c r="W82" s="72">
        <v>639</v>
      </c>
      <c r="X82" s="72">
        <v>586</v>
      </c>
      <c r="Y82" s="72">
        <v>532</v>
      </c>
      <c r="Z82" s="72">
        <v>480</v>
      </c>
      <c r="AA82" s="72">
        <v>425</v>
      </c>
      <c r="AB82" s="72">
        <v>371</v>
      </c>
      <c r="AC82" s="72">
        <v>319</v>
      </c>
      <c r="AD82" s="72">
        <v>264</v>
      </c>
      <c r="AE82" s="72">
        <v>212</v>
      </c>
      <c r="AF82" s="72">
        <v>158</v>
      </c>
      <c r="AG82" s="72">
        <v>103</v>
      </c>
      <c r="AH82" s="72">
        <v>54</v>
      </c>
      <c r="AI82" s="74"/>
      <c r="AJ82" s="74"/>
      <c r="AK82" s="74"/>
      <c r="AL82" s="74"/>
      <c r="AM82" s="74"/>
      <c r="AN82" s="74"/>
      <c r="AO82" s="74"/>
      <c r="AP82" s="74"/>
      <c r="AQ82" s="74"/>
      <c r="AR82" s="74"/>
      <c r="AS82" s="74"/>
      <c r="AT82" s="114"/>
      <c r="AU82" s="114"/>
      <c r="AV82" s="114"/>
      <c r="AW82" s="114"/>
      <c r="AX82" s="114"/>
    </row>
    <row r="83" spans="2:50" ht="13" thickBot="1" x14ac:dyDescent="0.3">
      <c r="B83" s="73" t="s">
        <v>146</v>
      </c>
      <c r="C83" s="71">
        <v>1649</v>
      </c>
      <c r="D83" s="72">
        <v>1596</v>
      </c>
      <c r="E83" s="72">
        <v>1542</v>
      </c>
      <c r="F83" s="72">
        <v>1489</v>
      </c>
      <c r="G83" s="72">
        <v>1435</v>
      </c>
      <c r="H83" s="72">
        <v>1381</v>
      </c>
      <c r="I83" s="72">
        <v>1332</v>
      </c>
      <c r="J83" s="72">
        <v>1278</v>
      </c>
      <c r="K83" s="72">
        <v>1225</v>
      </c>
      <c r="L83" s="72">
        <v>1171</v>
      </c>
      <c r="M83" s="72">
        <v>1118</v>
      </c>
      <c r="N83" s="72">
        <v>1064</v>
      </c>
      <c r="O83" s="72">
        <v>1010</v>
      </c>
      <c r="P83" s="72">
        <v>957</v>
      </c>
      <c r="Q83" s="72">
        <v>903</v>
      </c>
      <c r="R83" s="72">
        <v>851</v>
      </c>
      <c r="S83" s="72">
        <v>796</v>
      </c>
      <c r="T83" s="72">
        <v>742</v>
      </c>
      <c r="U83" s="72">
        <v>693</v>
      </c>
      <c r="V83" s="72">
        <v>639</v>
      </c>
      <c r="W83" s="72">
        <v>586</v>
      </c>
      <c r="X83" s="72">
        <v>532</v>
      </c>
      <c r="Y83" s="72">
        <v>480</v>
      </c>
      <c r="Z83" s="72">
        <v>425</v>
      </c>
      <c r="AA83" s="72">
        <v>371</v>
      </c>
      <c r="AB83" s="72">
        <v>319</v>
      </c>
      <c r="AC83" s="72">
        <v>264</v>
      </c>
      <c r="AD83" s="72">
        <v>212</v>
      </c>
      <c r="AE83" s="72">
        <v>158</v>
      </c>
      <c r="AF83" s="72">
        <v>103</v>
      </c>
      <c r="AG83" s="72">
        <v>54</v>
      </c>
      <c r="AH83" s="74"/>
      <c r="AI83" s="74"/>
      <c r="AJ83" s="74"/>
      <c r="AK83" s="74"/>
      <c r="AL83" s="74"/>
      <c r="AM83" s="74"/>
      <c r="AN83" s="74"/>
      <c r="AO83" s="74"/>
      <c r="AP83" s="74"/>
      <c r="AQ83" s="74"/>
      <c r="AR83" s="74"/>
      <c r="AS83" s="74"/>
      <c r="AT83" s="114"/>
      <c r="AU83" s="114"/>
      <c r="AV83" s="114"/>
      <c r="AW83" s="114"/>
      <c r="AX83" s="114"/>
    </row>
    <row r="84" spans="2:50" ht="13" thickBot="1" x14ac:dyDescent="0.3">
      <c r="B84" s="73" t="s">
        <v>147</v>
      </c>
      <c r="C84" s="71">
        <v>1596</v>
      </c>
      <c r="D84" s="72">
        <v>1542</v>
      </c>
      <c r="E84" s="72">
        <v>1489</v>
      </c>
      <c r="F84" s="72">
        <v>1435</v>
      </c>
      <c r="G84" s="72">
        <v>1381</v>
      </c>
      <c r="H84" s="72">
        <v>1332</v>
      </c>
      <c r="I84" s="72">
        <v>1278</v>
      </c>
      <c r="J84" s="72">
        <v>1225</v>
      </c>
      <c r="K84" s="72">
        <v>1171</v>
      </c>
      <c r="L84" s="72">
        <v>1118</v>
      </c>
      <c r="M84" s="72">
        <v>1064</v>
      </c>
      <c r="N84" s="72">
        <v>1010</v>
      </c>
      <c r="O84" s="72">
        <v>957</v>
      </c>
      <c r="P84" s="72">
        <v>903</v>
      </c>
      <c r="Q84" s="72">
        <v>851</v>
      </c>
      <c r="R84" s="72">
        <v>796</v>
      </c>
      <c r="S84" s="72">
        <v>742</v>
      </c>
      <c r="T84" s="72">
        <v>693</v>
      </c>
      <c r="U84" s="72">
        <v>639</v>
      </c>
      <c r="V84" s="72">
        <v>586</v>
      </c>
      <c r="W84" s="72">
        <v>532</v>
      </c>
      <c r="X84" s="72">
        <v>480</v>
      </c>
      <c r="Y84" s="72">
        <v>425</v>
      </c>
      <c r="Z84" s="72">
        <v>371</v>
      </c>
      <c r="AA84" s="72">
        <v>319</v>
      </c>
      <c r="AB84" s="72">
        <v>264</v>
      </c>
      <c r="AC84" s="72">
        <v>212</v>
      </c>
      <c r="AD84" s="72">
        <v>158</v>
      </c>
      <c r="AE84" s="72">
        <v>103</v>
      </c>
      <c r="AF84" s="72">
        <v>54</v>
      </c>
      <c r="AG84" s="74"/>
      <c r="AH84" s="74"/>
      <c r="AI84" s="74"/>
      <c r="AJ84" s="74"/>
      <c r="AK84" s="74"/>
      <c r="AL84" s="74"/>
      <c r="AM84" s="74"/>
      <c r="AN84" s="74"/>
      <c r="AO84" s="74"/>
      <c r="AP84" s="74"/>
      <c r="AQ84" s="74"/>
      <c r="AR84" s="74"/>
      <c r="AS84" s="74"/>
      <c r="AT84" s="114"/>
      <c r="AU84" s="114"/>
      <c r="AV84" s="114"/>
      <c r="AW84" s="114"/>
      <c r="AX84" s="114"/>
    </row>
    <row r="85" spans="2:50" ht="13" thickBot="1" x14ac:dyDescent="0.3">
      <c r="B85" s="73" t="s">
        <v>148</v>
      </c>
      <c r="C85" s="71">
        <v>1542</v>
      </c>
      <c r="D85" s="72">
        <v>1489</v>
      </c>
      <c r="E85" s="72">
        <v>1435</v>
      </c>
      <c r="F85" s="72">
        <v>1381</v>
      </c>
      <c r="G85" s="72">
        <v>1332</v>
      </c>
      <c r="H85" s="72">
        <v>1278</v>
      </c>
      <c r="I85" s="72">
        <v>1225</v>
      </c>
      <c r="J85" s="72">
        <v>1171</v>
      </c>
      <c r="K85" s="72">
        <v>1118</v>
      </c>
      <c r="L85" s="72">
        <v>1064</v>
      </c>
      <c r="M85" s="72">
        <v>1010</v>
      </c>
      <c r="N85" s="72">
        <v>957</v>
      </c>
      <c r="O85" s="72">
        <v>903</v>
      </c>
      <c r="P85" s="72">
        <v>851</v>
      </c>
      <c r="Q85" s="72">
        <v>796</v>
      </c>
      <c r="R85" s="72">
        <v>742</v>
      </c>
      <c r="S85" s="72">
        <v>693</v>
      </c>
      <c r="T85" s="72">
        <v>639</v>
      </c>
      <c r="U85" s="72">
        <v>586</v>
      </c>
      <c r="V85" s="72">
        <v>532</v>
      </c>
      <c r="W85" s="72">
        <v>480</v>
      </c>
      <c r="X85" s="72">
        <v>425</v>
      </c>
      <c r="Y85" s="72">
        <v>371</v>
      </c>
      <c r="Z85" s="72">
        <v>319</v>
      </c>
      <c r="AA85" s="72">
        <v>264</v>
      </c>
      <c r="AB85" s="72">
        <v>212</v>
      </c>
      <c r="AC85" s="72">
        <v>158</v>
      </c>
      <c r="AD85" s="72">
        <v>103</v>
      </c>
      <c r="AE85" s="72">
        <v>54</v>
      </c>
      <c r="AF85" s="74"/>
      <c r="AG85" s="74"/>
      <c r="AH85" s="74"/>
      <c r="AI85" s="74"/>
      <c r="AJ85" s="74"/>
      <c r="AK85" s="74"/>
      <c r="AL85" s="74"/>
      <c r="AM85" s="74"/>
      <c r="AN85" s="74"/>
      <c r="AO85" s="74"/>
      <c r="AP85" s="74"/>
      <c r="AQ85" s="74"/>
      <c r="AR85" s="74"/>
      <c r="AS85" s="74"/>
      <c r="AT85" s="114"/>
      <c r="AU85" s="114"/>
      <c r="AV85" s="114"/>
      <c r="AW85" s="114"/>
      <c r="AX85" s="114"/>
    </row>
    <row r="86" spans="2:50" ht="13" thickBot="1" x14ac:dyDescent="0.3">
      <c r="B86" s="73" t="s">
        <v>149</v>
      </c>
      <c r="C86" s="71">
        <v>1489</v>
      </c>
      <c r="D86" s="72">
        <v>1435</v>
      </c>
      <c r="E86" s="72">
        <v>1381</v>
      </c>
      <c r="F86" s="72">
        <v>1332</v>
      </c>
      <c r="G86" s="72">
        <v>1278</v>
      </c>
      <c r="H86" s="72">
        <v>1225</v>
      </c>
      <c r="I86" s="72">
        <v>1171</v>
      </c>
      <c r="J86" s="72">
        <v>1118</v>
      </c>
      <c r="K86" s="72">
        <v>1064</v>
      </c>
      <c r="L86" s="72">
        <v>1010</v>
      </c>
      <c r="M86" s="72">
        <v>957</v>
      </c>
      <c r="N86" s="72">
        <v>903</v>
      </c>
      <c r="O86" s="72">
        <v>851</v>
      </c>
      <c r="P86" s="72">
        <v>796</v>
      </c>
      <c r="Q86" s="72">
        <v>742</v>
      </c>
      <c r="R86" s="72">
        <v>693</v>
      </c>
      <c r="S86" s="72">
        <v>639</v>
      </c>
      <c r="T86" s="72">
        <v>586</v>
      </c>
      <c r="U86" s="72">
        <v>532</v>
      </c>
      <c r="V86" s="72">
        <v>480</v>
      </c>
      <c r="W86" s="72">
        <v>425</v>
      </c>
      <c r="X86" s="72">
        <v>371</v>
      </c>
      <c r="Y86" s="72">
        <v>319</v>
      </c>
      <c r="Z86" s="72">
        <v>264</v>
      </c>
      <c r="AA86" s="72">
        <v>212</v>
      </c>
      <c r="AB86" s="72">
        <v>158</v>
      </c>
      <c r="AC86" s="72">
        <v>103</v>
      </c>
      <c r="AD86" s="72">
        <v>54</v>
      </c>
      <c r="AE86" s="74"/>
      <c r="AF86" s="74"/>
      <c r="AG86" s="74"/>
      <c r="AH86" s="74"/>
      <c r="AI86" s="74"/>
      <c r="AJ86" s="74"/>
      <c r="AK86" s="74"/>
      <c r="AL86" s="74"/>
      <c r="AM86" s="74"/>
      <c r="AN86" s="74"/>
      <c r="AO86" s="74"/>
      <c r="AP86" s="74"/>
      <c r="AQ86" s="74"/>
      <c r="AR86" s="74"/>
      <c r="AS86" s="74"/>
      <c r="AT86" s="114"/>
      <c r="AU86" s="114"/>
      <c r="AV86" s="114"/>
      <c r="AW86" s="114"/>
      <c r="AX86" s="114"/>
    </row>
    <row r="87" spans="2:50" ht="13" thickBot="1" x14ac:dyDescent="0.3">
      <c r="B87" s="73" t="s">
        <v>150</v>
      </c>
      <c r="C87" s="71">
        <v>1435</v>
      </c>
      <c r="D87" s="72">
        <v>1381</v>
      </c>
      <c r="E87" s="72">
        <v>1332</v>
      </c>
      <c r="F87" s="72">
        <v>1278</v>
      </c>
      <c r="G87" s="72">
        <v>1225</v>
      </c>
      <c r="H87" s="72">
        <v>1171</v>
      </c>
      <c r="I87" s="72">
        <v>1118</v>
      </c>
      <c r="J87" s="72">
        <v>1064</v>
      </c>
      <c r="K87" s="72">
        <v>1010</v>
      </c>
      <c r="L87" s="72">
        <v>957</v>
      </c>
      <c r="M87" s="72">
        <v>903</v>
      </c>
      <c r="N87" s="72">
        <v>851</v>
      </c>
      <c r="O87" s="72">
        <v>796</v>
      </c>
      <c r="P87" s="72">
        <v>742</v>
      </c>
      <c r="Q87" s="72">
        <v>693</v>
      </c>
      <c r="R87" s="72">
        <v>639</v>
      </c>
      <c r="S87" s="72">
        <v>586</v>
      </c>
      <c r="T87" s="72">
        <v>532</v>
      </c>
      <c r="U87" s="72">
        <v>480</v>
      </c>
      <c r="V87" s="72">
        <v>425</v>
      </c>
      <c r="W87" s="72">
        <v>371</v>
      </c>
      <c r="X87" s="72">
        <v>319</v>
      </c>
      <c r="Y87" s="72">
        <v>264</v>
      </c>
      <c r="Z87" s="72">
        <v>212</v>
      </c>
      <c r="AA87" s="72">
        <v>158</v>
      </c>
      <c r="AB87" s="72">
        <v>103</v>
      </c>
      <c r="AC87" s="72">
        <v>54</v>
      </c>
      <c r="AD87" s="74"/>
      <c r="AE87" s="74"/>
      <c r="AF87" s="74"/>
      <c r="AG87" s="74"/>
      <c r="AH87" s="74"/>
      <c r="AI87" s="74"/>
      <c r="AJ87" s="74"/>
      <c r="AK87" s="74"/>
      <c r="AL87" s="74"/>
      <c r="AM87" s="74"/>
      <c r="AN87" s="74"/>
      <c r="AO87" s="74"/>
      <c r="AP87" s="74"/>
      <c r="AQ87" s="74"/>
      <c r="AR87" s="74"/>
      <c r="AS87" s="74"/>
      <c r="AT87" s="114"/>
      <c r="AU87" s="114"/>
      <c r="AV87" s="114"/>
      <c r="AW87" s="114"/>
      <c r="AX87" s="114"/>
    </row>
    <row r="88" spans="2:50" ht="13" thickBot="1" x14ac:dyDescent="0.3">
      <c r="B88" s="73" t="s">
        <v>151</v>
      </c>
      <c r="C88" s="71">
        <v>1381</v>
      </c>
      <c r="D88" s="72">
        <v>1332</v>
      </c>
      <c r="E88" s="72">
        <v>1278</v>
      </c>
      <c r="F88" s="72">
        <v>1225</v>
      </c>
      <c r="G88" s="72">
        <v>1171</v>
      </c>
      <c r="H88" s="72">
        <v>1118</v>
      </c>
      <c r="I88" s="72">
        <v>1064</v>
      </c>
      <c r="J88" s="72">
        <v>1010</v>
      </c>
      <c r="K88" s="72">
        <v>957</v>
      </c>
      <c r="L88" s="72">
        <v>903</v>
      </c>
      <c r="M88" s="72">
        <v>851</v>
      </c>
      <c r="N88" s="72">
        <v>796</v>
      </c>
      <c r="O88" s="72">
        <v>742</v>
      </c>
      <c r="P88" s="72">
        <v>693</v>
      </c>
      <c r="Q88" s="72">
        <v>639</v>
      </c>
      <c r="R88" s="72">
        <v>586</v>
      </c>
      <c r="S88" s="72">
        <v>532</v>
      </c>
      <c r="T88" s="72">
        <v>480</v>
      </c>
      <c r="U88" s="72">
        <v>425</v>
      </c>
      <c r="V88" s="72">
        <v>371</v>
      </c>
      <c r="W88" s="72">
        <v>319</v>
      </c>
      <c r="X88" s="72">
        <v>264</v>
      </c>
      <c r="Y88" s="72">
        <v>212</v>
      </c>
      <c r="Z88" s="72">
        <v>158</v>
      </c>
      <c r="AA88" s="72">
        <v>103</v>
      </c>
      <c r="AB88" s="72">
        <v>54</v>
      </c>
      <c r="AC88" s="74"/>
      <c r="AD88" s="74"/>
      <c r="AE88" s="74"/>
      <c r="AF88" s="74"/>
      <c r="AG88" s="74"/>
      <c r="AH88" s="74"/>
      <c r="AI88" s="74"/>
      <c r="AJ88" s="74"/>
      <c r="AK88" s="74"/>
      <c r="AL88" s="74"/>
      <c r="AM88" s="74"/>
      <c r="AN88" s="74"/>
      <c r="AO88" s="74"/>
      <c r="AP88" s="74"/>
      <c r="AQ88" s="74"/>
      <c r="AR88" s="74"/>
      <c r="AS88" s="74"/>
      <c r="AT88" s="114"/>
      <c r="AU88" s="114"/>
      <c r="AV88" s="114"/>
      <c r="AW88" s="114"/>
      <c r="AX88" s="114"/>
    </row>
    <row r="89" spans="2:50" ht="13" thickBot="1" x14ac:dyDescent="0.3">
      <c r="B89" s="73" t="s">
        <v>152</v>
      </c>
      <c r="C89" s="71">
        <v>1332</v>
      </c>
      <c r="D89" s="72">
        <v>1278</v>
      </c>
      <c r="E89" s="72">
        <v>1225</v>
      </c>
      <c r="F89" s="72">
        <v>1171</v>
      </c>
      <c r="G89" s="72">
        <v>1118</v>
      </c>
      <c r="H89" s="72">
        <v>1064</v>
      </c>
      <c r="I89" s="72">
        <v>1010</v>
      </c>
      <c r="J89" s="72">
        <v>957</v>
      </c>
      <c r="K89" s="72">
        <v>903</v>
      </c>
      <c r="L89" s="72">
        <v>851</v>
      </c>
      <c r="M89" s="72">
        <v>796</v>
      </c>
      <c r="N89" s="72">
        <v>742</v>
      </c>
      <c r="O89" s="72">
        <v>693</v>
      </c>
      <c r="P89" s="72">
        <v>639</v>
      </c>
      <c r="Q89" s="72">
        <v>586</v>
      </c>
      <c r="R89" s="72">
        <v>532</v>
      </c>
      <c r="S89" s="72">
        <v>480</v>
      </c>
      <c r="T89" s="72">
        <v>425</v>
      </c>
      <c r="U89" s="72">
        <v>371</v>
      </c>
      <c r="V89" s="72">
        <v>319</v>
      </c>
      <c r="W89" s="72">
        <v>264</v>
      </c>
      <c r="X89" s="72">
        <v>212</v>
      </c>
      <c r="Y89" s="72">
        <v>158</v>
      </c>
      <c r="Z89" s="72">
        <v>103</v>
      </c>
      <c r="AA89" s="72">
        <v>54</v>
      </c>
      <c r="AB89" s="74"/>
      <c r="AC89" s="74"/>
      <c r="AD89" s="74"/>
      <c r="AE89" s="74"/>
      <c r="AF89" s="74"/>
      <c r="AG89" s="74"/>
      <c r="AH89" s="74"/>
      <c r="AI89" s="74"/>
      <c r="AJ89" s="74"/>
      <c r="AK89" s="74"/>
      <c r="AL89" s="74"/>
      <c r="AM89" s="74"/>
      <c r="AN89" s="74"/>
      <c r="AO89" s="74"/>
      <c r="AP89" s="74"/>
      <c r="AQ89" s="74"/>
      <c r="AR89" s="74"/>
      <c r="AS89" s="74"/>
      <c r="AT89" s="114"/>
      <c r="AU89" s="114"/>
      <c r="AV89" s="114"/>
      <c r="AW89" s="114"/>
      <c r="AX89" s="114"/>
    </row>
    <row r="90" spans="2:50" ht="13" thickBot="1" x14ac:dyDescent="0.3">
      <c r="B90" s="73" t="s">
        <v>153</v>
      </c>
      <c r="C90" s="71">
        <v>1278</v>
      </c>
      <c r="D90" s="72">
        <v>1225</v>
      </c>
      <c r="E90" s="72">
        <v>1171</v>
      </c>
      <c r="F90" s="72">
        <v>1118</v>
      </c>
      <c r="G90" s="72">
        <v>1064</v>
      </c>
      <c r="H90" s="72">
        <v>1010</v>
      </c>
      <c r="I90" s="72">
        <v>957</v>
      </c>
      <c r="J90" s="72">
        <v>903</v>
      </c>
      <c r="K90" s="72">
        <v>851</v>
      </c>
      <c r="L90" s="72">
        <v>796</v>
      </c>
      <c r="M90" s="72">
        <v>742</v>
      </c>
      <c r="N90" s="72">
        <v>693</v>
      </c>
      <c r="O90" s="72">
        <v>639</v>
      </c>
      <c r="P90" s="72">
        <v>586</v>
      </c>
      <c r="Q90" s="72">
        <v>532</v>
      </c>
      <c r="R90" s="72">
        <v>480</v>
      </c>
      <c r="S90" s="72">
        <v>425</v>
      </c>
      <c r="T90" s="72">
        <v>371</v>
      </c>
      <c r="U90" s="72">
        <v>319</v>
      </c>
      <c r="V90" s="72">
        <v>264</v>
      </c>
      <c r="W90" s="72">
        <v>212</v>
      </c>
      <c r="X90" s="72">
        <v>158</v>
      </c>
      <c r="Y90" s="72">
        <v>103</v>
      </c>
      <c r="Z90" s="72">
        <v>54</v>
      </c>
      <c r="AA90" s="74"/>
      <c r="AB90" s="74"/>
      <c r="AC90" s="74"/>
      <c r="AD90" s="74"/>
      <c r="AE90" s="74"/>
      <c r="AF90" s="74"/>
      <c r="AG90" s="74"/>
      <c r="AH90" s="74"/>
      <c r="AI90" s="74"/>
      <c r="AJ90" s="74"/>
      <c r="AK90" s="74"/>
      <c r="AL90" s="74"/>
      <c r="AM90" s="74"/>
      <c r="AN90" s="74"/>
      <c r="AO90" s="74"/>
      <c r="AP90" s="74"/>
      <c r="AQ90" s="74"/>
      <c r="AR90" s="74"/>
      <c r="AS90" s="74"/>
      <c r="AT90" s="114"/>
      <c r="AU90" s="114"/>
      <c r="AV90" s="114"/>
      <c r="AW90" s="114"/>
      <c r="AX90" s="114"/>
    </row>
    <row r="91" spans="2:50" ht="13" thickBot="1" x14ac:dyDescent="0.3">
      <c r="B91" s="73" t="s">
        <v>154</v>
      </c>
      <c r="C91" s="71">
        <v>1225</v>
      </c>
      <c r="D91" s="72">
        <v>1171</v>
      </c>
      <c r="E91" s="72">
        <v>1118</v>
      </c>
      <c r="F91" s="72">
        <v>1064</v>
      </c>
      <c r="G91" s="72">
        <v>1010</v>
      </c>
      <c r="H91" s="72">
        <v>957</v>
      </c>
      <c r="I91" s="72">
        <v>903</v>
      </c>
      <c r="J91" s="72">
        <v>851</v>
      </c>
      <c r="K91" s="72">
        <v>796</v>
      </c>
      <c r="L91" s="72">
        <v>742</v>
      </c>
      <c r="M91" s="72">
        <v>693</v>
      </c>
      <c r="N91" s="72">
        <v>639</v>
      </c>
      <c r="O91" s="72">
        <v>586</v>
      </c>
      <c r="P91" s="72">
        <v>532</v>
      </c>
      <c r="Q91" s="72">
        <v>480</v>
      </c>
      <c r="R91" s="72">
        <v>425</v>
      </c>
      <c r="S91" s="72">
        <v>371</v>
      </c>
      <c r="T91" s="72">
        <v>319</v>
      </c>
      <c r="U91" s="72">
        <v>264</v>
      </c>
      <c r="V91" s="72">
        <v>212</v>
      </c>
      <c r="W91" s="72">
        <v>158</v>
      </c>
      <c r="X91" s="72">
        <v>103</v>
      </c>
      <c r="Y91" s="72">
        <v>54</v>
      </c>
      <c r="Z91" s="74"/>
      <c r="AA91" s="74"/>
      <c r="AB91" s="74"/>
      <c r="AC91" s="74"/>
      <c r="AD91" s="74"/>
      <c r="AE91" s="74"/>
      <c r="AF91" s="74"/>
      <c r="AG91" s="74"/>
      <c r="AH91" s="74"/>
      <c r="AI91" s="74"/>
      <c r="AJ91" s="74"/>
      <c r="AK91" s="74"/>
      <c r="AL91" s="74"/>
      <c r="AM91" s="74"/>
      <c r="AN91" s="74"/>
      <c r="AO91" s="74"/>
      <c r="AP91" s="74"/>
      <c r="AQ91" s="74"/>
      <c r="AR91" s="74"/>
      <c r="AS91" s="74"/>
      <c r="AT91" s="114"/>
      <c r="AU91" s="114"/>
      <c r="AV91" s="114"/>
      <c r="AW91" s="114"/>
      <c r="AX91" s="114"/>
    </row>
    <row r="92" spans="2:50" ht="13" thickBot="1" x14ac:dyDescent="0.3">
      <c r="B92" s="73" t="s">
        <v>155</v>
      </c>
      <c r="C92" s="71">
        <v>1171</v>
      </c>
      <c r="D92" s="72">
        <v>1118</v>
      </c>
      <c r="E92" s="72">
        <v>1064</v>
      </c>
      <c r="F92" s="72">
        <v>1010</v>
      </c>
      <c r="G92" s="72">
        <v>957</v>
      </c>
      <c r="H92" s="72">
        <v>903</v>
      </c>
      <c r="I92" s="72">
        <v>851</v>
      </c>
      <c r="J92" s="72">
        <v>796</v>
      </c>
      <c r="K92" s="72">
        <v>742</v>
      </c>
      <c r="L92" s="72">
        <v>693</v>
      </c>
      <c r="M92" s="72">
        <v>639</v>
      </c>
      <c r="N92" s="72">
        <v>586</v>
      </c>
      <c r="O92" s="72">
        <v>532</v>
      </c>
      <c r="P92" s="72">
        <v>480</v>
      </c>
      <c r="Q92" s="72">
        <v>425</v>
      </c>
      <c r="R92" s="72">
        <v>371</v>
      </c>
      <c r="S92" s="72">
        <v>319</v>
      </c>
      <c r="T92" s="72">
        <v>264</v>
      </c>
      <c r="U92" s="72">
        <v>212</v>
      </c>
      <c r="V92" s="72">
        <v>158</v>
      </c>
      <c r="W92" s="72">
        <v>103</v>
      </c>
      <c r="X92" s="72">
        <v>54</v>
      </c>
      <c r="Y92" s="74"/>
      <c r="Z92" s="74"/>
      <c r="AA92" s="74"/>
      <c r="AB92" s="74"/>
      <c r="AC92" s="74"/>
      <c r="AD92" s="74"/>
      <c r="AE92" s="74"/>
      <c r="AF92" s="74"/>
      <c r="AG92" s="74"/>
      <c r="AH92" s="74"/>
      <c r="AI92" s="74"/>
      <c r="AJ92" s="74"/>
      <c r="AK92" s="74"/>
      <c r="AL92" s="74"/>
      <c r="AM92" s="74"/>
      <c r="AN92" s="74"/>
      <c r="AO92" s="74"/>
      <c r="AP92" s="74"/>
      <c r="AQ92" s="74"/>
      <c r="AR92" s="74"/>
      <c r="AS92" s="74"/>
      <c r="AT92" s="114"/>
      <c r="AU92" s="114"/>
      <c r="AV92" s="114"/>
      <c r="AW92" s="114"/>
      <c r="AX92" s="114"/>
    </row>
    <row r="93" spans="2:50" ht="13" thickBot="1" x14ac:dyDescent="0.3">
      <c r="B93" s="73" t="s">
        <v>156</v>
      </c>
      <c r="C93" s="71">
        <v>1118</v>
      </c>
      <c r="D93" s="72">
        <v>1064</v>
      </c>
      <c r="E93" s="72">
        <v>1010</v>
      </c>
      <c r="F93" s="72">
        <v>957</v>
      </c>
      <c r="G93" s="72">
        <v>903</v>
      </c>
      <c r="H93" s="72">
        <v>851</v>
      </c>
      <c r="I93" s="72">
        <v>796</v>
      </c>
      <c r="J93" s="72">
        <v>742</v>
      </c>
      <c r="K93" s="72">
        <v>693</v>
      </c>
      <c r="L93" s="72">
        <v>639</v>
      </c>
      <c r="M93" s="72">
        <v>586</v>
      </c>
      <c r="N93" s="72">
        <v>532</v>
      </c>
      <c r="O93" s="72">
        <v>480</v>
      </c>
      <c r="P93" s="72">
        <v>425</v>
      </c>
      <c r="Q93" s="72">
        <v>371</v>
      </c>
      <c r="R93" s="72">
        <v>319</v>
      </c>
      <c r="S93" s="72">
        <v>264</v>
      </c>
      <c r="T93" s="72">
        <v>212</v>
      </c>
      <c r="U93" s="72">
        <v>158</v>
      </c>
      <c r="V93" s="72">
        <v>103</v>
      </c>
      <c r="W93" s="72">
        <v>54</v>
      </c>
      <c r="X93" s="74"/>
      <c r="Y93" s="74"/>
      <c r="Z93" s="74"/>
      <c r="AA93" s="74"/>
      <c r="AB93" s="74"/>
      <c r="AC93" s="74"/>
      <c r="AD93" s="74"/>
      <c r="AE93" s="74"/>
      <c r="AF93" s="74"/>
      <c r="AG93" s="74"/>
      <c r="AH93" s="74"/>
      <c r="AI93" s="74"/>
      <c r="AJ93" s="74"/>
      <c r="AK93" s="74"/>
      <c r="AL93" s="74"/>
      <c r="AM93" s="74"/>
      <c r="AN93" s="74"/>
      <c r="AO93" s="74"/>
      <c r="AP93" s="74"/>
      <c r="AQ93" s="74"/>
      <c r="AR93" s="74"/>
      <c r="AS93" s="74"/>
      <c r="AT93" s="114"/>
      <c r="AU93" s="114"/>
      <c r="AV93" s="114"/>
      <c r="AW93" s="114"/>
      <c r="AX93" s="114"/>
    </row>
    <row r="94" spans="2:50" ht="13" thickBot="1" x14ac:dyDescent="0.3">
      <c r="B94" s="73" t="s">
        <v>157</v>
      </c>
      <c r="C94" s="71">
        <v>1064</v>
      </c>
      <c r="D94" s="72">
        <v>1010</v>
      </c>
      <c r="E94" s="72">
        <v>957</v>
      </c>
      <c r="F94" s="72">
        <v>903</v>
      </c>
      <c r="G94" s="72">
        <v>851</v>
      </c>
      <c r="H94" s="72">
        <v>796</v>
      </c>
      <c r="I94" s="72">
        <v>742</v>
      </c>
      <c r="J94" s="72">
        <v>693</v>
      </c>
      <c r="K94" s="72">
        <v>639</v>
      </c>
      <c r="L94" s="72">
        <v>586</v>
      </c>
      <c r="M94" s="72">
        <v>532</v>
      </c>
      <c r="N94" s="72">
        <v>480</v>
      </c>
      <c r="O94" s="72">
        <v>425</v>
      </c>
      <c r="P94" s="72">
        <v>371</v>
      </c>
      <c r="Q94" s="72">
        <v>319</v>
      </c>
      <c r="R94" s="72">
        <v>264</v>
      </c>
      <c r="S94" s="72">
        <v>212</v>
      </c>
      <c r="T94" s="72">
        <v>158</v>
      </c>
      <c r="U94" s="72">
        <v>103</v>
      </c>
      <c r="V94" s="72">
        <v>54</v>
      </c>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114"/>
      <c r="AU94" s="114"/>
      <c r="AV94" s="114"/>
      <c r="AW94" s="114"/>
      <c r="AX94" s="114"/>
    </row>
    <row r="95" spans="2:50" ht="13" thickBot="1" x14ac:dyDescent="0.3">
      <c r="B95" s="73" t="s">
        <v>158</v>
      </c>
      <c r="C95" s="71">
        <v>1010</v>
      </c>
      <c r="D95" s="72">
        <v>957</v>
      </c>
      <c r="E95" s="72">
        <v>903</v>
      </c>
      <c r="F95" s="72">
        <v>851</v>
      </c>
      <c r="G95" s="72">
        <v>796</v>
      </c>
      <c r="H95" s="72">
        <v>742</v>
      </c>
      <c r="I95" s="72">
        <v>693</v>
      </c>
      <c r="J95" s="72">
        <v>639</v>
      </c>
      <c r="K95" s="72">
        <v>586</v>
      </c>
      <c r="L95" s="72">
        <v>532</v>
      </c>
      <c r="M95" s="72">
        <v>480</v>
      </c>
      <c r="N95" s="72">
        <v>425</v>
      </c>
      <c r="O95" s="72">
        <v>371</v>
      </c>
      <c r="P95" s="72">
        <v>319</v>
      </c>
      <c r="Q95" s="72">
        <v>264</v>
      </c>
      <c r="R95" s="72">
        <v>212</v>
      </c>
      <c r="S95" s="72">
        <v>158</v>
      </c>
      <c r="T95" s="72">
        <v>103</v>
      </c>
      <c r="U95" s="72">
        <v>54</v>
      </c>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114"/>
      <c r="AU95" s="114"/>
      <c r="AV95" s="114"/>
      <c r="AW95" s="114"/>
      <c r="AX95" s="114"/>
    </row>
    <row r="96" spans="2:50" ht="13" thickBot="1" x14ac:dyDescent="0.3">
      <c r="B96" s="75" t="s">
        <v>159</v>
      </c>
      <c r="C96" s="72">
        <v>957</v>
      </c>
      <c r="D96" s="72">
        <v>903</v>
      </c>
      <c r="E96" s="72">
        <v>851</v>
      </c>
      <c r="F96" s="72">
        <v>796</v>
      </c>
      <c r="G96" s="72">
        <v>742</v>
      </c>
      <c r="H96" s="72">
        <v>693</v>
      </c>
      <c r="I96" s="72">
        <v>639</v>
      </c>
      <c r="J96" s="72">
        <v>586</v>
      </c>
      <c r="K96" s="72">
        <v>532</v>
      </c>
      <c r="L96" s="72">
        <v>480</v>
      </c>
      <c r="M96" s="72">
        <v>425</v>
      </c>
      <c r="N96" s="72">
        <v>371</v>
      </c>
      <c r="O96" s="72">
        <v>319</v>
      </c>
      <c r="P96" s="72">
        <v>264</v>
      </c>
      <c r="Q96" s="72">
        <v>212</v>
      </c>
      <c r="R96" s="72">
        <v>158</v>
      </c>
      <c r="S96" s="72">
        <v>103</v>
      </c>
      <c r="T96" s="72">
        <v>54</v>
      </c>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114"/>
      <c r="AU96" s="114"/>
      <c r="AV96" s="114"/>
      <c r="AW96" s="114"/>
      <c r="AX96" s="114"/>
    </row>
    <row r="97" spans="2:50" ht="13" thickBot="1" x14ac:dyDescent="0.3">
      <c r="B97" s="75" t="s">
        <v>160</v>
      </c>
      <c r="C97" s="72">
        <v>903</v>
      </c>
      <c r="D97" s="72">
        <v>851</v>
      </c>
      <c r="E97" s="72">
        <v>796</v>
      </c>
      <c r="F97" s="72">
        <v>742</v>
      </c>
      <c r="G97" s="72">
        <v>693</v>
      </c>
      <c r="H97" s="72">
        <v>639</v>
      </c>
      <c r="I97" s="72">
        <v>586</v>
      </c>
      <c r="J97" s="72">
        <v>532</v>
      </c>
      <c r="K97" s="72">
        <v>480</v>
      </c>
      <c r="L97" s="72">
        <v>425</v>
      </c>
      <c r="M97" s="72">
        <v>371</v>
      </c>
      <c r="N97" s="72">
        <v>319</v>
      </c>
      <c r="O97" s="72">
        <v>264</v>
      </c>
      <c r="P97" s="72">
        <v>212</v>
      </c>
      <c r="Q97" s="72">
        <v>158</v>
      </c>
      <c r="R97" s="72">
        <v>103</v>
      </c>
      <c r="S97" s="72">
        <v>54</v>
      </c>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114"/>
      <c r="AU97" s="114"/>
      <c r="AV97" s="114"/>
      <c r="AW97" s="114"/>
      <c r="AX97" s="114"/>
    </row>
    <row r="98" spans="2:50" ht="13" thickBot="1" x14ac:dyDescent="0.3">
      <c r="B98" s="75" t="s">
        <v>161</v>
      </c>
      <c r="C98" s="72">
        <v>851</v>
      </c>
      <c r="D98" s="72">
        <v>796</v>
      </c>
      <c r="E98" s="72">
        <v>742</v>
      </c>
      <c r="F98" s="72">
        <v>693</v>
      </c>
      <c r="G98" s="72">
        <v>639</v>
      </c>
      <c r="H98" s="72">
        <v>586</v>
      </c>
      <c r="I98" s="72">
        <v>532</v>
      </c>
      <c r="J98" s="72">
        <v>480</v>
      </c>
      <c r="K98" s="72">
        <v>425</v>
      </c>
      <c r="L98" s="72">
        <v>371</v>
      </c>
      <c r="M98" s="72">
        <v>319</v>
      </c>
      <c r="N98" s="72">
        <v>264</v>
      </c>
      <c r="O98" s="72">
        <v>212</v>
      </c>
      <c r="P98" s="72">
        <v>158</v>
      </c>
      <c r="Q98" s="72">
        <v>103</v>
      </c>
      <c r="R98" s="72">
        <v>54</v>
      </c>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114"/>
      <c r="AU98" s="114"/>
      <c r="AV98" s="114"/>
      <c r="AW98" s="114"/>
      <c r="AX98" s="114"/>
    </row>
    <row r="99" spans="2:50" ht="13" thickBot="1" x14ac:dyDescent="0.3">
      <c r="B99" s="75" t="s">
        <v>162</v>
      </c>
      <c r="C99" s="72">
        <v>796</v>
      </c>
      <c r="D99" s="72">
        <v>742</v>
      </c>
      <c r="E99" s="72">
        <v>693</v>
      </c>
      <c r="F99" s="72">
        <v>639</v>
      </c>
      <c r="G99" s="72">
        <v>586</v>
      </c>
      <c r="H99" s="72">
        <v>532</v>
      </c>
      <c r="I99" s="72">
        <v>480</v>
      </c>
      <c r="J99" s="72">
        <v>425</v>
      </c>
      <c r="K99" s="72">
        <v>371</v>
      </c>
      <c r="L99" s="72">
        <v>319</v>
      </c>
      <c r="M99" s="72">
        <v>264</v>
      </c>
      <c r="N99" s="72">
        <v>212</v>
      </c>
      <c r="O99" s="72">
        <v>158</v>
      </c>
      <c r="P99" s="72">
        <v>103</v>
      </c>
      <c r="Q99" s="72">
        <v>54</v>
      </c>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114"/>
      <c r="AU99" s="114"/>
      <c r="AV99" s="114"/>
      <c r="AW99" s="114"/>
      <c r="AX99" s="114"/>
    </row>
    <row r="100" spans="2:50" ht="13" thickBot="1" x14ac:dyDescent="0.3">
      <c r="B100" s="75" t="s">
        <v>163</v>
      </c>
      <c r="C100" s="72">
        <v>742</v>
      </c>
      <c r="D100" s="72">
        <v>693</v>
      </c>
      <c r="E100" s="72">
        <v>639</v>
      </c>
      <c r="F100" s="72">
        <v>586</v>
      </c>
      <c r="G100" s="72">
        <v>532</v>
      </c>
      <c r="H100" s="72">
        <v>480</v>
      </c>
      <c r="I100" s="72">
        <v>425</v>
      </c>
      <c r="J100" s="72">
        <v>371</v>
      </c>
      <c r="K100" s="72">
        <v>319</v>
      </c>
      <c r="L100" s="72">
        <v>264</v>
      </c>
      <c r="M100" s="72">
        <v>212</v>
      </c>
      <c r="N100" s="72">
        <v>158</v>
      </c>
      <c r="O100" s="72">
        <v>103</v>
      </c>
      <c r="P100" s="72">
        <v>54</v>
      </c>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114"/>
      <c r="AU100" s="114"/>
      <c r="AV100" s="114"/>
      <c r="AW100" s="114"/>
      <c r="AX100" s="114"/>
    </row>
    <row r="101" spans="2:50" ht="13" thickBot="1" x14ac:dyDescent="0.3">
      <c r="B101" s="76" t="s">
        <v>164</v>
      </c>
      <c r="C101" s="72">
        <v>693</v>
      </c>
      <c r="D101" s="72">
        <v>639</v>
      </c>
      <c r="E101" s="72">
        <v>586</v>
      </c>
      <c r="F101" s="72">
        <v>532</v>
      </c>
      <c r="G101" s="72">
        <v>480</v>
      </c>
      <c r="H101" s="72">
        <v>425</v>
      </c>
      <c r="I101" s="72">
        <v>371</v>
      </c>
      <c r="J101" s="72">
        <v>319</v>
      </c>
      <c r="K101" s="72">
        <v>264</v>
      </c>
      <c r="L101" s="72">
        <v>212</v>
      </c>
      <c r="M101" s="72">
        <v>158</v>
      </c>
      <c r="N101" s="72">
        <v>103</v>
      </c>
      <c r="O101" s="72">
        <v>54</v>
      </c>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114"/>
      <c r="AU101" s="114"/>
      <c r="AV101" s="114"/>
      <c r="AW101" s="114"/>
      <c r="AX101" s="114"/>
    </row>
    <row r="102" spans="2:50" ht="13" thickBot="1" x14ac:dyDescent="0.3">
      <c r="B102" s="77" t="s">
        <v>165</v>
      </c>
      <c r="C102" s="72">
        <v>639</v>
      </c>
      <c r="D102" s="72">
        <v>586</v>
      </c>
      <c r="E102" s="72">
        <v>532</v>
      </c>
      <c r="F102" s="72">
        <v>480</v>
      </c>
      <c r="G102" s="72">
        <v>425</v>
      </c>
      <c r="H102" s="72">
        <v>371</v>
      </c>
      <c r="I102" s="72">
        <v>319</v>
      </c>
      <c r="J102" s="72">
        <v>264</v>
      </c>
      <c r="K102" s="72">
        <v>212</v>
      </c>
      <c r="L102" s="72">
        <v>158</v>
      </c>
      <c r="M102" s="72">
        <v>103</v>
      </c>
      <c r="N102" s="72">
        <v>54</v>
      </c>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114"/>
      <c r="AU102" s="114"/>
      <c r="AV102" s="114"/>
      <c r="AW102" s="114"/>
      <c r="AX102" s="114"/>
    </row>
    <row r="103" spans="2:50" ht="13" thickBot="1" x14ac:dyDescent="0.3">
      <c r="B103" s="75" t="s">
        <v>166</v>
      </c>
      <c r="C103" s="72">
        <v>586</v>
      </c>
      <c r="D103" s="72">
        <v>532</v>
      </c>
      <c r="E103" s="72">
        <v>480</v>
      </c>
      <c r="F103" s="72">
        <v>425</v>
      </c>
      <c r="G103" s="72">
        <v>371</v>
      </c>
      <c r="H103" s="72">
        <v>319</v>
      </c>
      <c r="I103" s="72">
        <v>264</v>
      </c>
      <c r="J103" s="72">
        <v>212</v>
      </c>
      <c r="K103" s="72">
        <v>158</v>
      </c>
      <c r="L103" s="72">
        <v>103</v>
      </c>
      <c r="M103" s="72">
        <v>54</v>
      </c>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114"/>
      <c r="AU103" s="114"/>
      <c r="AV103" s="114"/>
      <c r="AW103" s="114"/>
      <c r="AX103" s="114"/>
    </row>
    <row r="104" spans="2:50" ht="13" thickBot="1" x14ac:dyDescent="0.3">
      <c r="B104" s="75" t="s">
        <v>167</v>
      </c>
      <c r="C104" s="72">
        <v>532</v>
      </c>
      <c r="D104" s="72">
        <v>480</v>
      </c>
      <c r="E104" s="72">
        <v>425</v>
      </c>
      <c r="F104" s="72">
        <v>371</v>
      </c>
      <c r="G104" s="72">
        <v>319</v>
      </c>
      <c r="H104" s="72">
        <v>264</v>
      </c>
      <c r="I104" s="72">
        <v>212</v>
      </c>
      <c r="J104" s="72">
        <v>158</v>
      </c>
      <c r="K104" s="72">
        <v>103</v>
      </c>
      <c r="L104" s="72">
        <v>54</v>
      </c>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114"/>
      <c r="AU104" s="114"/>
      <c r="AV104" s="114"/>
      <c r="AW104" s="114"/>
      <c r="AX104" s="114"/>
    </row>
    <row r="105" spans="2:50" ht="13" thickBot="1" x14ac:dyDescent="0.3">
      <c r="B105" s="75" t="s">
        <v>168</v>
      </c>
      <c r="C105" s="72">
        <v>480</v>
      </c>
      <c r="D105" s="72">
        <v>425</v>
      </c>
      <c r="E105" s="72">
        <v>371</v>
      </c>
      <c r="F105" s="72">
        <v>319</v>
      </c>
      <c r="G105" s="72">
        <v>264</v>
      </c>
      <c r="H105" s="72">
        <v>212</v>
      </c>
      <c r="I105" s="72">
        <v>158</v>
      </c>
      <c r="J105" s="72">
        <v>103</v>
      </c>
      <c r="K105" s="72">
        <v>54</v>
      </c>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114"/>
      <c r="AU105" s="114"/>
      <c r="AV105" s="114"/>
      <c r="AW105" s="114"/>
      <c r="AX105" s="114"/>
    </row>
    <row r="106" spans="2:50" ht="13" thickBot="1" x14ac:dyDescent="0.3">
      <c r="B106" s="75" t="s">
        <v>169</v>
      </c>
      <c r="C106" s="72">
        <v>425</v>
      </c>
      <c r="D106" s="72">
        <v>371</v>
      </c>
      <c r="E106" s="72">
        <v>319</v>
      </c>
      <c r="F106" s="72">
        <v>264</v>
      </c>
      <c r="G106" s="72">
        <v>212</v>
      </c>
      <c r="H106" s="72">
        <v>158</v>
      </c>
      <c r="I106" s="72">
        <v>103</v>
      </c>
      <c r="J106" s="72">
        <v>54</v>
      </c>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114"/>
      <c r="AU106" s="114"/>
      <c r="AV106" s="114"/>
      <c r="AW106" s="114"/>
      <c r="AX106" s="114"/>
    </row>
    <row r="107" spans="2:50" ht="13" thickBot="1" x14ac:dyDescent="0.3">
      <c r="B107" s="75" t="s">
        <v>170</v>
      </c>
      <c r="C107" s="72">
        <v>371</v>
      </c>
      <c r="D107" s="72">
        <v>319</v>
      </c>
      <c r="E107" s="72">
        <v>264</v>
      </c>
      <c r="F107" s="72">
        <v>212</v>
      </c>
      <c r="G107" s="72">
        <v>158</v>
      </c>
      <c r="H107" s="72">
        <v>103</v>
      </c>
      <c r="I107" s="72">
        <v>54</v>
      </c>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114"/>
      <c r="AU107" s="114"/>
      <c r="AV107" s="114"/>
      <c r="AW107" s="114"/>
      <c r="AX107" s="114"/>
    </row>
    <row r="108" spans="2:50" ht="13" thickBot="1" x14ac:dyDescent="0.3">
      <c r="B108" s="75" t="s">
        <v>171</v>
      </c>
      <c r="C108" s="72">
        <v>319</v>
      </c>
      <c r="D108" s="72">
        <v>264</v>
      </c>
      <c r="E108" s="72">
        <v>212</v>
      </c>
      <c r="F108" s="72">
        <v>158</v>
      </c>
      <c r="G108" s="72">
        <v>103</v>
      </c>
      <c r="H108" s="72">
        <v>54</v>
      </c>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114"/>
      <c r="AU108" s="114"/>
      <c r="AV108" s="114"/>
      <c r="AW108" s="114"/>
      <c r="AX108" s="114"/>
    </row>
    <row r="109" spans="2:50" ht="13" thickBot="1" x14ac:dyDescent="0.3">
      <c r="B109" s="75" t="s">
        <v>172</v>
      </c>
      <c r="C109" s="72">
        <v>264</v>
      </c>
      <c r="D109" s="72">
        <v>212</v>
      </c>
      <c r="E109" s="72">
        <v>158</v>
      </c>
      <c r="F109" s="72">
        <v>103</v>
      </c>
      <c r="G109" s="72">
        <v>54</v>
      </c>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114"/>
      <c r="AU109" s="114"/>
      <c r="AV109" s="114"/>
      <c r="AW109" s="114"/>
      <c r="AX109" s="114"/>
    </row>
    <row r="110" spans="2:50" ht="13" thickBot="1" x14ac:dyDescent="0.3">
      <c r="B110" s="75" t="s">
        <v>173</v>
      </c>
      <c r="C110" s="72">
        <v>212</v>
      </c>
      <c r="D110" s="72">
        <v>158</v>
      </c>
      <c r="E110" s="72">
        <v>103</v>
      </c>
      <c r="F110" s="72">
        <v>54</v>
      </c>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114"/>
      <c r="AU110" s="114"/>
      <c r="AV110" s="114"/>
      <c r="AW110" s="114"/>
      <c r="AX110" s="114"/>
    </row>
    <row r="111" spans="2:50" ht="13" thickBot="1" x14ac:dyDescent="0.3">
      <c r="B111" s="75" t="s">
        <v>174</v>
      </c>
      <c r="C111" s="72">
        <v>158</v>
      </c>
      <c r="D111" s="72">
        <v>103</v>
      </c>
      <c r="E111" s="72">
        <v>54</v>
      </c>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114"/>
      <c r="AU111" s="114"/>
      <c r="AV111" s="114"/>
      <c r="AW111" s="114"/>
      <c r="AX111" s="114"/>
    </row>
    <row r="112" spans="2:50" ht="13" thickBot="1" x14ac:dyDescent="0.3">
      <c r="B112" s="75" t="s">
        <v>175</v>
      </c>
      <c r="C112" s="72">
        <v>103</v>
      </c>
      <c r="D112" s="72">
        <v>54</v>
      </c>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114"/>
      <c r="AU112" s="114"/>
      <c r="AV112" s="114"/>
      <c r="AW112" s="114"/>
      <c r="AX112" s="114"/>
    </row>
    <row r="113" spans="2:50" ht="13" thickBot="1" x14ac:dyDescent="0.3">
      <c r="B113" s="75" t="s">
        <v>176</v>
      </c>
      <c r="C113" s="72">
        <v>54</v>
      </c>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114"/>
      <c r="AU113" s="114"/>
      <c r="AV113" s="114"/>
      <c r="AW113" s="114"/>
      <c r="AX113" s="114"/>
    </row>
    <row r="114" spans="2:50" ht="13" thickBot="1" x14ac:dyDescent="0.3">
      <c r="B114" s="75" t="s">
        <v>177</v>
      </c>
      <c r="C114" s="113"/>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row>
  </sheetData>
  <mergeCells count="17">
    <mergeCell ref="K12:K13"/>
    <mergeCell ref="G13:H13"/>
    <mergeCell ref="I13:J13"/>
    <mergeCell ref="B12:C13"/>
    <mergeCell ref="D12:E13"/>
    <mergeCell ref="F12:F13"/>
    <mergeCell ref="G12:J12"/>
    <mergeCell ref="AC12:AC13"/>
    <mergeCell ref="M12:N13"/>
    <mergeCell ref="O12:P13"/>
    <mergeCell ref="Q12:Q13"/>
    <mergeCell ref="R12:S12"/>
    <mergeCell ref="T12:T13"/>
    <mergeCell ref="V12:W13"/>
    <mergeCell ref="X12:Y13"/>
    <mergeCell ref="Z12:Z13"/>
    <mergeCell ref="AA12:AB12"/>
  </mergeCells>
  <phoneticPr fontId="29" type="noConversion"/>
  <hyperlinks>
    <hyperlink ref="C6" r:id="rId1"/>
  </hyperlinks>
  <pageMargins left="0.7" right="0.7" top="0.75" bottom="0.75" header="0.3" footer="0.3"/>
  <pageSetup paperSize="9" orientation="portrait" r:id="rId2"/>
  <headerFooter>
    <oddHeader>&amp;CPROTECT - SCHEME MANAGEMENT&amp;L_x000D_&amp;Z&amp;F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C55"/>
  <sheetViews>
    <sheetView windowProtection="1" zoomScale="85" zoomScaleNormal="85" workbookViewId="0">
      <selection activeCell="H46" sqref="H46:I47"/>
    </sheetView>
  </sheetViews>
  <sheetFormatPr defaultRowHeight="12.5" x14ac:dyDescent="0.25"/>
  <cols>
    <col min="2" max="2" width="20.54296875" customWidth="1"/>
    <col min="3" max="3" width="20" bestFit="1" customWidth="1"/>
  </cols>
  <sheetData>
    <row r="1" spans="1:29" ht="20" x14ac:dyDescent="0.4">
      <c r="A1" s="13" t="s">
        <v>19</v>
      </c>
      <c r="B1" s="12"/>
      <c r="C1" s="12"/>
      <c r="D1" s="12"/>
      <c r="E1" s="12"/>
      <c r="F1" s="12"/>
      <c r="G1" s="12"/>
      <c r="H1" s="12"/>
      <c r="I1" s="12"/>
    </row>
    <row r="2" spans="1:29" ht="15.5" x14ac:dyDescent="0.35">
      <c r="A2" s="27" t="str">
        <f>IF(title="&gt; Enter workbook title here","Enter workbook title in Cover sheet",title)</f>
        <v>Scottish Police Pension Calculator</v>
      </c>
      <c r="B2" s="11"/>
      <c r="C2" s="11"/>
      <c r="D2" s="11"/>
      <c r="E2" s="11"/>
      <c r="F2" s="11"/>
      <c r="G2" s="11"/>
      <c r="H2" s="11"/>
      <c r="I2" s="11"/>
    </row>
    <row r="3" spans="1:29" ht="15.5" x14ac:dyDescent="0.35">
      <c r="A3" s="14" t="s">
        <v>412</v>
      </c>
      <c r="B3" s="11"/>
      <c r="C3" s="11"/>
      <c r="D3" s="11"/>
      <c r="E3" s="11"/>
      <c r="F3" s="11"/>
      <c r="G3" s="11"/>
      <c r="H3" s="11"/>
      <c r="I3" s="11"/>
    </row>
    <row r="4" spans="1:29" x14ac:dyDescent="0.25">
      <c r="A4" s="7" t="str">
        <f ca="1">CELL("filename",A1)</f>
        <v>C:\Users\u418711\AppData\Local\Microsoft\Windows\INetCache\Content.Outlook\PTLKNQ86\[Copy of PPS Scotland PensionCalculatorv5.5 22Dec2020.xlsx]Commutation Factors</v>
      </c>
    </row>
    <row r="7" spans="1:29" ht="13" x14ac:dyDescent="0.3">
      <c r="B7" s="1" t="s">
        <v>425</v>
      </c>
      <c r="F7" s="130">
        <v>12</v>
      </c>
    </row>
    <row r="8" spans="1:29" x14ac:dyDescent="0.25">
      <c r="D8" s="529" t="s">
        <v>794</v>
      </c>
      <c r="E8" s="529"/>
      <c r="F8" s="529"/>
      <c r="G8" s="78" t="s">
        <v>795</v>
      </c>
      <c r="U8" s="529" t="s">
        <v>794</v>
      </c>
      <c r="V8" s="529"/>
      <c r="W8" s="529"/>
      <c r="X8" s="78" t="s">
        <v>795</v>
      </c>
    </row>
    <row r="9" spans="1:29" ht="13.5" thickBot="1" x14ac:dyDescent="0.35">
      <c r="B9" s="1" t="s">
        <v>649</v>
      </c>
      <c r="D9" s="78"/>
      <c r="Q9" s="1" t="s">
        <v>650</v>
      </c>
      <c r="T9" s="78"/>
      <c r="U9" s="78"/>
    </row>
    <row r="10" spans="1:29" ht="13.5" thickBot="1" x14ac:dyDescent="0.3">
      <c r="B10" s="664" t="s">
        <v>417</v>
      </c>
      <c r="C10" s="661" t="s">
        <v>421</v>
      </c>
      <c r="D10" s="662"/>
      <c r="E10" s="662"/>
      <c r="F10" s="662"/>
      <c r="G10" s="662"/>
      <c r="H10" s="662"/>
      <c r="I10" s="662"/>
      <c r="J10" s="662"/>
      <c r="K10" s="662"/>
      <c r="L10" s="662"/>
      <c r="M10" s="662"/>
      <c r="N10" s="663"/>
      <c r="Q10" s="664" t="s">
        <v>417</v>
      </c>
      <c r="R10" s="661" t="s">
        <v>421</v>
      </c>
      <c r="S10" s="662"/>
      <c r="T10" s="662"/>
      <c r="U10" s="662"/>
      <c r="V10" s="662"/>
      <c r="W10" s="662"/>
      <c r="X10" s="662"/>
      <c r="Y10" s="662"/>
      <c r="Z10" s="662"/>
      <c r="AA10" s="662"/>
      <c r="AB10" s="662"/>
      <c r="AC10" s="663"/>
    </row>
    <row r="11" spans="1:29" ht="13.5" thickBot="1" x14ac:dyDescent="0.3">
      <c r="B11" s="665"/>
      <c r="C11" s="132">
        <v>0</v>
      </c>
      <c r="D11" s="131">
        <v>1</v>
      </c>
      <c r="E11" s="131">
        <v>2</v>
      </c>
      <c r="F11" s="131">
        <v>3</v>
      </c>
      <c r="G11" s="131">
        <v>4</v>
      </c>
      <c r="H11" s="131">
        <v>5</v>
      </c>
      <c r="I11" s="131">
        <v>6</v>
      </c>
      <c r="J11" s="131">
        <v>7</v>
      </c>
      <c r="K11" s="131">
        <v>8</v>
      </c>
      <c r="L11" s="131">
        <v>9</v>
      </c>
      <c r="M11" s="131">
        <v>10</v>
      </c>
      <c r="N11" s="131">
        <v>11</v>
      </c>
      <c r="Q11" s="665"/>
      <c r="R11" s="132">
        <v>0</v>
      </c>
      <c r="S11" s="352">
        <v>1</v>
      </c>
      <c r="T11" s="352">
        <v>2</v>
      </c>
      <c r="U11" s="352">
        <v>3</v>
      </c>
      <c r="V11" s="352">
        <v>4</v>
      </c>
      <c r="W11" s="352">
        <v>5</v>
      </c>
      <c r="X11" s="352">
        <v>6</v>
      </c>
      <c r="Y11" s="352">
        <v>7</v>
      </c>
      <c r="Z11" s="352">
        <v>8</v>
      </c>
      <c r="AA11" s="352">
        <v>9</v>
      </c>
      <c r="AB11" s="352">
        <v>10</v>
      </c>
      <c r="AC11" s="352">
        <v>11</v>
      </c>
    </row>
    <row r="12" spans="1:29" ht="13" thickBot="1" x14ac:dyDescent="0.3">
      <c r="B12" s="133" t="s">
        <v>422</v>
      </c>
      <c r="C12" s="530">
        <v>24.3</v>
      </c>
      <c r="D12" s="531"/>
      <c r="E12" s="531"/>
      <c r="F12" s="531"/>
      <c r="G12" s="531"/>
      <c r="H12" s="531"/>
      <c r="I12" s="531"/>
      <c r="J12" s="531"/>
      <c r="K12" s="531"/>
      <c r="L12" s="531"/>
      <c r="M12" s="531"/>
      <c r="N12" s="532"/>
      <c r="Q12" s="133" t="s">
        <v>422</v>
      </c>
      <c r="R12" s="537">
        <v>24.7</v>
      </c>
      <c r="S12" s="538"/>
      <c r="T12" s="538"/>
      <c r="U12" s="538"/>
      <c r="V12" s="538"/>
      <c r="W12" s="538"/>
      <c r="X12" s="538"/>
      <c r="Y12" s="538"/>
      <c r="Z12" s="538"/>
      <c r="AA12" s="538"/>
      <c r="AB12" s="538"/>
      <c r="AC12" s="539"/>
    </row>
    <row r="13" spans="1:29" ht="13" thickBot="1" x14ac:dyDescent="0.3">
      <c r="B13" s="133">
        <v>48</v>
      </c>
      <c r="C13" s="533">
        <v>24.3</v>
      </c>
      <c r="D13" s="530">
        <v>24.3</v>
      </c>
      <c r="E13" s="534">
        <v>24.3</v>
      </c>
      <c r="F13" s="534">
        <v>24.3</v>
      </c>
      <c r="G13" s="534">
        <v>24.3</v>
      </c>
      <c r="H13" s="534">
        <v>24.3</v>
      </c>
      <c r="I13" s="534">
        <v>24.3</v>
      </c>
      <c r="J13" s="534">
        <v>24.283333333333335</v>
      </c>
      <c r="K13" s="534">
        <v>24.266666666666669</v>
      </c>
      <c r="L13" s="534">
        <v>24.250000000000004</v>
      </c>
      <c r="M13" s="530">
        <v>24.233333333333338</v>
      </c>
      <c r="N13" s="534">
        <v>24.216666666666672</v>
      </c>
      <c r="Q13" s="133">
        <v>48</v>
      </c>
      <c r="R13" s="537">
        <v>24.7</v>
      </c>
      <c r="S13" s="537">
        <v>24.7</v>
      </c>
      <c r="T13" s="537">
        <v>24.7</v>
      </c>
      <c r="U13" s="537">
        <v>24.7</v>
      </c>
      <c r="V13" s="537">
        <v>24.7</v>
      </c>
      <c r="W13" s="537">
        <v>24.7</v>
      </c>
      <c r="X13" s="537">
        <v>24.7</v>
      </c>
      <c r="Y13" s="537">
        <v>24.683333333333334</v>
      </c>
      <c r="Z13" s="537">
        <v>24.666666666666668</v>
      </c>
      <c r="AA13" s="537">
        <v>24.650000000000002</v>
      </c>
      <c r="AB13" s="540">
        <v>24.633333333333336</v>
      </c>
      <c r="AC13" s="537">
        <v>24.616666666666671</v>
      </c>
    </row>
    <row r="14" spans="1:29" ht="13" thickBot="1" x14ac:dyDescent="0.3">
      <c r="B14" s="133">
        <v>49</v>
      </c>
      <c r="C14" s="533">
        <v>24.2</v>
      </c>
      <c r="D14" s="535">
        <v>24.166666666666664</v>
      </c>
      <c r="E14" s="535">
        <v>24.133333333333333</v>
      </c>
      <c r="F14" s="535">
        <v>24.1</v>
      </c>
      <c r="G14" s="535">
        <v>24.06666666666667</v>
      </c>
      <c r="H14" s="535">
        <v>24.033333333333339</v>
      </c>
      <c r="I14" s="535">
        <v>24.000000000000007</v>
      </c>
      <c r="J14" s="535">
        <v>23.966666666666676</v>
      </c>
      <c r="K14" s="535">
        <v>23.933333333333344</v>
      </c>
      <c r="L14" s="533">
        <v>23.900000000000013</v>
      </c>
      <c r="M14" s="535">
        <v>23.866666666666681</v>
      </c>
      <c r="N14" s="535">
        <v>23.83333333333335</v>
      </c>
      <c r="Q14" s="133">
        <v>49</v>
      </c>
      <c r="R14" s="541">
        <v>24.6</v>
      </c>
      <c r="S14" s="542">
        <v>24.566666666666666</v>
      </c>
      <c r="T14" s="542">
        <v>24.533333333333331</v>
      </c>
      <c r="U14" s="542">
        <v>24.499999999999996</v>
      </c>
      <c r="V14" s="542">
        <v>24.466666666666661</v>
      </c>
      <c r="W14" s="542">
        <v>24.433333333333326</v>
      </c>
      <c r="X14" s="542">
        <v>24.399999999999991</v>
      </c>
      <c r="Y14" s="542">
        <v>24.366666666666656</v>
      </c>
      <c r="Z14" s="542">
        <v>24.333333333333321</v>
      </c>
      <c r="AA14" s="541">
        <v>24.299999999999986</v>
      </c>
      <c r="AB14" s="542">
        <v>24.266666666666652</v>
      </c>
      <c r="AC14" s="542">
        <v>24.233333333333317</v>
      </c>
    </row>
    <row r="15" spans="1:29" ht="13" thickBot="1" x14ac:dyDescent="0.3">
      <c r="B15" s="133">
        <v>50</v>
      </c>
      <c r="C15" s="533">
        <v>23.8</v>
      </c>
      <c r="D15" s="535">
        <v>23.766666666666666</v>
      </c>
      <c r="E15" s="535">
        <v>23.733333333333331</v>
      </c>
      <c r="F15" s="535">
        <v>23.699999999999996</v>
      </c>
      <c r="G15" s="535">
        <v>23.666666666666661</v>
      </c>
      <c r="H15" s="535">
        <v>23.633333333333326</v>
      </c>
      <c r="I15" s="535">
        <v>23.599999999999991</v>
      </c>
      <c r="J15" s="535">
        <v>23.566666666666656</v>
      </c>
      <c r="K15" s="535">
        <v>23.533333333333321</v>
      </c>
      <c r="L15" s="533">
        <v>23.499999999999986</v>
      </c>
      <c r="M15" s="535">
        <v>23.466666666666651</v>
      </c>
      <c r="N15" s="535">
        <v>23.433333333333316</v>
      </c>
      <c r="Q15" s="133">
        <v>50</v>
      </c>
      <c r="R15" s="541">
        <v>24.2</v>
      </c>
      <c r="S15" s="542">
        <v>24.175000000000001</v>
      </c>
      <c r="T15" s="542">
        <v>24.150000000000002</v>
      </c>
      <c r="U15" s="542">
        <v>24.125000000000004</v>
      </c>
      <c r="V15" s="542">
        <v>24.100000000000005</v>
      </c>
      <c r="W15" s="542">
        <v>24.075000000000006</v>
      </c>
      <c r="X15" s="542">
        <v>24.050000000000008</v>
      </c>
      <c r="Y15" s="542">
        <v>24.025000000000009</v>
      </c>
      <c r="Z15" s="542">
        <v>24.000000000000011</v>
      </c>
      <c r="AA15" s="541">
        <v>23.975000000000012</v>
      </c>
      <c r="AB15" s="542">
        <v>23.950000000000014</v>
      </c>
      <c r="AC15" s="542">
        <v>23.925000000000015</v>
      </c>
    </row>
    <row r="16" spans="1:29" ht="13" thickBot="1" x14ac:dyDescent="0.3">
      <c r="B16" s="133">
        <v>51</v>
      </c>
      <c r="C16" s="533">
        <v>23.4</v>
      </c>
      <c r="D16" s="535">
        <v>23.375</v>
      </c>
      <c r="E16" s="535">
        <v>23.35</v>
      </c>
      <c r="F16" s="535">
        <v>23.325000000000003</v>
      </c>
      <c r="G16" s="535">
        <v>23.300000000000004</v>
      </c>
      <c r="H16" s="535">
        <v>23.275000000000006</v>
      </c>
      <c r="I16" s="535">
        <v>23.250000000000007</v>
      </c>
      <c r="J16" s="535">
        <v>23.225000000000009</v>
      </c>
      <c r="K16" s="535">
        <v>23.20000000000001</v>
      </c>
      <c r="L16" s="533">
        <v>23.175000000000011</v>
      </c>
      <c r="M16" s="535">
        <v>23.150000000000013</v>
      </c>
      <c r="N16" s="535">
        <v>23.125000000000014</v>
      </c>
      <c r="Q16" s="133">
        <v>51</v>
      </c>
      <c r="R16" s="541">
        <v>23.9</v>
      </c>
      <c r="S16" s="542">
        <v>23.866666666666667</v>
      </c>
      <c r="T16" s="542">
        <v>23.833333333333336</v>
      </c>
      <c r="U16" s="542">
        <v>23.800000000000004</v>
      </c>
      <c r="V16" s="542">
        <v>23.766666666666673</v>
      </c>
      <c r="W16" s="542">
        <v>23.733333333333341</v>
      </c>
      <c r="X16" s="542">
        <v>23.70000000000001</v>
      </c>
      <c r="Y16" s="542">
        <v>23.666666666666679</v>
      </c>
      <c r="Z16" s="542">
        <v>23.633333333333347</v>
      </c>
      <c r="AA16" s="541">
        <v>23.600000000000016</v>
      </c>
      <c r="AB16" s="542">
        <v>23.566666666666684</v>
      </c>
      <c r="AC16" s="542">
        <v>23.533333333333353</v>
      </c>
    </row>
    <row r="17" spans="2:29" ht="13" thickBot="1" x14ac:dyDescent="0.3">
      <c r="B17" s="133">
        <v>52</v>
      </c>
      <c r="C17" s="533">
        <v>23.1</v>
      </c>
      <c r="D17" s="535">
        <v>23.066666666666666</v>
      </c>
      <c r="E17" s="535">
        <v>23.033333333333331</v>
      </c>
      <c r="F17" s="535">
        <v>22.999999999999996</v>
      </c>
      <c r="G17" s="535">
        <v>22.966666666666661</v>
      </c>
      <c r="H17" s="535">
        <v>22.933333333333326</v>
      </c>
      <c r="I17" s="535">
        <v>22.899999999999991</v>
      </c>
      <c r="J17" s="535">
        <v>22.866666666666656</v>
      </c>
      <c r="K17" s="535">
        <v>22.833333333333321</v>
      </c>
      <c r="L17" s="533">
        <v>22.799999999999986</v>
      </c>
      <c r="M17" s="535">
        <v>22.766666666666652</v>
      </c>
      <c r="N17" s="535">
        <v>22.733333333333317</v>
      </c>
      <c r="Q17" s="133">
        <v>52</v>
      </c>
      <c r="R17" s="541">
        <v>23.5</v>
      </c>
      <c r="S17" s="542">
        <v>23.466666666666669</v>
      </c>
      <c r="T17" s="542">
        <v>23.433333333333337</v>
      </c>
      <c r="U17" s="542">
        <v>23.400000000000006</v>
      </c>
      <c r="V17" s="542">
        <v>23.366666666666674</v>
      </c>
      <c r="W17" s="542">
        <v>23.333333333333343</v>
      </c>
      <c r="X17" s="542">
        <v>23.300000000000011</v>
      </c>
      <c r="Y17" s="542">
        <v>23.26666666666668</v>
      </c>
      <c r="Z17" s="542">
        <v>23.233333333333348</v>
      </c>
      <c r="AA17" s="541">
        <v>23.200000000000017</v>
      </c>
      <c r="AB17" s="542">
        <v>23.166666666666686</v>
      </c>
      <c r="AC17" s="542">
        <v>23.133333333333354</v>
      </c>
    </row>
    <row r="18" spans="2:29" ht="13" thickBot="1" x14ac:dyDescent="0.3">
      <c r="B18" s="133">
        <v>53</v>
      </c>
      <c r="C18" s="533">
        <v>22.7</v>
      </c>
      <c r="D18" s="535">
        <v>22.658333333333331</v>
      </c>
      <c r="E18" s="535">
        <v>22.616666666666664</v>
      </c>
      <c r="F18" s="535">
        <v>22.574999999999996</v>
      </c>
      <c r="G18" s="535">
        <v>22.533333333333328</v>
      </c>
      <c r="H18" s="535">
        <v>22.49166666666666</v>
      </c>
      <c r="I18" s="535">
        <v>22.449999999999992</v>
      </c>
      <c r="J18" s="535">
        <v>22.408333333333324</v>
      </c>
      <c r="K18" s="535">
        <v>22.366666666666656</v>
      </c>
      <c r="L18" s="533">
        <v>22.324999999999989</v>
      </c>
      <c r="M18" s="535">
        <v>22.283333333333321</v>
      </c>
      <c r="N18" s="535">
        <v>22.241666666666653</v>
      </c>
      <c r="Q18" s="133">
        <v>53</v>
      </c>
      <c r="R18" s="541">
        <v>23.1</v>
      </c>
      <c r="S18" s="542">
        <v>23.066666666666666</v>
      </c>
      <c r="T18" s="542">
        <v>23.033333333333331</v>
      </c>
      <c r="U18" s="542">
        <v>22.999999999999996</v>
      </c>
      <c r="V18" s="542">
        <v>22.966666666666661</v>
      </c>
      <c r="W18" s="542">
        <v>22.933333333333326</v>
      </c>
      <c r="X18" s="542">
        <v>22.899999999999991</v>
      </c>
      <c r="Y18" s="542">
        <v>22.866666666666656</v>
      </c>
      <c r="Z18" s="542">
        <v>22.833333333333321</v>
      </c>
      <c r="AA18" s="541">
        <v>22.799999999999986</v>
      </c>
      <c r="AB18" s="542">
        <v>22.766666666666652</v>
      </c>
      <c r="AC18" s="542">
        <v>22.733333333333317</v>
      </c>
    </row>
    <row r="19" spans="2:29" ht="13" thickBot="1" x14ac:dyDescent="0.3">
      <c r="B19" s="133">
        <v>54</v>
      </c>
      <c r="C19" s="533">
        <v>22.2</v>
      </c>
      <c r="D19" s="535">
        <v>22.166666666666664</v>
      </c>
      <c r="E19" s="535">
        <v>22.133333333333333</v>
      </c>
      <c r="F19" s="535">
        <v>22.1</v>
      </c>
      <c r="G19" s="535">
        <v>22.06666666666667</v>
      </c>
      <c r="H19" s="535">
        <v>22.033333333333339</v>
      </c>
      <c r="I19" s="535">
        <v>22.000000000000007</v>
      </c>
      <c r="J19" s="535">
        <v>21.966666666666676</v>
      </c>
      <c r="K19" s="535">
        <v>21.933333333333344</v>
      </c>
      <c r="L19" s="533">
        <v>21.900000000000013</v>
      </c>
      <c r="M19" s="535">
        <v>21.866666666666681</v>
      </c>
      <c r="N19" s="535">
        <v>21.83333333333335</v>
      </c>
      <c r="Q19" s="133">
        <v>54</v>
      </c>
      <c r="R19" s="541">
        <v>22.7</v>
      </c>
      <c r="S19" s="542">
        <v>22.658333333333331</v>
      </c>
      <c r="T19" s="542">
        <v>22.616666666666664</v>
      </c>
      <c r="U19" s="542">
        <v>22.574999999999996</v>
      </c>
      <c r="V19" s="542">
        <v>22.533333333333328</v>
      </c>
      <c r="W19" s="542">
        <v>22.49166666666666</v>
      </c>
      <c r="X19" s="542">
        <v>22.449999999999992</v>
      </c>
      <c r="Y19" s="542">
        <v>22.408333333333324</v>
      </c>
      <c r="Z19" s="542">
        <v>22.366666666666656</v>
      </c>
      <c r="AA19" s="541">
        <v>22.324999999999989</v>
      </c>
      <c r="AB19" s="542">
        <v>22.283333333333321</v>
      </c>
      <c r="AC19" s="542">
        <v>22.241666666666653</v>
      </c>
    </row>
    <row r="20" spans="2:29" ht="13" thickBot="1" x14ac:dyDescent="0.3">
      <c r="B20" s="133">
        <v>55</v>
      </c>
      <c r="C20" s="533">
        <v>21.8</v>
      </c>
      <c r="D20" s="535">
        <v>21.758333333333333</v>
      </c>
      <c r="E20" s="535">
        <v>21.716666666666665</v>
      </c>
      <c r="F20" s="535">
        <v>21.674999999999997</v>
      </c>
      <c r="G20" s="535">
        <v>21.633333333333329</v>
      </c>
      <c r="H20" s="535">
        <v>21.591666666666661</v>
      </c>
      <c r="I20" s="535">
        <v>21.549999999999994</v>
      </c>
      <c r="J20" s="535">
        <v>21.508333333333326</v>
      </c>
      <c r="K20" s="535">
        <v>21.466666666666658</v>
      </c>
      <c r="L20" s="533">
        <v>21.42499999999999</v>
      </c>
      <c r="M20" s="535">
        <v>21.383333333333322</v>
      </c>
      <c r="N20" s="535">
        <v>21.341666666666654</v>
      </c>
      <c r="Q20" s="133">
        <v>55</v>
      </c>
      <c r="R20" s="541">
        <v>22.2</v>
      </c>
      <c r="S20" s="542">
        <v>22.158333333333331</v>
      </c>
      <c r="T20" s="542">
        <v>22.116666666666664</v>
      </c>
      <c r="U20" s="542">
        <v>22.074999999999996</v>
      </c>
      <c r="V20" s="542">
        <v>22.033333333333328</v>
      </c>
      <c r="W20" s="542">
        <v>21.99166666666666</v>
      </c>
      <c r="X20" s="542">
        <v>21.949999999999992</v>
      </c>
      <c r="Y20" s="542">
        <v>21.908333333333324</v>
      </c>
      <c r="Z20" s="542">
        <v>21.866666666666656</v>
      </c>
      <c r="AA20" s="541">
        <v>21.824999999999989</v>
      </c>
      <c r="AB20" s="542">
        <v>21.783333333333321</v>
      </c>
      <c r="AC20" s="542">
        <v>21.741666666666653</v>
      </c>
    </row>
    <row r="21" spans="2:29" ht="13" thickBot="1" x14ac:dyDescent="0.3">
      <c r="B21" s="133">
        <v>56</v>
      </c>
      <c r="C21" s="533">
        <v>21.3</v>
      </c>
      <c r="D21" s="535">
        <v>21.258333333333333</v>
      </c>
      <c r="E21" s="535">
        <v>21.216666666666665</v>
      </c>
      <c r="F21" s="535">
        <v>21.174999999999997</v>
      </c>
      <c r="G21" s="535">
        <v>21.133333333333329</v>
      </c>
      <c r="H21" s="535">
        <v>21.091666666666661</v>
      </c>
      <c r="I21" s="535">
        <v>21.049999999999994</v>
      </c>
      <c r="J21" s="535">
        <v>21.008333333333326</v>
      </c>
      <c r="K21" s="535">
        <v>20.966666666666658</v>
      </c>
      <c r="L21" s="533">
        <v>20.92499999999999</v>
      </c>
      <c r="M21" s="535">
        <v>20.883333333333322</v>
      </c>
      <c r="N21" s="535">
        <v>20.841666666666654</v>
      </c>
      <c r="Q21" s="133">
        <v>56</v>
      </c>
      <c r="R21" s="541">
        <v>21.7</v>
      </c>
      <c r="S21" s="542">
        <v>21.666666666666664</v>
      </c>
      <c r="T21" s="542">
        <v>21.633333333333333</v>
      </c>
      <c r="U21" s="542">
        <v>21.6</v>
      </c>
      <c r="V21" s="542">
        <v>21.56666666666667</v>
      </c>
      <c r="W21" s="542">
        <v>21.533333333333339</v>
      </c>
      <c r="X21" s="542">
        <v>21.500000000000007</v>
      </c>
      <c r="Y21" s="542">
        <v>21.466666666666676</v>
      </c>
      <c r="Z21" s="542">
        <v>21.433333333333344</v>
      </c>
      <c r="AA21" s="541">
        <v>21.400000000000013</v>
      </c>
      <c r="AB21" s="542">
        <v>21.366666666666681</v>
      </c>
      <c r="AC21" s="542">
        <v>21.33333333333335</v>
      </c>
    </row>
    <row r="22" spans="2:29" ht="13" thickBot="1" x14ac:dyDescent="0.3">
      <c r="B22" s="133">
        <v>57</v>
      </c>
      <c r="C22" s="533">
        <v>20.8</v>
      </c>
      <c r="D22" s="535">
        <v>20.758333333333333</v>
      </c>
      <c r="E22" s="535">
        <v>20.716666666666665</v>
      </c>
      <c r="F22" s="535">
        <v>20.674999999999997</v>
      </c>
      <c r="G22" s="535">
        <v>20.633333333333329</v>
      </c>
      <c r="H22" s="535">
        <v>20.591666666666661</v>
      </c>
      <c r="I22" s="535">
        <v>20.549999999999994</v>
      </c>
      <c r="J22" s="535">
        <v>20.508333333333326</v>
      </c>
      <c r="K22" s="535">
        <v>20.466666666666658</v>
      </c>
      <c r="L22" s="533">
        <v>20.42499999999999</v>
      </c>
      <c r="M22" s="535">
        <v>20.383333333333322</v>
      </c>
      <c r="N22" s="535">
        <v>20.341666666666654</v>
      </c>
      <c r="Q22" s="133">
        <v>57</v>
      </c>
      <c r="R22" s="541">
        <v>21.3</v>
      </c>
      <c r="S22" s="542">
        <v>21.258333333333333</v>
      </c>
      <c r="T22" s="542">
        <v>21.216666666666665</v>
      </c>
      <c r="U22" s="542">
        <v>21.174999999999997</v>
      </c>
      <c r="V22" s="542">
        <v>21.133333333333329</v>
      </c>
      <c r="W22" s="542">
        <v>21.091666666666661</v>
      </c>
      <c r="X22" s="542">
        <v>21.049999999999994</v>
      </c>
      <c r="Y22" s="542">
        <v>21.008333333333326</v>
      </c>
      <c r="Z22" s="542">
        <v>20.966666666666658</v>
      </c>
      <c r="AA22" s="541">
        <v>20.92499999999999</v>
      </c>
      <c r="AB22" s="542">
        <v>20.883333333333322</v>
      </c>
      <c r="AC22" s="542">
        <v>20.841666666666654</v>
      </c>
    </row>
    <row r="23" spans="2:29" ht="13" thickBot="1" x14ac:dyDescent="0.3">
      <c r="B23" s="133">
        <v>58</v>
      </c>
      <c r="C23" s="533">
        <v>20.3</v>
      </c>
      <c r="D23" s="535">
        <v>20.258333333333333</v>
      </c>
      <c r="E23" s="535">
        <v>20.216666666666665</v>
      </c>
      <c r="F23" s="535">
        <v>20.174999999999997</v>
      </c>
      <c r="G23" s="535">
        <v>20.133333333333329</v>
      </c>
      <c r="H23" s="535">
        <v>20.091666666666661</v>
      </c>
      <c r="I23" s="535">
        <v>20.049999999999994</v>
      </c>
      <c r="J23" s="535">
        <v>20.008333333333326</v>
      </c>
      <c r="K23" s="535">
        <v>19.966666666666658</v>
      </c>
      <c r="L23" s="533">
        <v>19.92499999999999</v>
      </c>
      <c r="M23" s="535">
        <v>19.883333333333322</v>
      </c>
      <c r="N23" s="535">
        <v>19.841666666666654</v>
      </c>
      <c r="Q23" s="133">
        <v>58</v>
      </c>
      <c r="R23" s="541">
        <v>20.8</v>
      </c>
      <c r="S23" s="542">
        <v>20.758333333333333</v>
      </c>
      <c r="T23" s="542">
        <v>20.716666666666665</v>
      </c>
      <c r="U23" s="542">
        <v>20.674999999999997</v>
      </c>
      <c r="V23" s="542">
        <v>20.633333333333329</v>
      </c>
      <c r="W23" s="542">
        <v>20.591666666666661</v>
      </c>
      <c r="X23" s="542">
        <v>20.549999999999994</v>
      </c>
      <c r="Y23" s="542">
        <v>20.508333333333326</v>
      </c>
      <c r="Z23" s="542">
        <v>20.466666666666658</v>
      </c>
      <c r="AA23" s="541">
        <v>20.42499999999999</v>
      </c>
      <c r="AB23" s="542">
        <v>20.383333333333322</v>
      </c>
      <c r="AC23" s="542">
        <v>20.341666666666654</v>
      </c>
    </row>
    <row r="24" spans="2:29" ht="13" thickBot="1" x14ac:dyDescent="0.3">
      <c r="B24" s="133">
        <v>59</v>
      </c>
      <c r="C24" s="533">
        <v>19.8</v>
      </c>
      <c r="D24" s="535">
        <v>19.766666666666666</v>
      </c>
      <c r="E24" s="535">
        <v>19.733333333333331</v>
      </c>
      <c r="F24" s="535">
        <v>19.699999999999996</v>
      </c>
      <c r="G24" s="535">
        <v>19.666666666666661</v>
      </c>
      <c r="H24" s="535">
        <v>19.633333333333326</v>
      </c>
      <c r="I24" s="535">
        <v>19.599999999999991</v>
      </c>
      <c r="J24" s="535">
        <v>19.566666666666656</v>
      </c>
      <c r="K24" s="535">
        <v>19.533333333333321</v>
      </c>
      <c r="L24" s="533">
        <v>19.499999999999986</v>
      </c>
      <c r="M24" s="535">
        <v>19.466666666666651</v>
      </c>
      <c r="N24" s="535">
        <v>19.433333333333316</v>
      </c>
      <c r="Q24" s="133">
        <v>59</v>
      </c>
      <c r="R24" s="541">
        <v>20.3</v>
      </c>
      <c r="S24" s="542">
        <v>20.266666666666666</v>
      </c>
      <c r="T24" s="542">
        <v>20.233333333333331</v>
      </c>
      <c r="U24" s="542">
        <v>20.199999999999996</v>
      </c>
      <c r="V24" s="542">
        <v>20.166666666666661</v>
      </c>
      <c r="W24" s="542">
        <v>20.133333333333326</v>
      </c>
      <c r="X24" s="542">
        <v>20.099999999999991</v>
      </c>
      <c r="Y24" s="542">
        <v>20.066666666666656</v>
      </c>
      <c r="Z24" s="542">
        <v>20.033333333333321</v>
      </c>
      <c r="AA24" s="541">
        <v>19.999999999999986</v>
      </c>
      <c r="AB24" s="542">
        <v>19.966666666666651</v>
      </c>
      <c r="AC24" s="542">
        <v>19.933333333333316</v>
      </c>
    </row>
    <row r="25" spans="2:29" ht="13" thickBot="1" x14ac:dyDescent="0.3">
      <c r="B25" s="133">
        <v>60</v>
      </c>
      <c r="C25" s="533">
        <v>19.399999999999999</v>
      </c>
      <c r="D25" s="535">
        <v>19.358333333333331</v>
      </c>
      <c r="E25" s="535">
        <v>19.316666666666663</v>
      </c>
      <c r="F25" s="535">
        <v>19.274999999999995</v>
      </c>
      <c r="G25" s="535">
        <v>19.233333333333327</v>
      </c>
      <c r="H25" s="535">
        <v>19.191666666666659</v>
      </c>
      <c r="I25" s="535">
        <v>19.149999999999991</v>
      </c>
      <c r="J25" s="535">
        <v>19.108333333333324</v>
      </c>
      <c r="K25" s="535">
        <v>19.066666666666656</v>
      </c>
      <c r="L25" s="533">
        <v>19.024999999999988</v>
      </c>
      <c r="M25" s="535">
        <v>18.98333333333332</v>
      </c>
      <c r="N25" s="535">
        <v>18.941666666666652</v>
      </c>
      <c r="Q25" s="133">
        <v>60</v>
      </c>
      <c r="R25" s="541">
        <v>19.899999999999999</v>
      </c>
      <c r="S25" s="542">
        <v>19.858333333333331</v>
      </c>
      <c r="T25" s="542">
        <v>19.816666666666663</v>
      </c>
      <c r="U25" s="542">
        <v>19.774999999999995</v>
      </c>
      <c r="V25" s="542">
        <v>19.733333333333327</v>
      </c>
      <c r="W25" s="542">
        <v>19.691666666666659</v>
      </c>
      <c r="X25" s="542">
        <v>19.649999999999991</v>
      </c>
      <c r="Y25" s="542">
        <v>19.608333333333324</v>
      </c>
      <c r="Z25" s="542">
        <v>19.566666666666656</v>
      </c>
      <c r="AA25" s="541">
        <v>19.524999999999988</v>
      </c>
      <c r="AB25" s="542">
        <v>19.48333333333332</v>
      </c>
      <c r="AC25" s="542">
        <v>19.441666666666652</v>
      </c>
    </row>
    <row r="26" spans="2:29" ht="13" thickBot="1" x14ac:dyDescent="0.3">
      <c r="B26" s="133">
        <v>61</v>
      </c>
      <c r="C26" s="533">
        <v>18.899999999999999</v>
      </c>
      <c r="D26" s="535">
        <v>18.849999999999998</v>
      </c>
      <c r="E26" s="535">
        <v>18.799999999999997</v>
      </c>
      <c r="F26" s="535">
        <v>18.749999999999996</v>
      </c>
      <c r="G26" s="535">
        <v>18.699999999999996</v>
      </c>
      <c r="H26" s="535">
        <v>18.649999999999995</v>
      </c>
      <c r="I26" s="535">
        <v>18.599999999999994</v>
      </c>
      <c r="J26" s="535">
        <v>18.549999999999994</v>
      </c>
      <c r="K26" s="535">
        <v>18.499999999999993</v>
      </c>
      <c r="L26" s="533">
        <v>18.449999999999992</v>
      </c>
      <c r="M26" s="535">
        <v>18.399999999999991</v>
      </c>
      <c r="N26" s="535">
        <v>18.349999999999991</v>
      </c>
      <c r="Q26" s="133">
        <v>61</v>
      </c>
      <c r="R26" s="541">
        <v>19.399999999999999</v>
      </c>
      <c r="S26" s="542">
        <v>19.349999999999998</v>
      </c>
      <c r="T26" s="542">
        <v>19.299999999999997</v>
      </c>
      <c r="U26" s="542">
        <v>19.249999999999996</v>
      </c>
      <c r="V26" s="542">
        <v>19.199999999999996</v>
      </c>
      <c r="W26" s="542">
        <v>19.149999999999995</v>
      </c>
      <c r="X26" s="542">
        <v>19.099999999999994</v>
      </c>
      <c r="Y26" s="542">
        <v>19.049999999999994</v>
      </c>
      <c r="Z26" s="542">
        <v>18.999999999999993</v>
      </c>
      <c r="AA26" s="541">
        <v>18.949999999999992</v>
      </c>
      <c r="AB26" s="542">
        <v>18.899999999999991</v>
      </c>
      <c r="AC26" s="542">
        <v>18.849999999999991</v>
      </c>
    </row>
    <row r="27" spans="2:29" ht="13" thickBot="1" x14ac:dyDescent="0.3">
      <c r="B27" s="133">
        <v>62</v>
      </c>
      <c r="C27" s="533">
        <v>18.3</v>
      </c>
      <c r="D27" s="535">
        <v>18.258333333333333</v>
      </c>
      <c r="E27" s="535">
        <v>18.216666666666665</v>
      </c>
      <c r="F27" s="535">
        <v>18.174999999999997</v>
      </c>
      <c r="G27" s="535">
        <v>18.133333333333329</v>
      </c>
      <c r="H27" s="535">
        <v>18.091666666666661</v>
      </c>
      <c r="I27" s="535">
        <v>18.049999999999994</v>
      </c>
      <c r="J27" s="535">
        <v>18.008333333333326</v>
      </c>
      <c r="K27" s="535">
        <v>17.966666666666658</v>
      </c>
      <c r="L27" s="533">
        <v>17.92499999999999</v>
      </c>
      <c r="M27" s="535">
        <v>17.883333333333322</v>
      </c>
      <c r="N27" s="535">
        <v>17.841666666666654</v>
      </c>
      <c r="Q27" s="133">
        <v>62</v>
      </c>
      <c r="R27" s="541">
        <v>18.8</v>
      </c>
      <c r="S27" s="542">
        <v>18.758333333333333</v>
      </c>
      <c r="T27" s="542">
        <v>18.716666666666665</v>
      </c>
      <c r="U27" s="542">
        <v>18.674999999999997</v>
      </c>
      <c r="V27" s="542">
        <v>18.633333333333329</v>
      </c>
      <c r="W27" s="542">
        <v>18.591666666666661</v>
      </c>
      <c r="X27" s="542">
        <v>18.549999999999994</v>
      </c>
      <c r="Y27" s="542">
        <v>18.508333333333326</v>
      </c>
      <c r="Z27" s="542">
        <v>18.466666666666658</v>
      </c>
      <c r="AA27" s="541">
        <v>18.42499999999999</v>
      </c>
      <c r="AB27" s="542">
        <v>18.383333333333322</v>
      </c>
      <c r="AC27" s="542">
        <v>18.341666666666654</v>
      </c>
    </row>
    <row r="28" spans="2:29" ht="13" thickBot="1" x14ac:dyDescent="0.3">
      <c r="B28" s="133">
        <v>63</v>
      </c>
      <c r="C28" s="533">
        <v>17.8</v>
      </c>
      <c r="D28" s="535">
        <v>17.758333333333333</v>
      </c>
      <c r="E28" s="535">
        <v>17.716666666666665</v>
      </c>
      <c r="F28" s="535">
        <v>17.674999999999997</v>
      </c>
      <c r="G28" s="535">
        <v>17.633333333333329</v>
      </c>
      <c r="H28" s="535">
        <v>17.591666666666661</v>
      </c>
      <c r="I28" s="535">
        <v>17.549999999999994</v>
      </c>
      <c r="J28" s="535">
        <v>17.508333333333326</v>
      </c>
      <c r="K28" s="535">
        <v>17.466666666666658</v>
      </c>
      <c r="L28" s="533">
        <v>17.42499999999999</v>
      </c>
      <c r="M28" s="535">
        <v>17.383333333333322</v>
      </c>
      <c r="N28" s="535">
        <v>17.341666666666654</v>
      </c>
      <c r="Q28" s="133">
        <v>63</v>
      </c>
      <c r="R28" s="541">
        <v>18.3</v>
      </c>
      <c r="S28" s="542">
        <v>18.258333333333333</v>
      </c>
      <c r="T28" s="542">
        <v>18.216666666666665</v>
      </c>
      <c r="U28" s="542">
        <v>18.174999999999997</v>
      </c>
      <c r="V28" s="542">
        <v>18.133333333333329</v>
      </c>
      <c r="W28" s="542">
        <v>18.091666666666661</v>
      </c>
      <c r="X28" s="542">
        <v>18.049999999999994</v>
      </c>
      <c r="Y28" s="542">
        <v>18.008333333333326</v>
      </c>
      <c r="Z28" s="542">
        <v>17.966666666666658</v>
      </c>
      <c r="AA28" s="541">
        <v>17.92499999999999</v>
      </c>
      <c r="AB28" s="542">
        <v>17.883333333333322</v>
      </c>
      <c r="AC28" s="542">
        <v>17.841666666666654</v>
      </c>
    </row>
    <row r="29" spans="2:29" ht="13" thickBot="1" x14ac:dyDescent="0.3">
      <c r="B29" s="133">
        <v>64</v>
      </c>
      <c r="C29" s="533">
        <v>17.3</v>
      </c>
      <c r="D29" s="535">
        <v>17.25</v>
      </c>
      <c r="E29" s="535">
        <v>17.2</v>
      </c>
      <c r="F29" s="535">
        <v>17.149999999999999</v>
      </c>
      <c r="G29" s="535">
        <v>17.099999999999998</v>
      </c>
      <c r="H29" s="535">
        <v>17.049999999999997</v>
      </c>
      <c r="I29" s="535">
        <v>16.999999999999996</v>
      </c>
      <c r="J29" s="535">
        <v>16.949999999999996</v>
      </c>
      <c r="K29" s="535">
        <v>16.899999999999995</v>
      </c>
      <c r="L29" s="533">
        <v>16.849999999999994</v>
      </c>
      <c r="M29" s="535">
        <v>16.799999999999994</v>
      </c>
      <c r="N29" s="535">
        <v>16.749999999999993</v>
      </c>
      <c r="Q29" s="133">
        <v>64</v>
      </c>
      <c r="R29" s="541">
        <v>17.8</v>
      </c>
      <c r="S29" s="542">
        <v>17.75</v>
      </c>
      <c r="T29" s="542">
        <v>17.7</v>
      </c>
      <c r="U29" s="542">
        <v>17.649999999999999</v>
      </c>
      <c r="V29" s="542">
        <v>17.599999999999998</v>
      </c>
      <c r="W29" s="542">
        <v>17.549999999999997</v>
      </c>
      <c r="X29" s="542">
        <v>17.499999999999996</v>
      </c>
      <c r="Y29" s="542">
        <v>17.449999999999996</v>
      </c>
      <c r="Z29" s="542">
        <v>17.399999999999995</v>
      </c>
      <c r="AA29" s="541">
        <v>17.349999999999994</v>
      </c>
      <c r="AB29" s="542">
        <v>17.299999999999994</v>
      </c>
      <c r="AC29" s="542">
        <v>17.249999999999993</v>
      </c>
    </row>
    <row r="30" spans="2:29" ht="13" thickBot="1" x14ac:dyDescent="0.3">
      <c r="B30" s="133">
        <v>65</v>
      </c>
      <c r="C30" s="533">
        <v>16.7</v>
      </c>
      <c r="D30" s="535">
        <v>16.658333333333331</v>
      </c>
      <c r="E30" s="535">
        <v>16.616666666666664</v>
      </c>
      <c r="F30" s="535">
        <v>16.574999999999996</v>
      </c>
      <c r="G30" s="535">
        <v>16.533333333333328</v>
      </c>
      <c r="H30" s="535">
        <v>16.49166666666666</v>
      </c>
      <c r="I30" s="535">
        <v>16.449999999999992</v>
      </c>
      <c r="J30" s="535">
        <v>16.408333333333324</v>
      </c>
      <c r="K30" s="535">
        <v>16.366666666666656</v>
      </c>
      <c r="L30" s="533">
        <v>16.324999999999989</v>
      </c>
      <c r="M30" s="535">
        <v>16.283333333333321</v>
      </c>
      <c r="N30" s="535">
        <v>16.241666666666653</v>
      </c>
      <c r="Q30" s="133">
        <v>65</v>
      </c>
      <c r="R30" s="541">
        <v>17.2</v>
      </c>
      <c r="S30" s="542">
        <v>17.158333333333331</v>
      </c>
      <c r="T30" s="542">
        <v>17.116666666666664</v>
      </c>
      <c r="U30" s="542">
        <v>17.074999999999996</v>
      </c>
      <c r="V30" s="542">
        <v>17.033333333333328</v>
      </c>
      <c r="W30" s="542">
        <v>16.99166666666666</v>
      </c>
      <c r="X30" s="542">
        <v>16.949999999999992</v>
      </c>
      <c r="Y30" s="542">
        <v>16.908333333333324</v>
      </c>
      <c r="Z30" s="542">
        <v>16.866666666666656</v>
      </c>
      <c r="AA30" s="541">
        <v>16.824999999999989</v>
      </c>
      <c r="AB30" s="542">
        <v>16.783333333333321</v>
      </c>
      <c r="AC30" s="542">
        <v>16.741666666666653</v>
      </c>
    </row>
    <row r="31" spans="2:29" ht="13" thickBot="1" x14ac:dyDescent="0.3">
      <c r="B31" s="133">
        <v>66</v>
      </c>
      <c r="C31" s="533">
        <v>16.2</v>
      </c>
      <c r="D31" s="535">
        <v>16.149999999999999</v>
      </c>
      <c r="E31" s="535">
        <v>16.099999999999998</v>
      </c>
      <c r="F31" s="535">
        <v>16.049999999999997</v>
      </c>
      <c r="G31" s="535">
        <v>15.999999999999996</v>
      </c>
      <c r="H31" s="535">
        <v>15.949999999999996</v>
      </c>
      <c r="I31" s="535">
        <v>15.899999999999995</v>
      </c>
      <c r="J31" s="535">
        <v>15.849999999999994</v>
      </c>
      <c r="K31" s="535">
        <v>15.799999999999994</v>
      </c>
      <c r="L31" s="533">
        <v>15.749999999999993</v>
      </c>
      <c r="M31" s="535">
        <v>15.699999999999992</v>
      </c>
      <c r="N31" s="535">
        <v>15.649999999999991</v>
      </c>
      <c r="Q31" s="133">
        <v>66</v>
      </c>
      <c r="R31" s="541">
        <v>16.7</v>
      </c>
      <c r="S31" s="542">
        <v>16.649999999999999</v>
      </c>
      <c r="T31" s="542">
        <v>16.599999999999998</v>
      </c>
      <c r="U31" s="542">
        <v>16.549999999999997</v>
      </c>
      <c r="V31" s="542">
        <v>16.499999999999996</v>
      </c>
      <c r="W31" s="542">
        <v>16.449999999999996</v>
      </c>
      <c r="X31" s="542">
        <v>16.399999999999995</v>
      </c>
      <c r="Y31" s="542">
        <v>16.349999999999994</v>
      </c>
      <c r="Z31" s="542">
        <v>16.299999999999994</v>
      </c>
      <c r="AA31" s="541">
        <v>16.249999999999993</v>
      </c>
      <c r="AB31" s="542">
        <v>16.199999999999992</v>
      </c>
      <c r="AC31" s="542">
        <v>16.149999999999991</v>
      </c>
    </row>
    <row r="32" spans="2:29" ht="13" thickBot="1" x14ac:dyDescent="0.3">
      <c r="B32" s="133">
        <v>67</v>
      </c>
      <c r="C32" s="533">
        <v>15.6</v>
      </c>
      <c r="D32" s="535">
        <v>15.549999999999999</v>
      </c>
      <c r="E32" s="535">
        <v>15.499999999999998</v>
      </c>
      <c r="F32" s="535">
        <v>15.449999999999998</v>
      </c>
      <c r="G32" s="535">
        <v>15.399999999999997</v>
      </c>
      <c r="H32" s="535">
        <v>15.349999999999996</v>
      </c>
      <c r="I32" s="535">
        <v>15.299999999999995</v>
      </c>
      <c r="J32" s="535">
        <v>15.249999999999995</v>
      </c>
      <c r="K32" s="535">
        <v>15.199999999999994</v>
      </c>
      <c r="L32" s="533">
        <v>15.149999999999993</v>
      </c>
      <c r="M32" s="535">
        <v>15.099999999999993</v>
      </c>
      <c r="N32" s="535">
        <v>15.049999999999992</v>
      </c>
      <c r="Q32" s="133">
        <v>67</v>
      </c>
      <c r="R32" s="541">
        <v>16.100000000000001</v>
      </c>
      <c r="S32" s="542">
        <v>16.058333333333334</v>
      </c>
      <c r="T32" s="542">
        <v>16.016666666666666</v>
      </c>
      <c r="U32" s="542">
        <v>15.975</v>
      </c>
      <c r="V32" s="542">
        <v>15.933333333333334</v>
      </c>
      <c r="W32" s="542">
        <v>15.891666666666667</v>
      </c>
      <c r="X32" s="542">
        <v>15.850000000000001</v>
      </c>
      <c r="Y32" s="542">
        <v>15.808333333333335</v>
      </c>
      <c r="Z32" s="542">
        <v>15.766666666666669</v>
      </c>
      <c r="AA32" s="541">
        <v>15.725000000000003</v>
      </c>
      <c r="AB32" s="542">
        <v>15.683333333333337</v>
      </c>
      <c r="AC32" s="542">
        <v>15.641666666666671</v>
      </c>
    </row>
    <row r="33" spans="2:29" ht="13" thickBot="1" x14ac:dyDescent="0.3">
      <c r="B33" s="133">
        <v>68</v>
      </c>
      <c r="C33" s="533">
        <v>15</v>
      </c>
      <c r="D33" s="535">
        <v>14.958333333333334</v>
      </c>
      <c r="E33" s="535">
        <v>14.916666666666668</v>
      </c>
      <c r="F33" s="535">
        <v>14.875000000000002</v>
      </c>
      <c r="G33" s="535">
        <v>14.833333333333336</v>
      </c>
      <c r="H33" s="535">
        <v>14.79166666666667</v>
      </c>
      <c r="I33" s="535">
        <v>14.750000000000004</v>
      </c>
      <c r="J33" s="535">
        <v>14.708333333333337</v>
      </c>
      <c r="K33" s="535">
        <v>14.666666666666671</v>
      </c>
      <c r="L33" s="533">
        <v>14.625000000000005</v>
      </c>
      <c r="M33" s="535">
        <v>14.583333333333339</v>
      </c>
      <c r="N33" s="535">
        <v>14.541666666666673</v>
      </c>
      <c r="Q33" s="133">
        <v>68</v>
      </c>
      <c r="R33" s="541">
        <v>15.6</v>
      </c>
      <c r="S33" s="542">
        <v>15.549999999999999</v>
      </c>
      <c r="T33" s="542">
        <v>15.499999999999998</v>
      </c>
      <c r="U33" s="542">
        <v>15.449999999999998</v>
      </c>
      <c r="V33" s="542">
        <v>15.399999999999997</v>
      </c>
      <c r="W33" s="542">
        <v>15.349999999999996</v>
      </c>
      <c r="X33" s="542">
        <v>15.299999999999995</v>
      </c>
      <c r="Y33" s="542">
        <v>15.249999999999995</v>
      </c>
      <c r="Z33" s="542">
        <v>15.199999999999994</v>
      </c>
      <c r="AA33" s="541">
        <v>15.149999999999993</v>
      </c>
      <c r="AB33" s="542">
        <v>15.099999999999993</v>
      </c>
      <c r="AC33" s="542">
        <v>15.049999999999992</v>
      </c>
    </row>
    <row r="34" spans="2:29" ht="13" thickBot="1" x14ac:dyDescent="0.3">
      <c r="B34" s="133">
        <v>69</v>
      </c>
      <c r="C34" s="533">
        <v>14.5</v>
      </c>
      <c r="D34" s="535">
        <v>14.45</v>
      </c>
      <c r="E34" s="535">
        <v>14.399999999999999</v>
      </c>
      <c r="F34" s="535">
        <v>14.349999999999998</v>
      </c>
      <c r="G34" s="535">
        <v>14.299999999999997</v>
      </c>
      <c r="H34" s="535">
        <v>14.249999999999996</v>
      </c>
      <c r="I34" s="535">
        <v>14.199999999999996</v>
      </c>
      <c r="J34" s="535">
        <v>14.149999999999995</v>
      </c>
      <c r="K34" s="535">
        <v>14.099999999999994</v>
      </c>
      <c r="L34" s="533">
        <v>14.049999999999994</v>
      </c>
      <c r="M34" s="535">
        <v>13.999999999999993</v>
      </c>
      <c r="N34" s="535">
        <v>13.949999999999992</v>
      </c>
      <c r="Q34" s="133">
        <v>69</v>
      </c>
      <c r="R34" s="541">
        <v>15</v>
      </c>
      <c r="S34" s="542">
        <v>14.95</v>
      </c>
      <c r="T34" s="542">
        <v>14.899999999999999</v>
      </c>
      <c r="U34" s="542">
        <v>14.849999999999998</v>
      </c>
      <c r="V34" s="542">
        <v>14.799999999999997</v>
      </c>
      <c r="W34" s="542">
        <v>14.749999999999996</v>
      </c>
      <c r="X34" s="542">
        <v>14.699999999999996</v>
      </c>
      <c r="Y34" s="542">
        <v>14.649999999999995</v>
      </c>
      <c r="Z34" s="542">
        <v>14.599999999999994</v>
      </c>
      <c r="AA34" s="541">
        <v>14.549999999999994</v>
      </c>
      <c r="AB34" s="542">
        <v>14.499999999999993</v>
      </c>
      <c r="AC34" s="542">
        <v>14.449999999999992</v>
      </c>
    </row>
    <row r="35" spans="2:29" ht="13" thickBot="1" x14ac:dyDescent="0.3">
      <c r="B35" s="133">
        <v>70</v>
      </c>
      <c r="C35" s="533">
        <v>13.9</v>
      </c>
      <c r="D35" s="535">
        <v>13.85</v>
      </c>
      <c r="E35" s="535">
        <v>13.799999999999999</v>
      </c>
      <c r="F35" s="535">
        <v>13.749999999999998</v>
      </c>
      <c r="G35" s="535">
        <v>13.699999999999998</v>
      </c>
      <c r="H35" s="535">
        <v>13.649999999999997</v>
      </c>
      <c r="I35" s="535">
        <v>13.599999999999996</v>
      </c>
      <c r="J35" s="535">
        <v>13.549999999999995</v>
      </c>
      <c r="K35" s="535">
        <v>13.499999999999995</v>
      </c>
      <c r="L35" s="533">
        <v>13.449999999999994</v>
      </c>
      <c r="M35" s="535">
        <v>13.399999999999993</v>
      </c>
      <c r="N35" s="535">
        <v>13.349999999999993</v>
      </c>
      <c r="Q35" s="133">
        <v>70</v>
      </c>
      <c r="R35" s="541">
        <v>14.4</v>
      </c>
      <c r="S35" s="542">
        <v>14.358333333333334</v>
      </c>
      <c r="T35" s="542">
        <v>14.316666666666668</v>
      </c>
      <c r="U35" s="542">
        <v>14.275000000000002</v>
      </c>
      <c r="V35" s="542">
        <v>14.233333333333336</v>
      </c>
      <c r="W35" s="542">
        <v>14.19166666666667</v>
      </c>
      <c r="X35" s="542">
        <v>14.150000000000004</v>
      </c>
      <c r="Y35" s="542">
        <v>14.108333333333338</v>
      </c>
      <c r="Z35" s="542">
        <v>14.066666666666672</v>
      </c>
      <c r="AA35" s="541">
        <v>14.025000000000006</v>
      </c>
      <c r="AB35" s="542">
        <v>13.98333333333334</v>
      </c>
      <c r="AC35" s="542">
        <v>13.941666666666674</v>
      </c>
    </row>
    <row r="36" spans="2:29" ht="13" thickBot="1" x14ac:dyDescent="0.3">
      <c r="B36" s="133">
        <v>71</v>
      </c>
      <c r="C36" s="533">
        <v>13.3</v>
      </c>
      <c r="D36" s="535">
        <v>13.25</v>
      </c>
      <c r="E36" s="535">
        <v>13.2</v>
      </c>
      <c r="F36" s="535">
        <v>13.149999999999999</v>
      </c>
      <c r="G36" s="535">
        <v>13.099999999999998</v>
      </c>
      <c r="H36" s="535">
        <v>13.049999999999997</v>
      </c>
      <c r="I36" s="535">
        <v>12.999999999999996</v>
      </c>
      <c r="J36" s="535">
        <v>12.949999999999996</v>
      </c>
      <c r="K36" s="535">
        <v>12.899999999999995</v>
      </c>
      <c r="L36" s="533">
        <v>12.849999999999994</v>
      </c>
      <c r="M36" s="535">
        <v>12.799999999999994</v>
      </c>
      <c r="N36" s="535">
        <v>12.749999999999993</v>
      </c>
      <c r="Q36" s="133">
        <v>71</v>
      </c>
      <c r="R36" s="541">
        <v>13.9</v>
      </c>
      <c r="S36" s="542">
        <v>13.85</v>
      </c>
      <c r="T36" s="542">
        <v>13.799999999999999</v>
      </c>
      <c r="U36" s="542">
        <v>13.749999999999998</v>
      </c>
      <c r="V36" s="542">
        <v>13.699999999999998</v>
      </c>
      <c r="W36" s="542">
        <v>13.649999999999997</v>
      </c>
      <c r="X36" s="542">
        <v>13.599999999999996</v>
      </c>
      <c r="Y36" s="542">
        <v>13.549999999999995</v>
      </c>
      <c r="Z36" s="542">
        <v>13.499999999999995</v>
      </c>
      <c r="AA36" s="541">
        <v>13.449999999999994</v>
      </c>
      <c r="AB36" s="542">
        <v>13.399999999999993</v>
      </c>
      <c r="AC36" s="542">
        <v>13.349999999999993</v>
      </c>
    </row>
    <row r="37" spans="2:29" ht="13" thickBot="1" x14ac:dyDescent="0.3">
      <c r="B37" s="133">
        <v>72</v>
      </c>
      <c r="C37" s="533">
        <v>12.7</v>
      </c>
      <c r="D37" s="535">
        <v>12.658333333333333</v>
      </c>
      <c r="E37" s="535">
        <v>12.616666666666667</v>
      </c>
      <c r="F37" s="535">
        <v>12.575000000000001</v>
      </c>
      <c r="G37" s="535">
        <v>12.533333333333335</v>
      </c>
      <c r="H37" s="535">
        <v>12.491666666666669</v>
      </c>
      <c r="I37" s="535">
        <v>12.450000000000003</v>
      </c>
      <c r="J37" s="535">
        <v>12.408333333333337</v>
      </c>
      <c r="K37" s="535">
        <v>12.366666666666671</v>
      </c>
      <c r="L37" s="533">
        <v>12.325000000000005</v>
      </c>
      <c r="M37" s="535">
        <v>12.283333333333339</v>
      </c>
      <c r="N37" s="535">
        <v>12.241666666666672</v>
      </c>
      <c r="Q37" s="133">
        <v>72</v>
      </c>
      <c r="R37" s="541">
        <v>13.3</v>
      </c>
      <c r="S37" s="542">
        <v>13.25</v>
      </c>
      <c r="T37" s="542">
        <v>13.2</v>
      </c>
      <c r="U37" s="542">
        <v>13.149999999999999</v>
      </c>
      <c r="V37" s="542">
        <v>13.099999999999998</v>
      </c>
      <c r="W37" s="542">
        <v>13.049999999999997</v>
      </c>
      <c r="X37" s="542">
        <v>12.999999999999996</v>
      </c>
      <c r="Y37" s="542">
        <v>12.949999999999996</v>
      </c>
      <c r="Z37" s="542">
        <v>12.899999999999995</v>
      </c>
      <c r="AA37" s="541">
        <v>12.849999999999994</v>
      </c>
      <c r="AB37" s="542">
        <v>12.799999999999994</v>
      </c>
      <c r="AC37" s="542">
        <v>12.749999999999993</v>
      </c>
    </row>
    <row r="38" spans="2:29" ht="13" thickBot="1" x14ac:dyDescent="0.3">
      <c r="B38" s="133">
        <v>73</v>
      </c>
      <c r="C38" s="533">
        <v>12.2</v>
      </c>
      <c r="D38" s="535">
        <v>12.149999999999999</v>
      </c>
      <c r="E38" s="535">
        <v>12.099999999999998</v>
      </c>
      <c r="F38" s="535">
        <v>12.049999999999997</v>
      </c>
      <c r="G38" s="535">
        <v>11.999999999999996</v>
      </c>
      <c r="H38" s="535">
        <v>11.949999999999996</v>
      </c>
      <c r="I38" s="535">
        <v>11.899999999999995</v>
      </c>
      <c r="J38" s="535">
        <v>11.849999999999994</v>
      </c>
      <c r="K38" s="535">
        <v>11.799999999999994</v>
      </c>
      <c r="L38" s="533">
        <v>11.749999999999993</v>
      </c>
      <c r="M38" s="535">
        <v>11.699999999999992</v>
      </c>
      <c r="N38" s="535">
        <v>11.649999999999991</v>
      </c>
      <c r="Q38" s="133">
        <v>73</v>
      </c>
      <c r="R38" s="541">
        <v>12.7</v>
      </c>
      <c r="S38" s="542">
        <v>12.649999999999999</v>
      </c>
      <c r="T38" s="542">
        <v>12.599999999999998</v>
      </c>
      <c r="U38" s="542">
        <v>12.549999999999997</v>
      </c>
      <c r="V38" s="542">
        <v>12.499999999999996</v>
      </c>
      <c r="W38" s="542">
        <v>12.449999999999996</v>
      </c>
      <c r="X38" s="542">
        <v>12.399999999999995</v>
      </c>
      <c r="Y38" s="542">
        <v>12.349999999999994</v>
      </c>
      <c r="Z38" s="542">
        <v>12.299999999999994</v>
      </c>
      <c r="AA38" s="541">
        <v>12.249999999999993</v>
      </c>
      <c r="AB38" s="542">
        <v>12.199999999999992</v>
      </c>
      <c r="AC38" s="542">
        <v>12.149999999999991</v>
      </c>
    </row>
    <row r="39" spans="2:29" ht="13" thickBot="1" x14ac:dyDescent="0.3">
      <c r="B39" s="133">
        <v>74</v>
      </c>
      <c r="C39" s="533">
        <v>11.6</v>
      </c>
      <c r="D39" s="535">
        <v>11.549999999999999</v>
      </c>
      <c r="E39" s="535">
        <v>11.499999999999998</v>
      </c>
      <c r="F39" s="535">
        <v>11.449999999999998</v>
      </c>
      <c r="G39" s="535">
        <v>11.399999999999997</v>
      </c>
      <c r="H39" s="535">
        <v>11.349999999999996</v>
      </c>
      <c r="I39" s="535">
        <v>11.299999999999995</v>
      </c>
      <c r="J39" s="535">
        <v>11.249999999999995</v>
      </c>
      <c r="K39" s="535">
        <v>11.199999999999994</v>
      </c>
      <c r="L39" s="533">
        <v>11.149999999999993</v>
      </c>
      <c r="M39" s="535">
        <v>11.099999999999993</v>
      </c>
      <c r="N39" s="535">
        <v>11.049999999999992</v>
      </c>
      <c r="Q39" s="133">
        <v>74</v>
      </c>
      <c r="R39" s="541">
        <v>12.1</v>
      </c>
      <c r="S39" s="542">
        <v>12.058333333333334</v>
      </c>
      <c r="T39" s="542">
        <v>12.016666666666667</v>
      </c>
      <c r="U39" s="542">
        <v>11.975000000000001</v>
      </c>
      <c r="V39" s="542">
        <v>11.933333333333335</v>
      </c>
      <c r="W39" s="542">
        <v>11.891666666666669</v>
      </c>
      <c r="X39" s="542">
        <v>11.850000000000003</v>
      </c>
      <c r="Y39" s="542">
        <v>11.808333333333337</v>
      </c>
      <c r="Z39" s="542">
        <v>11.766666666666671</v>
      </c>
      <c r="AA39" s="541">
        <v>11.725000000000005</v>
      </c>
      <c r="AB39" s="542">
        <v>11.683333333333339</v>
      </c>
      <c r="AC39" s="542">
        <v>11.641666666666673</v>
      </c>
    </row>
    <row r="40" spans="2:29" ht="13" thickBot="1" x14ac:dyDescent="0.3">
      <c r="B40" s="133">
        <v>75</v>
      </c>
      <c r="C40" s="533">
        <v>11</v>
      </c>
      <c r="D40" s="536"/>
      <c r="E40" s="536"/>
      <c r="F40" s="536"/>
      <c r="G40" s="536"/>
      <c r="H40" s="536"/>
      <c r="I40" s="536"/>
      <c r="J40" s="536"/>
      <c r="K40" s="536"/>
      <c r="L40" s="536"/>
      <c r="M40" s="536"/>
      <c r="N40" s="536"/>
      <c r="Q40" s="133">
        <v>75</v>
      </c>
      <c r="R40" s="541">
        <v>11.6</v>
      </c>
      <c r="S40" s="543"/>
      <c r="T40" s="543"/>
      <c r="U40" s="543"/>
      <c r="V40" s="543"/>
      <c r="W40" s="543"/>
      <c r="X40" s="543"/>
      <c r="Y40" s="543"/>
      <c r="Z40" s="543"/>
      <c r="AA40" s="543"/>
      <c r="AB40" s="543"/>
      <c r="AC40" s="543"/>
    </row>
    <row r="41" spans="2:29" x14ac:dyDescent="0.25">
      <c r="G41" s="529" t="s">
        <v>793</v>
      </c>
      <c r="H41" s="529"/>
      <c r="I41" s="529"/>
      <c r="J41" s="529"/>
      <c r="K41" s="529"/>
      <c r="L41" s="529"/>
      <c r="R41" s="543"/>
      <c r="S41" s="543"/>
      <c r="T41" s="543"/>
      <c r="U41" s="543"/>
      <c r="V41" s="543"/>
      <c r="W41" s="543"/>
      <c r="X41" s="543"/>
      <c r="Y41" s="543"/>
      <c r="Z41" s="543"/>
      <c r="AA41" s="543"/>
      <c r="AB41" s="543"/>
      <c r="AC41" s="543"/>
    </row>
    <row r="42" spans="2:29" ht="13.5" thickBot="1" x14ac:dyDescent="0.35">
      <c r="B42" s="1" t="s">
        <v>424</v>
      </c>
      <c r="G42" s="78" t="s">
        <v>426</v>
      </c>
    </row>
    <row r="43" spans="2:29" ht="13.5" thickBot="1" x14ac:dyDescent="0.3">
      <c r="B43" s="666" t="s">
        <v>417</v>
      </c>
      <c r="C43" s="668" t="s">
        <v>421</v>
      </c>
      <c r="D43" s="669"/>
      <c r="E43" s="669"/>
      <c r="F43" s="669"/>
      <c r="G43" s="669"/>
      <c r="H43" s="669"/>
      <c r="I43" s="669"/>
      <c r="J43" s="669"/>
      <c r="K43" s="669"/>
      <c r="L43" s="669"/>
      <c r="M43" s="669"/>
      <c r="N43" s="670"/>
    </row>
    <row r="44" spans="2:29" ht="13.5" thickBot="1" x14ac:dyDescent="0.3">
      <c r="B44" s="667"/>
      <c r="C44" s="136">
        <v>0</v>
      </c>
      <c r="D44" s="137">
        <v>1</v>
      </c>
      <c r="E44" s="137">
        <v>2</v>
      </c>
      <c r="F44" s="137">
        <v>3</v>
      </c>
      <c r="G44" s="137">
        <v>4</v>
      </c>
      <c r="H44" s="137">
        <v>5</v>
      </c>
      <c r="I44" s="137">
        <v>6</v>
      </c>
      <c r="J44" s="137">
        <v>7</v>
      </c>
      <c r="K44" s="138">
        <v>8</v>
      </c>
      <c r="L44" s="137">
        <v>9</v>
      </c>
      <c r="M44" s="137">
        <v>10</v>
      </c>
      <c r="N44" s="139">
        <v>11</v>
      </c>
    </row>
    <row r="45" spans="2:29" ht="13" x14ac:dyDescent="0.25">
      <c r="B45" s="140">
        <v>55</v>
      </c>
      <c r="C45" s="520">
        <v>20.3</v>
      </c>
      <c r="D45" s="521">
        <v>20.27</v>
      </c>
      <c r="E45" s="521">
        <v>20.23</v>
      </c>
      <c r="F45" s="521">
        <v>20.2</v>
      </c>
      <c r="G45" s="521">
        <v>20.170000000000002</v>
      </c>
      <c r="H45" s="521">
        <v>20.13</v>
      </c>
      <c r="I45" s="521">
        <v>20.100000000000001</v>
      </c>
      <c r="J45" s="521">
        <v>20.07</v>
      </c>
      <c r="K45" s="522">
        <v>20.03</v>
      </c>
      <c r="L45" s="521">
        <v>20</v>
      </c>
      <c r="M45" s="521">
        <v>19.97</v>
      </c>
      <c r="N45" s="523">
        <v>19.93</v>
      </c>
    </row>
    <row r="46" spans="2:29" ht="13" x14ac:dyDescent="0.25">
      <c r="B46" s="140">
        <v>56</v>
      </c>
      <c r="C46" s="520">
        <v>19.899999999999999</v>
      </c>
      <c r="D46" s="521">
        <v>19.87</v>
      </c>
      <c r="E46" s="521">
        <v>19.829999999999998</v>
      </c>
      <c r="F46" s="521">
        <v>19.8</v>
      </c>
      <c r="G46" s="521">
        <v>19.77</v>
      </c>
      <c r="H46" s="521">
        <v>19.73</v>
      </c>
      <c r="I46" s="521">
        <v>19.7</v>
      </c>
      <c r="J46" s="521">
        <v>19.670000000000002</v>
      </c>
      <c r="K46" s="522">
        <v>19.63</v>
      </c>
      <c r="L46" s="521">
        <v>19.600000000000001</v>
      </c>
      <c r="M46" s="521">
        <v>19.57</v>
      </c>
      <c r="N46" s="523">
        <v>19.53</v>
      </c>
    </row>
    <row r="47" spans="2:29" ht="13" x14ac:dyDescent="0.25">
      <c r="B47" s="140">
        <v>57</v>
      </c>
      <c r="C47" s="520">
        <v>19.5</v>
      </c>
      <c r="D47" s="521">
        <v>19.47</v>
      </c>
      <c r="E47" s="521">
        <v>19.43</v>
      </c>
      <c r="F47" s="521">
        <v>19.399999999999999</v>
      </c>
      <c r="G47" s="521">
        <v>19.37</v>
      </c>
      <c r="H47" s="521">
        <v>19.329999999999998</v>
      </c>
      <c r="I47" s="521">
        <v>19.3</v>
      </c>
      <c r="J47" s="521">
        <v>19.27</v>
      </c>
      <c r="K47" s="522">
        <v>19.23</v>
      </c>
      <c r="L47" s="521">
        <v>19.2</v>
      </c>
      <c r="M47" s="521">
        <v>19.170000000000002</v>
      </c>
      <c r="N47" s="523">
        <v>19.13</v>
      </c>
    </row>
    <row r="48" spans="2:29" ht="13" x14ac:dyDescent="0.25">
      <c r="B48" s="140">
        <v>58</v>
      </c>
      <c r="C48" s="520">
        <v>19.100000000000001</v>
      </c>
      <c r="D48" s="521">
        <v>19.07</v>
      </c>
      <c r="E48" s="521">
        <v>19.03</v>
      </c>
      <c r="F48" s="521">
        <v>19</v>
      </c>
      <c r="G48" s="521">
        <v>18.97</v>
      </c>
      <c r="H48" s="521">
        <v>18.93</v>
      </c>
      <c r="I48" s="521">
        <v>18.899999999999999</v>
      </c>
      <c r="J48" s="521">
        <v>18.87</v>
      </c>
      <c r="K48" s="522">
        <v>18.829999999999998</v>
      </c>
      <c r="L48" s="521">
        <v>18.8</v>
      </c>
      <c r="M48" s="521">
        <v>18.77</v>
      </c>
      <c r="N48" s="523">
        <v>18.73</v>
      </c>
    </row>
    <row r="49" spans="2:14" ht="13" x14ac:dyDescent="0.25">
      <c r="B49" s="140">
        <v>59</v>
      </c>
      <c r="C49" s="520">
        <v>18.7</v>
      </c>
      <c r="D49" s="521">
        <v>18.670000000000002</v>
      </c>
      <c r="E49" s="521">
        <v>18.63</v>
      </c>
      <c r="F49" s="521">
        <v>18.600000000000001</v>
      </c>
      <c r="G49" s="521">
        <v>18.57</v>
      </c>
      <c r="H49" s="521">
        <v>18.53</v>
      </c>
      <c r="I49" s="521">
        <v>18.5</v>
      </c>
      <c r="J49" s="521">
        <v>18.47</v>
      </c>
      <c r="K49" s="522">
        <v>18.43</v>
      </c>
      <c r="L49" s="521">
        <v>18.399999999999999</v>
      </c>
      <c r="M49" s="521">
        <v>18.37</v>
      </c>
      <c r="N49" s="523">
        <v>18.329999999999998</v>
      </c>
    </row>
    <row r="50" spans="2:14" ht="13" x14ac:dyDescent="0.25">
      <c r="B50" s="140">
        <v>60</v>
      </c>
      <c r="C50" s="520">
        <v>18.3</v>
      </c>
      <c r="D50" s="521">
        <v>18.260000000000002</v>
      </c>
      <c r="E50" s="521">
        <v>18.22</v>
      </c>
      <c r="F50" s="521">
        <v>18.18</v>
      </c>
      <c r="G50" s="521">
        <v>18.13</v>
      </c>
      <c r="H50" s="521">
        <v>18.09</v>
      </c>
      <c r="I50" s="521">
        <v>18.05</v>
      </c>
      <c r="J50" s="521">
        <v>18.010000000000002</v>
      </c>
      <c r="K50" s="522">
        <v>17.97</v>
      </c>
      <c r="L50" s="521">
        <v>17.93</v>
      </c>
      <c r="M50" s="521">
        <v>17.88</v>
      </c>
      <c r="N50" s="523">
        <v>17.84</v>
      </c>
    </row>
    <row r="51" spans="2:14" ht="13" x14ac:dyDescent="0.25">
      <c r="B51" s="140">
        <v>61</v>
      </c>
      <c r="C51" s="520">
        <v>17.8</v>
      </c>
      <c r="D51" s="521">
        <v>17.77</v>
      </c>
      <c r="E51" s="521">
        <v>17.73</v>
      </c>
      <c r="F51" s="521">
        <v>17.7</v>
      </c>
      <c r="G51" s="521">
        <v>17.670000000000002</v>
      </c>
      <c r="H51" s="521">
        <v>17.63</v>
      </c>
      <c r="I51" s="521">
        <v>17.600000000000001</v>
      </c>
      <c r="J51" s="521">
        <v>17.57</v>
      </c>
      <c r="K51" s="522">
        <v>17.53</v>
      </c>
      <c r="L51" s="521">
        <v>17.5</v>
      </c>
      <c r="M51" s="521">
        <v>17.47</v>
      </c>
      <c r="N51" s="523">
        <v>17.43</v>
      </c>
    </row>
    <row r="52" spans="2:14" ht="13" x14ac:dyDescent="0.25">
      <c r="B52" s="140">
        <v>62</v>
      </c>
      <c r="C52" s="520">
        <v>17.399999999999999</v>
      </c>
      <c r="D52" s="521">
        <v>17.36</v>
      </c>
      <c r="E52" s="521">
        <v>17.32</v>
      </c>
      <c r="F52" s="521">
        <v>17.28</v>
      </c>
      <c r="G52" s="521">
        <v>17.23</v>
      </c>
      <c r="H52" s="521">
        <v>17.190000000000001</v>
      </c>
      <c r="I52" s="521">
        <v>17.149999999999999</v>
      </c>
      <c r="J52" s="521">
        <v>17.11</v>
      </c>
      <c r="K52" s="522">
        <v>17.07</v>
      </c>
      <c r="L52" s="521">
        <v>17.03</v>
      </c>
      <c r="M52" s="521">
        <v>16.98</v>
      </c>
      <c r="N52" s="523">
        <v>16.940000000000001</v>
      </c>
    </row>
    <row r="53" spans="2:14" ht="13" x14ac:dyDescent="0.25">
      <c r="B53" s="140">
        <v>63</v>
      </c>
      <c r="C53" s="520">
        <v>16.899999999999999</v>
      </c>
      <c r="D53" s="521">
        <v>16.87</v>
      </c>
      <c r="E53" s="521">
        <v>16.829999999999998</v>
      </c>
      <c r="F53" s="521">
        <v>16.8</v>
      </c>
      <c r="G53" s="521">
        <v>16.77</v>
      </c>
      <c r="H53" s="521">
        <v>16.73</v>
      </c>
      <c r="I53" s="521">
        <v>16.7</v>
      </c>
      <c r="J53" s="521">
        <v>16.670000000000002</v>
      </c>
      <c r="K53" s="522">
        <v>16.63</v>
      </c>
      <c r="L53" s="521">
        <v>16.600000000000001</v>
      </c>
      <c r="M53" s="521">
        <v>16.57</v>
      </c>
      <c r="N53" s="523">
        <v>16.53</v>
      </c>
    </row>
    <row r="54" spans="2:14" ht="13.5" thickBot="1" x14ac:dyDescent="0.3">
      <c r="B54" s="140">
        <v>64</v>
      </c>
      <c r="C54" s="524">
        <v>16.5</v>
      </c>
      <c r="D54" s="525">
        <v>16.46</v>
      </c>
      <c r="E54" s="525">
        <v>16.420000000000002</v>
      </c>
      <c r="F54" s="525">
        <v>16.38</v>
      </c>
      <c r="G54" s="525">
        <v>16.329999999999998</v>
      </c>
      <c r="H54" s="525">
        <v>16.29</v>
      </c>
      <c r="I54" s="525">
        <v>16.25</v>
      </c>
      <c r="J54" s="525">
        <v>16.21</v>
      </c>
      <c r="K54" s="525">
        <v>16.170000000000002</v>
      </c>
      <c r="L54" s="525">
        <v>16.13</v>
      </c>
      <c r="M54" s="525">
        <v>16.079999999999998</v>
      </c>
      <c r="N54" s="526">
        <v>16.04</v>
      </c>
    </row>
    <row r="55" spans="2:14" ht="13.5" thickBot="1" x14ac:dyDescent="0.3">
      <c r="B55" s="141">
        <v>65</v>
      </c>
      <c r="C55" s="527">
        <v>16</v>
      </c>
      <c r="D55" s="528"/>
      <c r="E55" s="528"/>
      <c r="F55" s="528"/>
      <c r="G55" s="528"/>
      <c r="H55" s="528"/>
      <c r="I55" s="528"/>
      <c r="J55" s="528"/>
      <c r="K55" s="528"/>
      <c r="L55" s="528"/>
      <c r="M55" s="528"/>
      <c r="N55" s="528"/>
    </row>
  </sheetData>
  <mergeCells count="6">
    <mergeCell ref="R10:AC10"/>
    <mergeCell ref="B10:B11"/>
    <mergeCell ref="C10:N10"/>
    <mergeCell ref="B43:B44"/>
    <mergeCell ref="C43:N43"/>
    <mergeCell ref="Q10:Q11"/>
  </mergeCells>
  <hyperlinks>
    <hyperlink ref="G42" r:id="rId1"/>
    <hyperlink ref="G8" r:id="rId2"/>
    <hyperlink ref="X8" r:id="rId3"/>
  </hyperlinks>
  <pageMargins left="0.7" right="0.7" top="0.75" bottom="0.75" header="0.3" footer="0.3"/>
  <pageSetup paperSize="9" orientation="portrait" r:id="rId4"/>
  <headerFooter>
    <oddHeader>&amp;CPROTECT - SCHEME MANAGEMENT&amp;L_x000D_&amp;Z&amp;F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7"/>
  <sheetViews>
    <sheetView windowProtection="1" zoomScale="85" zoomScaleNormal="85" workbookViewId="0">
      <selection activeCell="H46" sqref="H46:I47"/>
    </sheetView>
  </sheetViews>
  <sheetFormatPr defaultRowHeight="12.5" x14ac:dyDescent="0.25"/>
  <cols>
    <col min="2" max="2" width="15.453125" bestFit="1" customWidth="1"/>
    <col min="3" max="3" width="16.453125" customWidth="1"/>
    <col min="5" max="5" width="10.453125" customWidth="1"/>
  </cols>
  <sheetData>
    <row r="1" spans="1:14" ht="20" x14ac:dyDescent="0.4">
      <c r="A1" s="13" t="s">
        <v>19</v>
      </c>
      <c r="B1" s="12"/>
      <c r="C1" s="12"/>
      <c r="D1" s="12"/>
      <c r="E1" s="12"/>
      <c r="F1" s="12"/>
      <c r="G1" s="12"/>
      <c r="H1" s="12"/>
      <c r="I1" s="12"/>
    </row>
    <row r="2" spans="1:14" ht="15.5" x14ac:dyDescent="0.35">
      <c r="A2" s="27" t="str">
        <f>IF(title="&gt; Enter workbook title here","Enter workbook title in Cover sheet",title)</f>
        <v>Scottish Police Pension Calculator</v>
      </c>
      <c r="B2" s="11"/>
      <c r="C2" s="11"/>
      <c r="D2" s="11"/>
      <c r="E2" s="11"/>
      <c r="F2" s="11"/>
      <c r="G2" s="11"/>
      <c r="H2" s="11"/>
      <c r="I2" s="11"/>
      <c r="N2" s="78"/>
    </row>
    <row r="3" spans="1:14" ht="15.5" x14ac:dyDescent="0.35">
      <c r="A3" s="14" t="s">
        <v>412</v>
      </c>
      <c r="B3" s="11"/>
      <c r="C3" s="11"/>
      <c r="D3" s="11"/>
      <c r="E3" s="11"/>
      <c r="F3" s="11"/>
      <c r="G3" s="11"/>
      <c r="H3" s="11"/>
      <c r="I3" s="11"/>
    </row>
    <row r="4" spans="1:14" x14ac:dyDescent="0.25">
      <c r="A4" s="7" t="str">
        <f ca="1">CELL("filename",A1)</f>
        <v>C:\Users\u418711\AppData\Local\Microsoft\Windows\INetCache\Content.Outlook\PTLKNQ86\[Copy of PPS Scotland PensionCalculatorv5.5 22Dec2020.xlsx]ERF and LRF</v>
      </c>
    </row>
    <row r="6" spans="1:14" ht="13" x14ac:dyDescent="0.3">
      <c r="B6" s="1" t="s">
        <v>602</v>
      </c>
    </row>
    <row r="7" spans="1:14" ht="13" x14ac:dyDescent="0.3">
      <c r="B7" s="1" t="s">
        <v>802</v>
      </c>
    </row>
    <row r="8" spans="1:14" ht="13.5" thickBot="1" x14ac:dyDescent="0.35">
      <c r="B8" s="1" t="s">
        <v>803</v>
      </c>
      <c r="C8" s="78" t="s">
        <v>804</v>
      </c>
      <c r="D8" s="78"/>
    </row>
    <row r="9" spans="1:14" ht="13.5" thickBot="1" x14ac:dyDescent="0.3">
      <c r="B9" s="331"/>
      <c r="C9" s="661" t="s">
        <v>599</v>
      </c>
      <c r="D9" s="662"/>
      <c r="E9" s="662"/>
      <c r="F9" s="662"/>
      <c r="G9" s="662"/>
      <c r="H9" s="663"/>
    </row>
    <row r="10" spans="1:14" ht="13.5" thickBot="1" x14ac:dyDescent="0.3">
      <c r="B10" s="133"/>
      <c r="C10" s="661" t="s">
        <v>417</v>
      </c>
      <c r="D10" s="662"/>
      <c r="E10" s="662"/>
      <c r="F10" s="662"/>
      <c r="G10" s="662"/>
      <c r="H10" s="663"/>
    </row>
    <row r="11" spans="1:14" ht="13.5" thickBot="1" x14ac:dyDescent="0.3">
      <c r="B11" s="329" t="s">
        <v>185</v>
      </c>
      <c r="C11" s="332">
        <v>0</v>
      </c>
      <c r="D11" s="332">
        <v>1</v>
      </c>
      <c r="E11" s="332">
        <v>2</v>
      </c>
      <c r="F11" s="332">
        <v>3</v>
      </c>
      <c r="G11" s="332">
        <v>4</v>
      </c>
      <c r="H11" s="332">
        <v>5</v>
      </c>
    </row>
    <row r="12" spans="1:14" ht="13" thickBot="1" x14ac:dyDescent="0.3">
      <c r="B12" s="133">
        <v>0</v>
      </c>
      <c r="C12" s="544">
        <v>0.999</v>
      </c>
      <c r="D12" s="544">
        <v>0.96799999999999997</v>
      </c>
      <c r="E12" s="544">
        <v>0.93799999999999994</v>
      </c>
      <c r="F12" s="544">
        <v>0.91100000000000003</v>
      </c>
      <c r="G12" s="544">
        <v>0.88800000000000001</v>
      </c>
      <c r="H12" s="544">
        <v>0.86499999999999999</v>
      </c>
    </row>
    <row r="13" spans="1:14" ht="14.5" thickBot="1" x14ac:dyDescent="0.3">
      <c r="B13" s="133">
        <v>1</v>
      </c>
      <c r="C13" s="544">
        <v>0.996</v>
      </c>
      <c r="D13" s="544">
        <v>0.96599999999999997</v>
      </c>
      <c r="E13" s="544">
        <v>0.93600000000000005</v>
      </c>
      <c r="F13" s="544">
        <v>0.90900000000000003</v>
      </c>
      <c r="G13" s="544">
        <v>0.88600000000000001</v>
      </c>
      <c r="H13" s="334"/>
    </row>
    <row r="14" spans="1:14" ht="14.5" thickBot="1" x14ac:dyDescent="0.3">
      <c r="B14" s="133">
        <v>2</v>
      </c>
      <c r="C14" s="544">
        <v>0.99399999999999999</v>
      </c>
      <c r="D14" s="544">
        <v>0.96299999999999997</v>
      </c>
      <c r="E14" s="544">
        <v>0.93400000000000005</v>
      </c>
      <c r="F14" s="544">
        <v>0.90700000000000003</v>
      </c>
      <c r="G14" s="544">
        <v>0.88400000000000001</v>
      </c>
      <c r="H14" s="334"/>
    </row>
    <row r="15" spans="1:14" ht="14.5" thickBot="1" x14ac:dyDescent="0.3">
      <c r="B15" s="133">
        <v>3</v>
      </c>
      <c r="C15" s="544">
        <v>0.99099999999999999</v>
      </c>
      <c r="D15" s="544">
        <v>0.96099999999999997</v>
      </c>
      <c r="E15" s="544">
        <v>0.93100000000000005</v>
      </c>
      <c r="F15" s="544">
        <v>0.90500000000000003</v>
      </c>
      <c r="G15" s="544">
        <v>0.88200000000000001</v>
      </c>
      <c r="H15" s="334"/>
    </row>
    <row r="16" spans="1:14" ht="14.5" thickBot="1" x14ac:dyDescent="0.3">
      <c r="B16" s="133">
        <v>4</v>
      </c>
      <c r="C16" s="544">
        <v>0.98899999999999999</v>
      </c>
      <c r="D16" s="544">
        <v>0.95799999999999996</v>
      </c>
      <c r="E16" s="544">
        <v>0.92900000000000005</v>
      </c>
      <c r="F16" s="544">
        <v>0.90300000000000002</v>
      </c>
      <c r="G16" s="544">
        <v>0.88</v>
      </c>
      <c r="H16" s="334"/>
    </row>
    <row r="17" spans="2:8" ht="14.5" thickBot="1" x14ac:dyDescent="0.3">
      <c r="B17" s="133">
        <v>5</v>
      </c>
      <c r="C17" s="544">
        <v>0.98599999999999999</v>
      </c>
      <c r="D17" s="544">
        <v>0.95599999999999996</v>
      </c>
      <c r="E17" s="544">
        <v>0.92700000000000005</v>
      </c>
      <c r="F17" s="544">
        <v>0.90100000000000002</v>
      </c>
      <c r="G17" s="544">
        <v>0.878</v>
      </c>
      <c r="H17" s="334"/>
    </row>
    <row r="18" spans="2:8" ht="14.5" thickBot="1" x14ac:dyDescent="0.3">
      <c r="B18" s="133">
        <v>6</v>
      </c>
      <c r="C18" s="544">
        <v>0.98399999999999999</v>
      </c>
      <c r="D18" s="544">
        <v>0.95299999999999996</v>
      </c>
      <c r="E18" s="544">
        <v>0.92500000000000004</v>
      </c>
      <c r="F18" s="544">
        <v>0.89900000000000002</v>
      </c>
      <c r="G18" s="544">
        <v>0.876</v>
      </c>
      <c r="H18" s="334"/>
    </row>
    <row r="19" spans="2:8" ht="14.5" thickBot="1" x14ac:dyDescent="0.3">
      <c r="B19" s="133">
        <v>7</v>
      </c>
      <c r="C19" s="544">
        <v>0.98099999999999998</v>
      </c>
      <c r="D19" s="544">
        <v>0.95099999999999996</v>
      </c>
      <c r="E19" s="544">
        <v>0.92200000000000004</v>
      </c>
      <c r="F19" s="544">
        <v>0.89700000000000002</v>
      </c>
      <c r="G19" s="544">
        <v>0.874</v>
      </c>
      <c r="H19" s="334"/>
    </row>
    <row r="20" spans="2:8" ht="14.5" thickBot="1" x14ac:dyDescent="0.3">
      <c r="B20" s="133">
        <v>8</v>
      </c>
      <c r="C20" s="544">
        <v>0.97899999999999998</v>
      </c>
      <c r="D20" s="544">
        <v>0.94799999999999995</v>
      </c>
      <c r="E20" s="544">
        <v>0.92</v>
      </c>
      <c r="F20" s="544">
        <v>0.89500000000000002</v>
      </c>
      <c r="G20" s="544">
        <v>0.872</v>
      </c>
      <c r="H20" s="334"/>
    </row>
    <row r="21" spans="2:8" ht="14.5" thickBot="1" x14ac:dyDescent="0.3">
      <c r="B21" s="133">
        <v>9</v>
      </c>
      <c r="C21" s="544">
        <v>0.97599999999999998</v>
      </c>
      <c r="D21" s="544">
        <v>0.94599999999999995</v>
      </c>
      <c r="E21" s="544">
        <v>0.91800000000000004</v>
      </c>
      <c r="F21" s="544">
        <v>0.89300000000000002</v>
      </c>
      <c r="G21" s="544">
        <v>0.87</v>
      </c>
      <c r="H21" s="334"/>
    </row>
    <row r="22" spans="2:8" ht="14.5" thickBot="1" x14ac:dyDescent="0.3">
      <c r="B22" s="133">
        <v>10</v>
      </c>
      <c r="C22" s="544">
        <v>0.97299999999999998</v>
      </c>
      <c r="D22" s="544">
        <v>0.94299999999999995</v>
      </c>
      <c r="E22" s="544">
        <v>0.91600000000000004</v>
      </c>
      <c r="F22" s="544">
        <v>0.89100000000000001</v>
      </c>
      <c r="G22" s="544">
        <v>0.86799999999999999</v>
      </c>
      <c r="H22" s="334"/>
    </row>
    <row r="23" spans="2:8" ht="14.5" thickBot="1" x14ac:dyDescent="0.3">
      <c r="B23" s="133">
        <v>11</v>
      </c>
      <c r="C23" s="544">
        <v>0.97099999999999997</v>
      </c>
      <c r="D23" s="544">
        <v>0.94099999999999995</v>
      </c>
      <c r="E23" s="544">
        <v>0.91300000000000003</v>
      </c>
      <c r="F23" s="544">
        <v>0.88900000000000001</v>
      </c>
      <c r="G23" s="544">
        <v>0.86599999999999999</v>
      </c>
      <c r="H23" s="334"/>
    </row>
    <row r="24" spans="2:8" ht="13" x14ac:dyDescent="0.3">
      <c r="B24" s="1" t="s">
        <v>805</v>
      </c>
    </row>
    <row r="25" spans="2:8" ht="13.5" thickBot="1" x14ac:dyDescent="0.35">
      <c r="B25" s="1" t="s">
        <v>806</v>
      </c>
      <c r="C25" s="78" t="s">
        <v>804</v>
      </c>
      <c r="D25" s="78"/>
    </row>
    <row r="26" spans="2:8" ht="13" thickBot="1" x14ac:dyDescent="0.3">
      <c r="B26" s="331" t="s">
        <v>600</v>
      </c>
      <c r="C26" s="331" t="s">
        <v>601</v>
      </c>
      <c r="D26" s="245" t="s">
        <v>604</v>
      </c>
      <c r="E26" s="335" t="s">
        <v>603</v>
      </c>
    </row>
    <row r="27" spans="2:8" ht="13" thickBot="1" x14ac:dyDescent="0.3">
      <c r="B27" s="133">
        <v>60</v>
      </c>
      <c r="C27" s="544">
        <v>3.6999999999999998E-2</v>
      </c>
      <c r="D27" s="333">
        <f>C27+1</f>
        <v>1.0369999999999999</v>
      </c>
      <c r="E27" s="333">
        <f>PRODUCT($D$27:D27)</f>
        <v>1.0369999999999999</v>
      </c>
    </row>
    <row r="28" spans="2:8" ht="13" thickBot="1" x14ac:dyDescent="0.3">
      <c r="B28" s="133">
        <v>61</v>
      </c>
      <c r="C28" s="544">
        <v>3.7999999999999999E-2</v>
      </c>
      <c r="D28" s="333">
        <f t="shared" ref="D28:D37" si="0">C28+1</f>
        <v>1.038</v>
      </c>
      <c r="E28" s="333">
        <f>PRODUCT($D$27:D28)</f>
        <v>1.076406</v>
      </c>
    </row>
    <row r="29" spans="2:8" ht="13" thickBot="1" x14ac:dyDescent="0.3">
      <c r="B29" s="133">
        <v>62</v>
      </c>
      <c r="C29" s="544">
        <v>0.04</v>
      </c>
      <c r="D29" s="333">
        <f t="shared" si="0"/>
        <v>1.04</v>
      </c>
      <c r="E29" s="333">
        <f>PRODUCT($D$27:D29)</f>
        <v>1.1194622400000001</v>
      </c>
    </row>
    <row r="30" spans="2:8" ht="13" thickBot="1" x14ac:dyDescent="0.3">
      <c r="B30" s="133">
        <v>63</v>
      </c>
      <c r="C30" s="544">
        <v>4.1000000000000002E-2</v>
      </c>
      <c r="D30" s="333">
        <f t="shared" si="0"/>
        <v>1.0409999999999999</v>
      </c>
      <c r="E30" s="333">
        <f>PRODUCT($D$27:D30)</f>
        <v>1.1653601918400001</v>
      </c>
    </row>
    <row r="31" spans="2:8" ht="13" thickBot="1" x14ac:dyDescent="0.3">
      <c r="B31" s="133">
        <v>64</v>
      </c>
      <c r="C31" s="544">
        <v>4.2999999999999997E-2</v>
      </c>
      <c r="D31" s="333">
        <f t="shared" si="0"/>
        <v>1.0429999999999999</v>
      </c>
      <c r="E31" s="333">
        <f>PRODUCT($D$27:D31)</f>
        <v>1.21547068008912</v>
      </c>
    </row>
    <row r="32" spans="2:8" ht="13" thickBot="1" x14ac:dyDescent="0.3">
      <c r="B32" s="133">
        <v>65</v>
      </c>
      <c r="C32" s="544">
        <v>4.3999999999999997E-2</v>
      </c>
      <c r="D32" s="333">
        <f t="shared" si="0"/>
        <v>1.044</v>
      </c>
      <c r="E32" s="333">
        <f>PRODUCT($D$27:D32)</f>
        <v>1.2689513900130414</v>
      </c>
    </row>
    <row r="33" spans="2:5" ht="13" thickBot="1" x14ac:dyDescent="0.3">
      <c r="B33" s="133">
        <v>66</v>
      </c>
      <c r="C33" s="544">
        <v>4.5999999999999999E-2</v>
      </c>
      <c r="D33" s="333">
        <f t="shared" si="0"/>
        <v>1.046</v>
      </c>
      <c r="E33" s="333">
        <f>PRODUCT($D$27:D33)</f>
        <v>1.3273231539536414</v>
      </c>
    </row>
    <row r="34" spans="2:5" ht="13" thickBot="1" x14ac:dyDescent="0.3">
      <c r="B34" s="133">
        <v>67</v>
      </c>
      <c r="C34" s="544">
        <v>4.8000000000000001E-2</v>
      </c>
      <c r="D34" s="333">
        <f t="shared" si="0"/>
        <v>1.048</v>
      </c>
      <c r="E34" s="333">
        <f>PRODUCT($D$27:D34)</f>
        <v>1.3910346653434162</v>
      </c>
    </row>
    <row r="35" spans="2:5" ht="13" thickBot="1" x14ac:dyDescent="0.3">
      <c r="B35" s="133">
        <v>68</v>
      </c>
      <c r="C35" s="544">
        <v>4.9000000000000002E-2</v>
      </c>
      <c r="D35" s="333">
        <f t="shared" si="0"/>
        <v>1.0489999999999999</v>
      </c>
      <c r="E35" s="333">
        <f>PRODUCT($D$27:D35)</f>
        <v>1.4591953639452435</v>
      </c>
    </row>
    <row r="36" spans="2:5" ht="13" thickBot="1" x14ac:dyDescent="0.3">
      <c r="B36" s="133">
        <v>69</v>
      </c>
      <c r="C36" s="544">
        <v>5.2999999999999999E-2</v>
      </c>
      <c r="D36" s="333">
        <f t="shared" si="0"/>
        <v>1.0529999999999999</v>
      </c>
      <c r="E36" s="333">
        <f>PRODUCT($D$27:D36)</f>
        <v>1.5365327182343413</v>
      </c>
    </row>
    <row r="37" spans="2:5" ht="13" thickBot="1" x14ac:dyDescent="0.3">
      <c r="B37" s="133">
        <v>70</v>
      </c>
      <c r="C37" s="544">
        <v>5.3999999999999999E-2</v>
      </c>
      <c r="D37" s="333">
        <f t="shared" si="0"/>
        <v>1.054</v>
      </c>
      <c r="E37" s="333">
        <f>PRODUCT($D$27:D37)</f>
        <v>1.6195054850189958</v>
      </c>
    </row>
  </sheetData>
  <mergeCells count="2">
    <mergeCell ref="C10:H10"/>
    <mergeCell ref="C9:H9"/>
  </mergeCells>
  <hyperlinks>
    <hyperlink ref="C8" r:id="rId1"/>
    <hyperlink ref="C25" r:id="rId2"/>
  </hyperlinks>
  <pageMargins left="0.7" right="0.7" top="0.75" bottom="0.75" header="0.3" footer="0.3"/>
  <pageSetup paperSize="9" orientation="portrait" r:id="rId3"/>
  <headerFooter>
    <oddHeader>&amp;CPROTECT - SCHEME MANAGEMENT&amp;L_x000D_&amp;Z&amp;F  [&amp;A]</oddHeader>
    <oddFooter>&amp;LPage &amp;P of &amp;N&amp;R&amp;T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79</vt:i4>
      </vt:variant>
    </vt:vector>
  </HeadingPairs>
  <TitlesOfParts>
    <vt:vector size="94" baseType="lpstr">
      <vt:lpstr>Cover</vt:lpstr>
      <vt:lpstr>Version control</vt:lpstr>
      <vt:lpstr>Calculator</vt:lpstr>
      <vt:lpstr>Guidance Notes</vt:lpstr>
      <vt:lpstr>Printable Estimate</vt:lpstr>
      <vt:lpstr>Parameters</vt:lpstr>
      <vt:lpstr>Tapers</vt:lpstr>
      <vt:lpstr>Commutation Factors</vt:lpstr>
      <vt:lpstr>ERF and LRF</vt:lpstr>
      <vt:lpstr>PPS and NPPS calcs</vt:lpstr>
      <vt:lpstr>Past Service CARE Calcs</vt:lpstr>
      <vt:lpstr>CARE calcs</vt:lpstr>
      <vt:lpstr>Summary</vt:lpstr>
      <vt:lpstr>CARE calcs ABS</vt:lpstr>
      <vt:lpstr>Lump Sum</vt:lpstr>
      <vt:lpstr>ABSEndDate</vt:lpstr>
      <vt:lpstr>ABSEndDate1</vt:lpstr>
      <vt:lpstr>ABSYears</vt:lpstr>
      <vt:lpstr>Acc_CARE</vt:lpstr>
      <vt:lpstr>Acc_NPPS</vt:lpstr>
      <vt:lpstr>Acc_PPS</vt:lpstr>
      <vt:lpstr>age_exact</vt:lpstr>
      <vt:lpstr>age_lbd</vt:lpstr>
      <vt:lpstr>Age38Taper</vt:lpstr>
      <vt:lpstr>Age45Taper</vt:lpstr>
      <vt:lpstr>basis1</vt:lpstr>
      <vt:lpstr>basis2</vt:lpstr>
      <vt:lpstr>basis3</vt:lpstr>
      <vt:lpstr>care_rev</vt:lpstr>
      <vt:lpstr>CareComm</vt:lpstr>
      <vt:lpstr>ChosenRA</vt:lpstr>
      <vt:lpstr>Class_Select</vt:lpstr>
      <vt:lpstr>Classification_Key</vt:lpstr>
      <vt:lpstr>Comm_Factor</vt:lpstr>
      <vt:lpstr>CornerTaper</vt:lpstr>
      <vt:lpstr>cpi</vt:lpstr>
      <vt:lpstr>cpi_1</vt:lpstr>
      <vt:lpstr>cpi_2</vt:lpstr>
      <vt:lpstr>cpi_3</vt:lpstr>
      <vt:lpstr>CurrentSal</vt:lpstr>
      <vt:lpstr>CurrentScheme</vt:lpstr>
      <vt:lpstr>Date_curr</vt:lpstr>
      <vt:lpstr>date60</vt:lpstr>
      <vt:lpstr>DefDec</vt:lpstr>
      <vt:lpstr>Descriptor_Key</vt:lpstr>
      <vt:lpstr>Descriptor_Select</vt:lpstr>
      <vt:lpstr>DJS</vt:lpstr>
      <vt:lpstr>DJS_Adj</vt:lpstr>
      <vt:lpstr>DoB</vt:lpstr>
      <vt:lpstr>DoProtEnd</vt:lpstr>
      <vt:lpstr>DoR</vt:lpstr>
      <vt:lpstr>DoStartSchYear</vt:lpstr>
      <vt:lpstr>DoUnderpin</vt:lpstr>
      <vt:lpstr>DoY</vt:lpstr>
      <vt:lpstr>ERF</vt:lpstr>
      <vt:lpstr>ERFfactor</vt:lpstr>
      <vt:lpstr>Form_Check</vt:lpstr>
      <vt:lpstr>future_PTP</vt:lpstr>
      <vt:lpstr>Hide_range</vt:lpstr>
      <vt:lpstr>LRF</vt:lpstr>
      <vt:lpstr>LRFfactor</vt:lpstr>
      <vt:lpstr>LS_NPPS</vt:lpstr>
      <vt:lpstr>Name_member</vt:lpstr>
      <vt:lpstr>NewSchDate</vt:lpstr>
      <vt:lpstr>NonUplifted</vt:lpstr>
      <vt:lpstr>NPPSmax</vt:lpstr>
      <vt:lpstr>NPPSstart</vt:lpstr>
      <vt:lpstr>PPSmax</vt:lpstr>
      <vt:lpstr>Calculator!Print_Area</vt:lpstr>
      <vt:lpstr>'Printable Estimate'!Print_Area</vt:lpstr>
      <vt:lpstr>'Version control'!Print_Titles</vt:lpstr>
      <vt:lpstr>ProtectDate</vt:lpstr>
      <vt:lpstr>ProtStatus</vt:lpstr>
      <vt:lpstr>PT_Status</vt:lpstr>
      <vt:lpstr>RA_day</vt:lpstr>
      <vt:lpstr>RA_month</vt:lpstr>
      <vt:lpstr>RA_month_roundup</vt:lpstr>
      <vt:lpstr>RA_Year</vt:lpstr>
      <vt:lpstr>Reck_Days</vt:lpstr>
      <vt:lpstr>Reck_Years</vt:lpstr>
      <vt:lpstr>Reckonable_service</vt:lpstr>
      <vt:lpstr>sch</vt:lpstr>
      <vt:lpstr>sch_1</vt:lpstr>
      <vt:lpstr>sch_2</vt:lpstr>
      <vt:lpstr>Scheme_Full</vt:lpstr>
      <vt:lpstr>Service20Taper</vt:lpstr>
      <vt:lpstr>TaperSize</vt:lpstr>
      <vt:lpstr>title</vt:lpstr>
      <vt:lpstr>TVinDays</vt:lpstr>
      <vt:lpstr>TVinYears</vt:lpstr>
      <vt:lpstr>Uplift55andover</vt:lpstr>
      <vt:lpstr>Upliftunder55</vt:lpstr>
      <vt:lpstr>ValidSchemes</vt:lpstr>
      <vt:lpstr>VRA</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Crabtree</dc:creator>
  <cp:lastModifiedBy>u418711</cp:lastModifiedBy>
  <cp:lastPrinted>2017-04-27T11:10:34Z</cp:lastPrinted>
  <dcterms:created xsi:type="dcterms:W3CDTF">2007-01-30T12:07:56Z</dcterms:created>
  <dcterms:modified xsi:type="dcterms:W3CDTF">2021-01-18T09:37:36Z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9f9ef96f46b24a1cbbce5b71bb80026f</vt:lpwstr>
  </property>
  <property fmtid="{D5CDD505-2E9C-101B-9397-08002B2CF9AE}" pid="3" name="SW-FINGERPRINT">
    <vt:lpwstr/>
  </property>
</Properties>
</file>