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S O P A\Corporate Services\Corporate Communications\Channels\External\Website\New Website - Document Uploads\Calculators\Fire\"/>
    </mc:Choice>
  </mc:AlternateContent>
  <workbookProtection workbookAlgorithmName="SHA-512" workbookHashValue="yis7qw7ouIING39wdcBPlBivbh6YkxVrGiq08NTi4nJ6vaRAwrt0+9TIuTdmAvr5C1P9MVnTHBAiLTtzp2rxaw==" workbookSaltValue="ZCn9JYYVNLRTtzHKsER/7A==" workbookSpinCount="100000" lockStructure="1"/>
  <bookViews>
    <workbookView xWindow="-120" yWindow="-120" windowWidth="29040" windowHeight="15720" firstSheet="3" activeTab="4"/>
  </bookViews>
  <sheets>
    <sheet name="Cover" sheetId="1" state="hidden" r:id="rId1"/>
    <sheet name="AnnGenHiddenLists" sheetId="64" state="hidden" r:id="rId2"/>
    <sheet name="Version control" sheetId="4" state="hidden" r:id="rId3"/>
    <sheet name="Guidance Notes" sheetId="63" r:id="rId4"/>
    <sheet name="Calculator" sheetId="50" r:id="rId5"/>
    <sheet name="Printable Estimate" sheetId="62" r:id="rId6"/>
    <sheet name="Parameters" sheetId="51" state="hidden" r:id="rId7"/>
    <sheet name="Tapers" sheetId="53" state="hidden" r:id="rId8"/>
    <sheet name="Commutation Factors" sheetId="58" state="hidden" r:id="rId9"/>
    <sheet name="ERF and LRF" sheetId="60" state="hidden" r:id="rId10"/>
    <sheet name="FPS and NFPS calcs" sheetId="52" state="hidden" r:id="rId11"/>
    <sheet name="Past Service CARE Calcs" sheetId="56" state="hidden" r:id="rId12"/>
    <sheet name="CARE calcs" sheetId="54" state="hidden" r:id="rId13"/>
    <sheet name="CARE calcs ABS" sheetId="59" state="hidden" r:id="rId14"/>
    <sheet name="Lump Sum" sheetId="57" state="hidden" r:id="rId15"/>
    <sheet name="Summary" sheetId="55" state="hidden" r:id="rId16"/>
  </sheets>
  <externalReferences>
    <externalReference r:id="rId17"/>
    <externalReference r:id="rId18"/>
  </externalReferences>
  <definedNames>
    <definedName name="ABSEndDate">Calculator!$J$50</definedName>
    <definedName name="ABSEndDate1">Calculator!$J$42</definedName>
    <definedName name="ABSYears">[1]Parameters!$B$119:$B$128</definedName>
    <definedName name="Acc_CARE">Parameters!$F$21</definedName>
    <definedName name="Acc_FPS">Parameters!$F$19</definedName>
    <definedName name="Acc_NFPS">Parameters!$F$20</definedName>
    <definedName name="age_exact">'FPS and NFPS calcs'!$D$6</definedName>
    <definedName name="age_lbd">'FPS and NFPS calcs'!$D$7</definedName>
    <definedName name="BaseTablesList">AnnGenHiddenLists!$A$4:$A$160</definedName>
    <definedName name="basis1">Parameters!$C$88</definedName>
    <definedName name="basis2">Parameters!$C$89</definedName>
    <definedName name="basis3">Parameters!$C$90</definedName>
    <definedName name="CARE_ERFs">'ERF and LRF'!$B$30:$N$35</definedName>
    <definedName name="CARE_LRF">'ERF and LRF'!$B$44:$L$55</definedName>
    <definedName name="care_rev">Parameters!$G$91</definedName>
    <definedName name="CareComm">'Commutation Factors'!$F$7</definedName>
    <definedName name="ChosenRA">Parameters!$B$118</definedName>
    <definedName name="Class_Select">Cover!$A$54:$A$57</definedName>
    <definedName name="Classification_Key">Cover!$A$66</definedName>
    <definedName name="Comm_92_E">'Commutation Factors'!$B$46:$N$71</definedName>
    <definedName name="Comm_92_S">'Commutation Factors'!$B$14:$N$39</definedName>
    <definedName name="Comm_Factor">'Lump Sum'!$D$20</definedName>
    <definedName name="cpi">Parameters!$G$87</definedName>
    <definedName name="cpi_1">Parameters!$G$88</definedName>
    <definedName name="cpi_2">Parameters!$G$89</definedName>
    <definedName name="cpi_3">Parameters!$G$90</definedName>
    <definedName name="CurrentSal">Calculator!$J$36</definedName>
    <definedName name="CurrentScheme">Parameters!$B$111</definedName>
    <definedName name="Date_curr">Parameters!$D$96</definedName>
    <definedName name="date55">Calculator!$K$158</definedName>
    <definedName name="date60">Parameters!$B$120</definedName>
    <definedName name="DefDec">Parameters!$G$93</definedName>
    <definedName name="Descriptor_Key">Cover!$A$67</definedName>
    <definedName name="Descriptor_Select">Cover!$A$58:$A$65</definedName>
    <definedName name="DJS">Calculator!$J$29</definedName>
    <definedName name="DJS_Adj">'FPS and NFPS calcs'!$F$23</definedName>
    <definedName name="DoB">Calculator!$J$25</definedName>
    <definedName name="DoProtEnd">'FPS and NFPS calcs'!$F$25</definedName>
    <definedName name="DoR">Calculator!$J$38</definedName>
    <definedName name="DoStartSchYear">Parameters!$D$98</definedName>
    <definedName name="DoUnderpin">Parameters!$B$123</definedName>
    <definedName name="DoY">Parameters!$E$14</definedName>
    <definedName name="Factors">'[2]Factor Calculation'!$A$148:$W$207</definedName>
    <definedName name="Form_Check">Parameters!$B$130</definedName>
    <definedName name="FPSmax">Parameters!$F$16</definedName>
    <definedName name="future_PTP">Calculator!$J$46</definedName>
    <definedName name="Hide_range">'Printable Estimate'!$39:$50,'Printable Estimate'!$51:$51</definedName>
    <definedName name="ImprovementsList">AnnGenHiddenLists!$C$4:$C$38</definedName>
    <definedName name="Name_member">Calculator!$J$27</definedName>
    <definedName name="NewSchDate">Parameters!$E$12</definedName>
    <definedName name="NFPS_Comm">'Commutation Factors'!$F$8</definedName>
    <definedName name="NFPS_ERFs">'ERF and LRF'!$B$14:$N$23</definedName>
    <definedName name="NFPSmax">Parameters!$F$17</definedName>
    <definedName name="NFPSstart">Parameters!$E$34</definedName>
    <definedName name="NonUplifted">Parameters!$G$36</definedName>
    <definedName name="_xlnm.Print_Area" localSheetId="4">Calculator!$A$11:$N$127</definedName>
    <definedName name="_xlnm.Print_Area" localSheetId="5">'Printable Estimate'!$A$1:$H$53</definedName>
    <definedName name="_xlnm.Print_Titles" localSheetId="2">'Version control'!$A:$A</definedName>
    <definedName name="ProtectDate">Parameters!$E$10</definedName>
    <definedName name="ProtStatus">'FPS and NFPS calcs'!$F$24</definedName>
    <definedName name="PT_Status">Calculator!$J$44</definedName>
    <definedName name="RA_day">Parameters!$D$116</definedName>
    <definedName name="RA_month">Parameters!$C$116</definedName>
    <definedName name="RA_month_roundup">Parameters!$I$116</definedName>
    <definedName name="RA_Year">Parameters!$B$116</definedName>
    <definedName name="Reck_Days">Calculator!$J$53</definedName>
    <definedName name="Reck_Years">Calculator!$J$52</definedName>
    <definedName name="Reckonable_service">'Lump Sum'!$D$18</definedName>
    <definedName name="sch">Calculator!$C$142:$C$143</definedName>
    <definedName name="sch_1">Calculator!$C$142</definedName>
    <definedName name="sch_2">Calculator!$C$143</definedName>
    <definedName name="Sch_FPS">Parameters!$E$7</definedName>
    <definedName name="Sch_NFPS">Parameters!$E$8</definedName>
    <definedName name="Scheme_Full">Calculator!$J$31</definedName>
    <definedName name="tapertab1">Tapers!$B$13:$D$60</definedName>
    <definedName name="tapertab2">Tapers!$F$13:$H$60</definedName>
    <definedName name="tapertab3">Tapers!$J$13:$L$60</definedName>
    <definedName name="tapertab4">Tapers!$N$13:$P$60</definedName>
    <definedName name="tapertab5">Tapers!$R$13:$T$60</definedName>
    <definedName name="title">Cover!$A$2</definedName>
    <definedName name="TVinDays">Calculator!$J$34</definedName>
    <definedName name="TVinYears">Calculator!$J$33</definedName>
    <definedName name="Uplift_factors">Parameters!$B$42:$H$85</definedName>
    <definedName name="Uplift_Headers">Parameters!$B$41:$H$41</definedName>
    <definedName name="ValidSchemes">Parameters!$E$7:$E$8</definedName>
    <definedName name="VRA">'Lump Sum'!$D$19</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56" l="1"/>
  <c r="C34" i="56"/>
  <c r="C32" i="56"/>
  <c r="T20" i="56"/>
  <c r="S20" i="56"/>
  <c r="R20" i="56"/>
  <c r="Q20" i="56"/>
  <c r="P20" i="56"/>
  <c r="O20" i="56"/>
  <c r="N20" i="56"/>
  <c r="M20" i="56"/>
  <c r="L20" i="56"/>
  <c r="K20" i="56"/>
  <c r="J20" i="56"/>
  <c r="I20" i="56"/>
  <c r="H20" i="56"/>
  <c r="G20" i="56"/>
  <c r="F20" i="56"/>
  <c r="E20" i="56"/>
  <c r="D20" i="56"/>
  <c r="C20" i="56"/>
  <c r="T19" i="56"/>
  <c r="S19" i="56"/>
  <c r="R19" i="56"/>
  <c r="Q19" i="56"/>
  <c r="P19" i="56"/>
  <c r="O19" i="56"/>
  <c r="N19" i="56"/>
  <c r="M19" i="56"/>
  <c r="L19" i="56"/>
  <c r="K19" i="56"/>
  <c r="J19" i="56"/>
  <c r="I19" i="56"/>
  <c r="H19" i="56"/>
  <c r="G19" i="56"/>
  <c r="F19" i="56"/>
  <c r="E19" i="56"/>
  <c r="D19" i="56"/>
  <c r="C19" i="56"/>
  <c r="C7" i="56"/>
  <c r="G91" i="51" l="1"/>
  <c r="C33" i="56" s="1"/>
  <c r="D168" i="50" l="1"/>
  <c r="N15" i="52"/>
  <c r="M14" i="52"/>
  <c r="M13" i="52"/>
  <c r="K158" i="50"/>
  <c r="D157" i="50" l="1"/>
  <c r="C38" i="50"/>
  <c r="C55" i="50"/>
  <c r="H88" i="51" l="1"/>
  <c r="G88" i="51" s="1"/>
  <c r="D23" i="52" l="1"/>
  <c r="E23" i="52" s="1"/>
  <c r="K18" i="52" l="1"/>
  <c r="K15" i="52"/>
  <c r="J13" i="52" l="1"/>
  <c r="N21" i="53"/>
  <c r="N20" i="53"/>
  <c r="N19" i="53"/>
  <c r="N18" i="53"/>
  <c r="N17" i="53"/>
  <c r="N16" i="53"/>
  <c r="N15" i="53"/>
  <c r="N14" i="53"/>
  <c r="N13" i="53"/>
  <c r="D18" i="57" l="1"/>
  <c r="I21" i="57" s="1"/>
  <c r="I20" i="57" l="1"/>
  <c r="D19" i="57" l="1"/>
  <c r="R23" i="53" l="1"/>
  <c r="R22" i="53"/>
  <c r="R21" i="53"/>
  <c r="R20" i="53"/>
  <c r="R19" i="53"/>
  <c r="R18" i="53"/>
  <c r="R17" i="53"/>
  <c r="R16" i="53"/>
  <c r="R15" i="53"/>
  <c r="R14" i="53"/>
  <c r="R13" i="53"/>
  <c r="R24" i="53"/>
  <c r="R35" i="53"/>
  <c r="R34" i="53"/>
  <c r="R33" i="53"/>
  <c r="R32" i="53"/>
  <c r="R31" i="53"/>
  <c r="R30" i="53"/>
  <c r="R29" i="53"/>
  <c r="R28" i="53"/>
  <c r="R27" i="53"/>
  <c r="R26" i="53"/>
  <c r="R25" i="53"/>
  <c r="R36" i="53"/>
  <c r="R47" i="53"/>
  <c r="R46" i="53"/>
  <c r="R45" i="53"/>
  <c r="R44" i="53"/>
  <c r="R43" i="53"/>
  <c r="R42" i="53"/>
  <c r="R41" i="53"/>
  <c r="R40" i="53"/>
  <c r="R39" i="53"/>
  <c r="R38" i="53"/>
  <c r="R37" i="53"/>
  <c r="R48" i="53"/>
  <c r="R59" i="53"/>
  <c r="R58" i="53"/>
  <c r="R57" i="53"/>
  <c r="R56" i="53"/>
  <c r="R55" i="53"/>
  <c r="R54" i="53"/>
  <c r="R53" i="53"/>
  <c r="R52" i="53"/>
  <c r="R51" i="53"/>
  <c r="R50" i="53"/>
  <c r="R49" i="53"/>
  <c r="R60" i="53"/>
  <c r="N23" i="53"/>
  <c r="N22" i="53"/>
  <c r="N24" i="53"/>
  <c r="N35" i="53"/>
  <c r="N34" i="53"/>
  <c r="N33" i="53"/>
  <c r="N32" i="53"/>
  <c r="N31" i="53"/>
  <c r="N30" i="53"/>
  <c r="N29" i="53"/>
  <c r="N28" i="53"/>
  <c r="N27" i="53"/>
  <c r="N26" i="53"/>
  <c r="N25" i="53"/>
  <c r="N36" i="53"/>
  <c r="N47" i="53"/>
  <c r="N46" i="53"/>
  <c r="N45" i="53"/>
  <c r="N44" i="53"/>
  <c r="N43" i="53"/>
  <c r="N42" i="53"/>
  <c r="N41" i="53"/>
  <c r="N40" i="53"/>
  <c r="N39" i="53"/>
  <c r="N38" i="53"/>
  <c r="N37" i="53"/>
  <c r="N48" i="53"/>
  <c r="N59" i="53"/>
  <c r="N58" i="53"/>
  <c r="N57" i="53"/>
  <c r="N56" i="53"/>
  <c r="N55" i="53"/>
  <c r="N54" i="53"/>
  <c r="N53" i="53"/>
  <c r="N52" i="53"/>
  <c r="N51" i="53"/>
  <c r="N50" i="53"/>
  <c r="N49" i="53"/>
  <c r="N60" i="53"/>
  <c r="J14" i="52"/>
  <c r="F21" i="51" l="1"/>
  <c r="C41" i="52" l="1"/>
  <c r="C42" i="52"/>
  <c r="C43" i="52"/>
  <c r="D9" i="54" l="1"/>
  <c r="E51" i="52" l="1"/>
  <c r="D50" i="52"/>
  <c r="D14" i="52" l="1"/>
  <c r="D13" i="52"/>
  <c r="D15" i="52" s="1"/>
  <c r="E21" i="52"/>
  <c r="D21" i="52"/>
  <c r="F20" i="51" l="1"/>
  <c r="G36" i="51" l="1"/>
  <c r="D11" i="52"/>
  <c r="C28" i="62" l="1"/>
  <c r="E15" i="62" l="1"/>
  <c r="E21" i="62"/>
  <c r="E19" i="62"/>
  <c r="E17" i="62"/>
  <c r="E13" i="62"/>
  <c r="B130" i="51" l="1"/>
  <c r="B26" i="62" l="1"/>
  <c r="B116" i="51"/>
  <c r="C116" i="51" s="1"/>
  <c r="C31" i="50" l="1"/>
  <c r="K40" i="50" l="1"/>
  <c r="D37" i="55" l="1"/>
  <c r="I66" i="50" l="1"/>
  <c r="D14" i="57" l="1"/>
  <c r="C46" i="55" l="1"/>
  <c r="C45" i="55"/>
  <c r="C40" i="55"/>
  <c r="C39" i="55"/>
  <c r="F36" i="55"/>
  <c r="E36" i="55"/>
  <c r="D36" i="55"/>
  <c r="F37" i="55" l="1"/>
  <c r="E37" i="55"/>
  <c r="D116" i="51" l="1"/>
  <c r="B120" i="51" l="1"/>
  <c r="F116" i="51" l="1"/>
  <c r="G116" i="51" l="1"/>
  <c r="A4" i="60"/>
  <c r="A2" i="60"/>
  <c r="H116" i="51" l="1"/>
  <c r="I116" i="51" s="1"/>
  <c r="B114" i="51"/>
  <c r="E9" i="54"/>
  <c r="F9" i="54" s="1"/>
  <c r="E22" i="52"/>
  <c r="D22" i="52"/>
  <c r="G117" i="51" l="1"/>
  <c r="H117" i="51" s="1"/>
  <c r="B118" i="51"/>
  <c r="D21" i="54" s="1"/>
  <c r="D10" i="59"/>
  <c r="D9" i="59"/>
  <c r="A4" i="59"/>
  <c r="A2" i="59"/>
  <c r="D59" i="52"/>
  <c r="E59" i="52"/>
  <c r="D51" i="52"/>
  <c r="E50" i="52"/>
  <c r="C60" i="52"/>
  <c r="C77" i="50" l="1"/>
  <c r="C76" i="50"/>
  <c r="C87" i="50"/>
  <c r="I22" i="57"/>
  <c r="I117" i="51"/>
  <c r="D22" i="54"/>
  <c r="C48" i="62"/>
  <c r="C46" i="62"/>
  <c r="C45" i="62"/>
  <c r="C43" i="62"/>
  <c r="C39" i="62"/>
  <c r="B51" i="62"/>
  <c r="D7" i="57"/>
  <c r="C47" i="55"/>
  <c r="C42" i="55"/>
  <c r="C41" i="55"/>
  <c r="D10" i="54"/>
  <c r="C85" i="50"/>
  <c r="C84" i="50"/>
  <c r="C74" i="50"/>
  <c r="C73" i="50"/>
  <c r="E158" i="50"/>
  <c r="B111" i="51"/>
  <c r="F50" i="52" l="1"/>
  <c r="D12" i="52"/>
  <c r="D16" i="52" s="1"/>
  <c r="F51" i="52"/>
  <c r="F59" i="52"/>
  <c r="F22" i="52"/>
  <c r="F23" i="52"/>
  <c r="C89" i="50"/>
  <c r="C90" i="50"/>
  <c r="C80" i="50"/>
  <c r="C79" i="50"/>
  <c r="D17" i="52" l="1"/>
  <c r="D18" i="52" s="1"/>
  <c r="D96" i="51"/>
  <c r="T21" i="56" l="1"/>
  <c r="P21" i="56"/>
  <c r="L21" i="56"/>
  <c r="H21" i="56"/>
  <c r="D21" i="56"/>
  <c r="Q21" i="56"/>
  <c r="E21" i="56"/>
  <c r="S21" i="56"/>
  <c r="O21" i="56"/>
  <c r="K21" i="56"/>
  <c r="G21" i="56"/>
  <c r="C21" i="56"/>
  <c r="I21" i="56"/>
  <c r="R21" i="56"/>
  <c r="N21" i="56"/>
  <c r="J21" i="56"/>
  <c r="F21" i="56"/>
  <c r="M21" i="56"/>
  <c r="K22" i="52"/>
  <c r="J20" i="52"/>
  <c r="J21" i="52"/>
  <c r="J25" i="52" s="1"/>
  <c r="J17" i="52"/>
  <c r="D19" i="52"/>
  <c r="J9" i="52"/>
  <c r="K159" i="50"/>
  <c r="D53" i="62"/>
  <c r="D18" i="54"/>
  <c r="D15" i="59"/>
  <c r="D31" i="52"/>
  <c r="C137" i="50" l="1"/>
  <c r="F15" i="55"/>
  <c r="E15" i="55"/>
  <c r="C26" i="55"/>
  <c r="D9" i="52"/>
  <c r="F23" i="55"/>
  <c r="E23" i="55"/>
  <c r="D23" i="55"/>
  <c r="D25" i="55"/>
  <c r="E31" i="52"/>
  <c r="F31" i="52" s="1"/>
  <c r="E142" i="50"/>
  <c r="G93" i="51"/>
  <c r="F31" i="57"/>
  <c r="E31" i="57"/>
  <c r="D31" i="57"/>
  <c r="E186" i="50"/>
  <c r="E185" i="50"/>
  <c r="G184" i="50"/>
  <c r="F184" i="50"/>
  <c r="E184" i="50"/>
  <c r="F23" i="57"/>
  <c r="E23" i="57"/>
  <c r="D23" i="57"/>
  <c r="C15" i="56"/>
  <c r="C40" i="52"/>
  <c r="C39" i="52"/>
  <c r="C38" i="52"/>
  <c r="C37" i="52"/>
  <c r="C36" i="52"/>
  <c r="C35" i="52"/>
  <c r="C34" i="52"/>
  <c r="C33" i="52"/>
  <c r="C32" i="52"/>
  <c r="F7" i="55"/>
  <c r="E7" i="55"/>
  <c r="D7" i="55"/>
  <c r="G90" i="51"/>
  <c r="G89" i="51"/>
  <c r="D8" i="57"/>
  <c r="A4" i="58"/>
  <c r="A2" i="58"/>
  <c r="A4" i="57"/>
  <c r="A2" i="57"/>
  <c r="A4" i="56"/>
  <c r="A2" i="56"/>
  <c r="C152" i="50"/>
  <c r="C138" i="50"/>
  <c r="D143" i="50"/>
  <c r="E165" i="50"/>
  <c r="D146" i="50"/>
  <c r="E152" i="50"/>
  <c r="D170" i="50"/>
  <c r="D15" i="55"/>
  <c r="D8" i="55"/>
  <c r="F8" i="55" s="1"/>
  <c r="A4" i="55"/>
  <c r="A2" i="55"/>
  <c r="A4" i="54"/>
  <c r="A2" i="54"/>
  <c r="A4" i="53"/>
  <c r="A2" i="53"/>
  <c r="F19" i="51"/>
  <c r="A4" i="52"/>
  <c r="A2" i="52"/>
  <c r="A4" i="51"/>
  <c r="A2" i="51"/>
  <c r="A2" i="4"/>
  <c r="A4" i="4"/>
  <c r="A4" i="1"/>
  <c r="M7" i="52" l="1"/>
  <c r="D30" i="52"/>
  <c r="D169" i="50"/>
  <c r="D167" i="50"/>
  <c r="D10" i="52"/>
  <c r="K27" i="52" s="1"/>
  <c r="J16" i="52"/>
  <c r="J23" i="52" s="1"/>
  <c r="J7" i="52"/>
  <c r="M15" i="52"/>
  <c r="M10" i="52"/>
  <c r="J8" i="52"/>
  <c r="E52" i="52"/>
  <c r="E53" i="52" s="1"/>
  <c r="D52" i="52"/>
  <c r="D9" i="57"/>
  <c r="D12" i="57" s="1"/>
  <c r="D15" i="57" s="1"/>
  <c r="D20" i="57" s="1"/>
  <c r="C142" i="50"/>
  <c r="C143" i="50" s="1"/>
  <c r="D152" i="50"/>
  <c r="E10" i="54"/>
  <c r="E24" i="55" s="1"/>
  <c r="D13" i="54"/>
  <c r="D11" i="54"/>
  <c r="D12" i="54" s="1"/>
  <c r="F11" i="54"/>
  <c r="F12" i="54" s="1"/>
  <c r="C16" i="56"/>
  <c r="F13" i="54"/>
  <c r="E25" i="55"/>
  <c r="E8" i="55"/>
  <c r="D11" i="55"/>
  <c r="E11" i="55" s="1"/>
  <c r="D24" i="55"/>
  <c r="E13" i="54"/>
  <c r="E11" i="54"/>
  <c r="E12" i="54" s="1"/>
  <c r="C139" i="50"/>
  <c r="B97" i="51"/>
  <c r="D97" i="51"/>
  <c r="C97" i="51"/>
  <c r="D145" i="50"/>
  <c r="D53" i="52"/>
  <c r="D98" i="51" l="1"/>
  <c r="D171" i="50"/>
  <c r="C157" i="50" s="1"/>
  <c r="E24" i="52"/>
  <c r="J19" i="52"/>
  <c r="J10" i="52"/>
  <c r="J26" i="52"/>
  <c r="J24" i="52"/>
  <c r="D13" i="57"/>
  <c r="D21" i="57" s="1"/>
  <c r="F52" i="52"/>
  <c r="F53" i="52"/>
  <c r="F10" i="54"/>
  <c r="F24" i="55" s="1"/>
  <c r="D12" i="55"/>
  <c r="D14" i="55"/>
  <c r="E14" i="55"/>
  <c r="F14" i="55"/>
  <c r="F11" i="55"/>
  <c r="F25" i="55"/>
  <c r="D25" i="56" l="1"/>
  <c r="D26" i="56" s="1"/>
  <c r="P25" i="56"/>
  <c r="P26" i="56" s="1"/>
  <c r="Q25" i="56"/>
  <c r="Q26" i="56" s="1"/>
  <c r="N25" i="56"/>
  <c r="N26" i="56" s="1"/>
  <c r="O25" i="56"/>
  <c r="O26" i="56" s="1"/>
  <c r="M25" i="56"/>
  <c r="M26" i="56" s="1"/>
  <c r="E25" i="56"/>
  <c r="E26" i="56" s="1"/>
  <c r="T25" i="56"/>
  <c r="T26" i="56" s="1"/>
  <c r="I25" i="56"/>
  <c r="I26" i="56" s="1"/>
  <c r="R25" i="56"/>
  <c r="R26" i="56" s="1"/>
  <c r="S25" i="56"/>
  <c r="S26" i="56" s="1"/>
  <c r="K25" i="56"/>
  <c r="K26" i="56" s="1"/>
  <c r="C25" i="56"/>
  <c r="C26" i="56" s="1"/>
  <c r="H25" i="56"/>
  <c r="H26" i="56" s="1"/>
  <c r="F25" i="56"/>
  <c r="F26" i="56" s="1"/>
  <c r="G25" i="56"/>
  <c r="G26" i="56" s="1"/>
  <c r="L25" i="56"/>
  <c r="L26" i="56" s="1"/>
  <c r="J25" i="56"/>
  <c r="J26" i="56" s="1"/>
  <c r="D166" i="50"/>
  <c r="E25" i="52"/>
  <c r="E27" i="52" s="1"/>
  <c r="J22" i="52"/>
  <c r="J27" i="52"/>
  <c r="J18" i="52"/>
  <c r="J15" i="52"/>
  <c r="D54" i="52"/>
  <c r="E182" i="50"/>
  <c r="D29" i="54"/>
  <c r="D30" i="54" s="1"/>
  <c r="E55" i="52"/>
  <c r="E58" i="52"/>
  <c r="D58" i="52"/>
  <c r="D22" i="59"/>
  <c r="D23" i="59" s="1"/>
  <c r="E54" i="52"/>
  <c r="E30" i="52"/>
  <c r="E183" i="50"/>
  <c r="C140" i="50"/>
  <c r="F12" i="55"/>
  <c r="E12" i="55"/>
  <c r="D6" i="52"/>
  <c r="G158" i="50" s="1"/>
  <c r="G162" i="50" s="1"/>
  <c r="C160" i="50" l="1"/>
  <c r="E160" i="50"/>
  <c r="G159" i="50"/>
  <c r="G157" i="50"/>
  <c r="E26" i="52"/>
  <c r="E28" i="52" s="1"/>
  <c r="E45" i="52" s="1"/>
  <c r="J28" i="52"/>
  <c r="D24" i="52" s="1"/>
  <c r="D29" i="52"/>
  <c r="D34" i="52" s="1"/>
  <c r="J29" i="52"/>
  <c r="F30" i="52"/>
  <c r="F58" i="52"/>
  <c r="F29" i="54"/>
  <c r="D57" i="52"/>
  <c r="E57" i="52"/>
  <c r="E56" i="52"/>
  <c r="E60" i="52" s="1"/>
  <c r="E29" i="52"/>
  <c r="D7" i="52"/>
  <c r="K160" i="50" s="1"/>
  <c r="E30" i="54"/>
  <c r="E29" i="54"/>
  <c r="D8" i="52"/>
  <c r="H157" i="50" l="1"/>
  <c r="G163" i="50"/>
  <c r="G164" i="50" s="1"/>
  <c r="G160" i="50"/>
  <c r="G165" i="50" s="1"/>
  <c r="D25" i="52"/>
  <c r="H158" i="50" s="1"/>
  <c r="H162" i="50" s="1"/>
  <c r="F29" i="52"/>
  <c r="F57" i="52"/>
  <c r="D32" i="52"/>
  <c r="D33" i="52"/>
  <c r="D37" i="52"/>
  <c r="E32" i="52"/>
  <c r="E35" i="52" s="1"/>
  <c r="E38" i="52" s="1"/>
  <c r="E34" i="52"/>
  <c r="E37" i="52" s="1"/>
  <c r="E40" i="52" s="1"/>
  <c r="E33" i="52"/>
  <c r="E36" i="52" s="1"/>
  <c r="E39" i="52" s="1"/>
  <c r="F30" i="54"/>
  <c r="G161" i="50" l="1"/>
  <c r="F24" i="52"/>
  <c r="F32" i="52"/>
  <c r="D9" i="55" s="1"/>
  <c r="F37" i="52"/>
  <c r="F10" i="55" s="1"/>
  <c r="F33" i="52"/>
  <c r="E9" i="55" s="1"/>
  <c r="F34" i="52"/>
  <c r="F9" i="55" s="1"/>
  <c r="F38" i="55" s="1"/>
  <c r="D36" i="52"/>
  <c r="D35" i="52"/>
  <c r="F35" i="52" s="1"/>
  <c r="D38" i="55" l="1"/>
  <c r="E38" i="55"/>
  <c r="D6" i="54"/>
  <c r="D31" i="54" s="1"/>
  <c r="D26" i="52"/>
  <c r="F26" i="52" s="1"/>
  <c r="H159" i="50"/>
  <c r="H163" i="50" s="1"/>
  <c r="H164" i="50" s="1"/>
  <c r="F25" i="52"/>
  <c r="C6" i="56" s="1"/>
  <c r="C8" i="56" s="1"/>
  <c r="E173" i="50"/>
  <c r="D6" i="59"/>
  <c r="D24" i="59" s="1"/>
  <c r="F36" i="52"/>
  <c r="E10" i="55" s="1"/>
  <c r="D10" i="55"/>
  <c r="D27" i="52"/>
  <c r="F27" i="52" s="1"/>
  <c r="F31" i="54" l="1"/>
  <c r="E31" i="54"/>
  <c r="H160" i="50"/>
  <c r="D7" i="59"/>
  <c r="D12" i="59" s="1"/>
  <c r="D18" i="59" s="1"/>
  <c r="D13" i="55"/>
  <c r="D7" i="54"/>
  <c r="E13" i="55"/>
  <c r="F13" i="55"/>
  <c r="D19" i="54"/>
  <c r="D32" i="54" s="1"/>
  <c r="F32" i="54" s="1"/>
  <c r="E174" i="50"/>
  <c r="D16" i="59"/>
  <c r="D25" i="59" s="1"/>
  <c r="D26" i="59" s="1"/>
  <c r="D27" i="59" s="1"/>
  <c r="D28" i="52"/>
  <c r="D45" i="52" s="1"/>
  <c r="H165" i="50" l="1"/>
  <c r="H161" i="50"/>
  <c r="D15" i="54"/>
  <c r="D24" i="54" s="1"/>
  <c r="C17" i="56"/>
  <c r="F28" i="52"/>
  <c r="D16" i="55" s="1"/>
  <c r="E16" i="55" s="1"/>
  <c r="F45" i="52"/>
  <c r="I67" i="50" s="1"/>
  <c r="E175" i="50"/>
  <c r="F175" i="50" s="1"/>
  <c r="E179" i="50" s="1"/>
  <c r="C62" i="50" s="1"/>
  <c r="D39" i="52"/>
  <c r="F39" i="52" s="1"/>
  <c r="D38" i="52"/>
  <c r="F38" i="52" s="1"/>
  <c r="D25" i="57" s="1"/>
  <c r="D40" i="52"/>
  <c r="F40" i="52" s="1"/>
  <c r="D19" i="59"/>
  <c r="D21" i="59" s="1"/>
  <c r="D13" i="59"/>
  <c r="D14" i="59" s="1"/>
  <c r="D16" i="54"/>
  <c r="F174" i="50"/>
  <c r="E32" i="54"/>
  <c r="M23" i="56" l="1"/>
  <c r="S22" i="56"/>
  <c r="S24" i="56" s="1"/>
  <c r="S27" i="56" s="1"/>
  <c r="S28" i="56" s="1"/>
  <c r="C22" i="56"/>
  <c r="K22" i="56"/>
  <c r="K24" i="56" s="1"/>
  <c r="K27" i="56" s="1"/>
  <c r="K28" i="56" s="1"/>
  <c r="T22" i="56"/>
  <c r="T24" i="56" s="1"/>
  <c r="T27" i="56" s="1"/>
  <c r="T28" i="56" s="1"/>
  <c r="G22" i="56"/>
  <c r="I23" i="56"/>
  <c r="O22" i="56"/>
  <c r="O24" i="56" s="1"/>
  <c r="O27" i="56" s="1"/>
  <c r="O28" i="56" s="1"/>
  <c r="E23" i="56"/>
  <c r="Q23" i="56"/>
  <c r="J23" i="56"/>
  <c r="S23" i="56"/>
  <c r="L23" i="56"/>
  <c r="R23" i="56"/>
  <c r="E22" i="56"/>
  <c r="J22" i="56"/>
  <c r="J24" i="56" s="1"/>
  <c r="J27" i="56" s="1"/>
  <c r="J28" i="56" s="1"/>
  <c r="D22" i="56"/>
  <c r="L22" i="56"/>
  <c r="L24" i="56" s="1"/>
  <c r="L27" i="56" s="1"/>
  <c r="L28" i="56" s="1"/>
  <c r="H23" i="56"/>
  <c r="F22" i="56"/>
  <c r="N23" i="56"/>
  <c r="I22" i="56"/>
  <c r="I24" i="56" s="1"/>
  <c r="I27" i="56" s="1"/>
  <c r="I28" i="56" s="1"/>
  <c r="P23" i="56"/>
  <c r="H22" i="56"/>
  <c r="H24" i="56" s="1"/>
  <c r="H27" i="56" s="1"/>
  <c r="H28" i="56" s="1"/>
  <c r="M22" i="56"/>
  <c r="M24" i="56" s="1"/>
  <c r="M27" i="56" s="1"/>
  <c r="M28" i="56" s="1"/>
  <c r="N22" i="56"/>
  <c r="N24" i="56" s="1"/>
  <c r="N27" i="56" s="1"/>
  <c r="N28" i="56" s="1"/>
  <c r="F23" i="56"/>
  <c r="C23" i="56"/>
  <c r="D23" i="56"/>
  <c r="T23" i="56"/>
  <c r="G23" i="56"/>
  <c r="Q22" i="56"/>
  <c r="Q24" i="56" s="1"/>
  <c r="Q27" i="56" s="1"/>
  <c r="Q28" i="56" s="1"/>
  <c r="R22" i="56"/>
  <c r="R24" i="56" s="1"/>
  <c r="R27" i="56" s="1"/>
  <c r="R28" i="56" s="1"/>
  <c r="P22" i="56"/>
  <c r="P24" i="56" s="1"/>
  <c r="P27" i="56" s="1"/>
  <c r="P28" i="56" s="1"/>
  <c r="K23" i="56"/>
  <c r="O23" i="56"/>
  <c r="E157" i="50"/>
  <c r="D17" i="54"/>
  <c r="F24" i="54"/>
  <c r="F33" i="54" s="1"/>
  <c r="F34" i="54" s="1"/>
  <c r="F35" i="54" s="1"/>
  <c r="E24" i="54"/>
  <c r="E33" i="54" s="1"/>
  <c r="E34" i="54" s="1"/>
  <c r="E35" i="54" s="1"/>
  <c r="D33" i="54"/>
  <c r="D34" i="54" s="1"/>
  <c r="D35" i="54" s="1"/>
  <c r="D25" i="54"/>
  <c r="E25" i="54" s="1"/>
  <c r="D28" i="57"/>
  <c r="F16" i="55"/>
  <c r="E25" i="57"/>
  <c r="E28" i="57" s="1"/>
  <c r="D55" i="52"/>
  <c r="F55" i="52" s="1"/>
  <c r="F54" i="52"/>
  <c r="F25" i="57"/>
  <c r="F28" i="57" s="1"/>
  <c r="F24" i="56" l="1"/>
  <c r="F27" i="56" s="1"/>
  <c r="F28" i="56" s="1"/>
  <c r="G24" i="56"/>
  <c r="G27" i="56" s="1"/>
  <c r="G28" i="56" s="1"/>
  <c r="E24" i="56"/>
  <c r="E27" i="56" s="1"/>
  <c r="E28" i="56" s="1"/>
  <c r="D24" i="56"/>
  <c r="D27" i="56" s="1"/>
  <c r="D28" i="56" s="1"/>
  <c r="C24" i="56"/>
  <c r="C27" i="56" s="1"/>
  <c r="C28" i="56" s="1"/>
  <c r="D27" i="54"/>
  <c r="D28" i="54" s="1"/>
  <c r="E27" i="54"/>
  <c r="E28" i="54" s="1"/>
  <c r="F25" i="54"/>
  <c r="F27" i="54" s="1"/>
  <c r="F28" i="54" s="1"/>
  <c r="D26" i="57"/>
  <c r="D19" i="55" s="1"/>
  <c r="D18" i="55"/>
  <c r="D46" i="55" s="1"/>
  <c r="F18" i="55"/>
  <c r="F46" i="55" s="1"/>
  <c r="F49" i="55" s="1"/>
  <c r="F26" i="57"/>
  <c r="F19" i="55" s="1"/>
  <c r="E17" i="55"/>
  <c r="E45" i="55" s="1"/>
  <c r="E26" i="57"/>
  <c r="E19" i="55" s="1"/>
  <c r="M85" i="50"/>
  <c r="M90" i="50" s="1"/>
  <c r="D17" i="55"/>
  <c r="E18" i="55"/>
  <c r="E46" i="55" s="1"/>
  <c r="D56" i="52"/>
  <c r="F56" i="52" s="1"/>
  <c r="F17" i="55"/>
  <c r="C29" i="56" l="1"/>
  <c r="C35" i="56" s="1"/>
  <c r="D26" i="54" s="1"/>
  <c r="D36" i="54" s="1"/>
  <c r="D20" i="59"/>
  <c r="D28" i="59" s="1"/>
  <c r="D29" i="59" s="1"/>
  <c r="D32" i="55" s="1"/>
  <c r="D51" i="55" s="1"/>
  <c r="F51" i="55" s="1"/>
  <c r="F40" i="55"/>
  <c r="M74" i="50" s="1"/>
  <c r="D60" i="52"/>
  <c r="K84" i="50"/>
  <c r="D45" i="55"/>
  <c r="F45" i="55"/>
  <c r="E49" i="55"/>
  <c r="E40" i="55"/>
  <c r="D40" i="55"/>
  <c r="D49" i="55"/>
  <c r="I85" i="50"/>
  <c r="K85" i="50"/>
  <c r="K90" i="50" s="1"/>
  <c r="D27" i="57"/>
  <c r="D20" i="55" s="1"/>
  <c r="D21" i="55"/>
  <c r="E27" i="57"/>
  <c r="E20" i="55" s="1"/>
  <c r="F27" i="57"/>
  <c r="F20" i="55" s="1"/>
  <c r="E21" i="55" l="1"/>
  <c r="E26" i="54"/>
  <c r="E36" i="54" s="1"/>
  <c r="E51" i="55"/>
  <c r="I90" i="50"/>
  <c r="F26" i="54"/>
  <c r="F36" i="54" s="1"/>
  <c r="F60" i="52"/>
  <c r="D31" i="55" s="1"/>
  <c r="D34" i="55"/>
  <c r="M84" i="50"/>
  <c r="F39" i="55"/>
  <c r="E39" i="55"/>
  <c r="D39" i="55"/>
  <c r="K74" i="50"/>
  <c r="I74" i="50"/>
  <c r="I84" i="50"/>
  <c r="F21" i="55"/>
  <c r="F37" i="54" l="1"/>
  <c r="F38" i="54" s="1"/>
  <c r="F32" i="57" s="1"/>
  <c r="E37" i="54"/>
  <c r="E38" i="54" s="1"/>
  <c r="E32" i="57" s="1"/>
  <c r="D37" i="54"/>
  <c r="D50" i="55"/>
  <c r="D52" i="55" s="1"/>
  <c r="E52" i="55" s="1"/>
  <c r="D33" i="55"/>
  <c r="D53" i="55"/>
  <c r="F53" i="55" s="1"/>
  <c r="I73" i="50"/>
  <c r="K73" i="50"/>
  <c r="M73" i="50"/>
  <c r="E26" i="55" l="1"/>
  <c r="E47" i="55" s="1"/>
  <c r="K87" i="50" s="1"/>
  <c r="E33" i="57"/>
  <c r="E34" i="57" s="1"/>
  <c r="E29" i="55" s="1"/>
  <c r="E41" i="55" s="1"/>
  <c r="K76" i="50" s="1"/>
  <c r="F26" i="55"/>
  <c r="F47" i="55" s="1"/>
  <c r="M87" i="50" s="1"/>
  <c r="F33" i="57"/>
  <c r="F35" i="57" s="1"/>
  <c r="F27" i="55" s="1"/>
  <c r="F42" i="55" s="1"/>
  <c r="D38" i="54"/>
  <c r="D32" i="57" s="1"/>
  <c r="F50" i="55"/>
  <c r="E50" i="55"/>
  <c r="E53" i="55"/>
  <c r="F52" i="55"/>
  <c r="E28" i="55" l="1"/>
  <c r="E48" i="55"/>
  <c r="K89" i="50" s="1"/>
  <c r="E43" i="55"/>
  <c r="K79" i="50" s="1"/>
  <c r="E35" i="57"/>
  <c r="E27" i="55" s="1"/>
  <c r="F34" i="57"/>
  <c r="F29" i="55" s="1"/>
  <c r="F41" i="55" s="1"/>
  <c r="M76" i="50" s="1"/>
  <c r="F28" i="55"/>
  <c r="F48" i="55"/>
  <c r="M89" i="50" s="1"/>
  <c r="D33" i="57"/>
  <c r="D35" i="57" s="1"/>
  <c r="D27" i="55" s="1"/>
  <c r="D26" i="55"/>
  <c r="D47" i="55" s="1"/>
  <c r="M77" i="50"/>
  <c r="F44" i="55"/>
  <c r="E42" i="55" l="1"/>
  <c r="F43" i="55"/>
  <c r="M79" i="50" s="1"/>
  <c r="D34" i="57"/>
  <c r="D29" i="55" s="1"/>
  <c r="D41" i="55" s="1"/>
  <c r="D28" i="55"/>
  <c r="M80" i="50"/>
  <c r="D48" i="55"/>
  <c r="D42" i="55"/>
  <c r="I87" i="50"/>
  <c r="E43" i="62" s="1"/>
  <c r="E44" i="55" l="1"/>
  <c r="K80" i="50" s="1"/>
  <c r="K77" i="50"/>
  <c r="I89" i="50"/>
  <c r="E28" i="62" s="1"/>
  <c r="D43" i="55"/>
  <c r="I76" i="50"/>
  <c r="E46" i="62" s="1"/>
  <c r="I77" i="50"/>
  <c r="E48" i="62" s="1"/>
  <c r="D44" i="55"/>
  <c r="I79" i="50" l="1"/>
  <c r="E35" i="62" s="1"/>
  <c r="I80" i="50"/>
  <c r="E37" i="62" s="1"/>
</calcChain>
</file>

<file path=xl/comments1.xml><?xml version="1.0" encoding="utf-8"?>
<comments xmlns="http://schemas.openxmlformats.org/spreadsheetml/2006/main">
  <authors>
    <author>Michael Crabtree</author>
    <author>Ashara Peiris</author>
    <author>mara</author>
    <author>Brian Allan</author>
  </authors>
  <commentList>
    <comment ref="L29" authorId="0" shapeId="0">
      <text>
        <r>
          <rPr>
            <sz val="9"/>
            <color indexed="81"/>
            <rFont val="Tahoma"/>
            <family val="2"/>
          </rPr>
          <t>We use this to calculate your service to retirement.</t>
        </r>
      </text>
    </comment>
    <comment ref="L31" authorId="0" shapeId="0">
      <text>
        <r>
          <rPr>
            <sz val="9"/>
            <color indexed="81"/>
            <rFont val="Tahoma"/>
            <family val="2"/>
          </rPr>
          <t xml:space="preserve">Choose the scheme you are currently a member of, not the scheme you originally joined if you have switched schemes. This can either be the Police Pension Scheme 1987 ("PPS") or the New Police Pension Scheme 2006 ("NPPS").
</t>
        </r>
      </text>
    </comment>
    <comment ref="L33" authorId="0" shapeId="0">
      <text>
        <r>
          <rPr>
            <sz val="9"/>
            <color indexed="81"/>
            <rFont val="Tahoma"/>
            <family val="2"/>
          </rPr>
          <t>If part-time, please do not include transferred-in service granted in the PPS which was then transferred to the NPPS after 6 April 2006.
This service only refers to transferred in service for the final salary scheme.</t>
        </r>
      </text>
    </comment>
    <comment ref="L38" authorId="0" shapeId="0">
      <text>
        <r>
          <rPr>
            <sz val="9"/>
            <color indexed="81"/>
            <rFont val="Tahoma"/>
            <family val="2"/>
          </rPr>
          <t>Use this to input any date at which you wish to see your estimated retirement benefits.</t>
        </r>
      </text>
    </comment>
    <comment ref="N42" authorId="0" shapeId="0">
      <text>
        <r>
          <rPr>
            <sz val="9"/>
            <color indexed="81"/>
            <rFont val="Tahoma"/>
            <family val="2"/>
          </rPr>
          <t>See your annual benefit statement for this information. Also include any transferred-in CARE benefit here.</t>
        </r>
      </text>
    </comment>
    <comment ref="L44" authorId="0" shapeId="0">
      <text>
        <r>
          <rPr>
            <sz val="9"/>
            <color indexed="81"/>
            <rFont val="Tahoma"/>
            <family val="2"/>
          </rPr>
          <t>Please select "Part-time" if you currently work part time, if you have worked part time at some point during your career or if you have taken a career break at some point in your career</t>
        </r>
      </text>
    </comment>
    <comment ref="L46" authorId="0" shapeId="0">
      <text>
        <r>
          <rPr>
            <sz val="9"/>
            <color indexed="81"/>
            <rFont val="Tahoma"/>
            <family val="2"/>
          </rPr>
          <t xml:space="preserve">Please input the hours you currently work per week as a percentage of full-time hours. If you currently work full-time, please input 100%.
</t>
        </r>
      </text>
    </comment>
    <comment ref="L52" authorId="0" shapeId="0">
      <text>
        <r>
          <rPr>
            <sz val="9"/>
            <color indexed="81"/>
            <rFont val="Tahoma"/>
            <family val="2"/>
          </rPr>
          <t>Please include transferred-in service in this reckonable service.</t>
        </r>
      </text>
    </comment>
    <comment ref="L55" authorId="0" shapeId="0">
      <text>
        <r>
          <rPr>
            <sz val="9"/>
            <color indexed="81"/>
            <rFont val="Tahoma"/>
            <family val="2"/>
          </rPr>
          <t xml:space="preserve">If your career break ended after 31 March 2015, contact your scheme administrator
</t>
        </r>
      </text>
    </comment>
    <comment ref="D157" authorId="1" shapeId="0">
      <text>
        <r>
          <rPr>
            <b/>
            <sz val="9"/>
            <color indexed="81"/>
            <rFont val="Tahoma"/>
            <family val="2"/>
          </rPr>
          <t>Ashara Peiris:</t>
        </r>
        <r>
          <rPr>
            <sz val="9"/>
            <color indexed="81"/>
            <rFont val="Tahoma"/>
            <family val="2"/>
          </rPr>
          <t xml:space="preserve">
Why doesn't this account for taper?Because the age is the same for NFPS and 2015
</t>
        </r>
      </text>
    </comment>
    <comment ref="G158" authorId="1" shapeId="0">
      <text>
        <r>
          <rPr>
            <b/>
            <sz val="9"/>
            <color indexed="81"/>
            <rFont val="Tahoma"/>
            <family val="2"/>
          </rPr>
          <t>Ashara Peiris:</t>
        </r>
        <r>
          <rPr>
            <sz val="9"/>
            <color indexed="81"/>
            <rFont val="Tahoma"/>
            <family val="2"/>
          </rPr>
          <t xml:space="preserve">
if 2015 scheme doesn't work properly but OK</t>
        </r>
      </text>
    </comment>
    <comment ref="H160" authorId="1" shapeId="0">
      <text>
        <r>
          <rPr>
            <b/>
            <sz val="9"/>
            <color indexed="81"/>
            <rFont val="Tahoma"/>
            <family val="2"/>
          </rPr>
          <t>Ashara Peiris:</t>
        </r>
        <r>
          <rPr>
            <sz val="9"/>
            <color indexed="81"/>
            <rFont val="Tahoma"/>
            <family val="2"/>
          </rPr>
          <t xml:space="preserve">
if fully protected then gives error, OK</t>
        </r>
      </text>
    </comment>
    <comment ref="E165" authorId="2" shapeId="0">
      <text>
        <r>
          <rPr>
            <b/>
            <sz val="9"/>
            <color indexed="81"/>
            <rFont val="Tahoma"/>
            <family val="2"/>
          </rPr>
          <t>mara:</t>
        </r>
        <r>
          <rPr>
            <sz val="9"/>
            <color indexed="81"/>
            <rFont val="Tahoma"/>
            <family val="2"/>
          </rPr>
          <t xml:space="preserve">
this date includes transfer in service.</t>
        </r>
      </text>
    </comment>
    <comment ref="C196" authorId="3" shapeId="0">
      <text>
        <r>
          <rPr>
            <b/>
            <sz val="9"/>
            <color indexed="81"/>
            <rFont val="Tahoma"/>
            <family val="2"/>
          </rPr>
          <t>Brian Allan:</t>
        </r>
        <r>
          <rPr>
            <sz val="9"/>
            <color indexed="81"/>
            <rFont val="Tahoma"/>
            <family val="2"/>
          </rPr>
          <t xml:space="preserve">
updated max to 65 to reflect Peter Spreadbury email 14Aug2012</t>
        </r>
      </text>
    </comment>
    <comment ref="C197" authorId="3"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Ashara Peiris</author>
  </authors>
  <commentList>
    <comment ref="F22" authorId="0" shapeId="0">
      <text>
        <r>
          <rPr>
            <b/>
            <sz val="9"/>
            <color indexed="81"/>
            <rFont val="Tahoma"/>
            <family val="2"/>
          </rPr>
          <t>Ashara Peiris:</t>
        </r>
        <r>
          <rPr>
            <sz val="9"/>
            <color indexed="81"/>
            <rFont val="Tahoma"/>
            <family val="2"/>
          </rPr>
          <t xml:space="preserve">
Doesn't actually rely on whether PPS or NPPS</t>
        </r>
      </text>
    </comment>
    <comment ref="D26"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27" authorId="0" shapeId="0">
      <text>
        <r>
          <rPr>
            <b/>
            <sz val="9"/>
            <color indexed="81"/>
            <rFont val="Tahoma"/>
            <family val="2"/>
          </rPr>
          <t>Ashara Peiris:</t>
        </r>
        <r>
          <rPr>
            <sz val="9"/>
            <color indexed="81"/>
            <rFont val="Tahoma"/>
            <family val="2"/>
          </rPr>
          <t xml:space="preserve">
If part time then service
= Past reck service + 
service to DOR *PTP</t>
        </r>
      </text>
    </comment>
    <comment ref="E38" authorId="0" shapeId="0">
      <text>
        <r>
          <rPr>
            <b/>
            <sz val="9"/>
            <color indexed="81"/>
            <rFont val="Tahoma"/>
            <family val="2"/>
          </rPr>
          <t>Ashara Peiris:</t>
        </r>
        <r>
          <rPr>
            <sz val="9"/>
            <color indexed="81"/>
            <rFont val="Tahoma"/>
            <family val="2"/>
          </rPr>
          <t xml:space="preserve">
Added iferror statement to deal with NFPS members receiving an ERF for &lt; 52 (doesn't effect results but should reduce confusion)</t>
        </r>
      </text>
    </comment>
    <comment ref="F50" authorId="0" shapeId="0">
      <text>
        <r>
          <rPr>
            <b/>
            <sz val="9"/>
            <color indexed="81"/>
            <rFont val="Tahoma"/>
            <family val="2"/>
          </rPr>
          <t>Ashara Peiris:</t>
        </r>
        <r>
          <rPr>
            <sz val="9"/>
            <color indexed="81"/>
            <rFont val="Tahoma"/>
            <family val="2"/>
          </rPr>
          <t xml:space="preserve">
Doesn't actually rely on whether PPS or NPPS</t>
        </r>
      </text>
    </comment>
    <comment ref="D54"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55" authorId="0" shapeId="0">
      <text>
        <r>
          <rPr>
            <b/>
            <sz val="9"/>
            <color indexed="81"/>
            <rFont val="Tahoma"/>
            <family val="2"/>
          </rPr>
          <t>Ashara Peiris:</t>
        </r>
        <r>
          <rPr>
            <sz val="9"/>
            <color indexed="81"/>
            <rFont val="Tahoma"/>
            <family val="2"/>
          </rPr>
          <t xml:space="preserve">
If part time then service
= Past reck service + 
service to DOR *PTP</t>
        </r>
      </text>
    </comment>
  </commentList>
</comments>
</file>

<file path=xl/sharedStrings.xml><?xml version="1.0" encoding="utf-8"?>
<sst xmlns="http://schemas.openxmlformats.org/spreadsheetml/2006/main" count="1236" uniqueCount="921">
  <si>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</si>
  <si>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</si>
  <si>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</si>
  <si>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</si>
  <si>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</si>
  <si>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</si>
  <si>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</si>
  <si>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</si>
  <si>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</si>
  <si>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</si>
  <si>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</si>
  <si>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</si>
  <si>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</si>
  <si>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</si>
  <si>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</si>
  <si>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</si>
  <si>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</si>
  <si>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</si>
  <si>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</si>
  <si>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</si>
  <si>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</si>
  <si>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</si>
  <si>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</si>
  <si>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</si>
  <si>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</si>
  <si>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</si>
  <si>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</si>
  <si>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</si>
  <si>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</si>
  <si>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</si>
  <si>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</si>
  <si>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</si>
  <si>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</si>
  <si>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</si>
  <si>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</si>
  <si>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</si>
  <si>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</si>
  <si>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</si>
  <si>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</si>
  <si>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</si>
  <si>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</si>
  <si>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</si>
  <si>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</si>
  <si>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</si>
  <si>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</si>
  <si>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</si>
  <si>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</si>
  <si>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</si>
  <si>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</si>
  <si>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</si>
  <si>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</si>
  <si>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</si>
  <si>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</si>
  <si>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</si>
  <si>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</si>
  <si>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</si>
  <si>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</si>
  <si>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</si>
  <si>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</si>
  <si>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</si>
  <si>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</si>
  <si>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</si>
  <si>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</si>
  <si>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</si>
  <si>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</si>
  <si>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</si>
  <si>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</si>
  <si>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</si>
  <si>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</si>
  <si>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</si>
  <si>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</si>
  <si>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</si>
  <si>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</si>
  <si>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</si>
  <si>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</si>
  <si>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</si>
  <si>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</si>
  <si>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</si>
  <si>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</si>
  <si>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</si>
  <si>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</si>
  <si>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</si>
  <si>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</si>
  <si>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</si>
  <si>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</si>
  <si>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</si>
  <si>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</si>
  <si>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</si>
  <si>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</si>
  <si>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</si>
  <si>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</si>
  <si>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</si>
  <si>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</si>
  <si>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</si>
  <si>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</si>
  <si>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</si>
  <si>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</si>
  <si>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</si>
  <si>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</si>
  <si>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</si>
  <si>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</si>
  <si>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</si>
  <si>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</si>
  <si>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</si>
  <si>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</si>
  <si>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</si>
  <si>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</si>
  <si>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</si>
  <si>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</si>
  <si>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</si>
  <si>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</si>
  <si>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</si>
  <si>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</si>
  <si>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</si>
  <si>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</si>
  <si>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</si>
  <si>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</si>
  <si>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</si>
  <si>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</si>
  <si>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</si>
  <si>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</si>
  <si>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</si>
  <si>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</si>
  <si>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</si>
  <si>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</si>
  <si>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</si>
  <si>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</si>
  <si>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</si>
  <si>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</si>
  <si>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</si>
  <si>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</si>
  <si>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</si>
  <si>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</si>
  <si>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</si>
  <si>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</si>
  <si>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</si>
  <si>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</si>
  <si>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</si>
  <si>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</si>
  <si>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</si>
  <si>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</si>
  <si>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</si>
  <si>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</si>
  <si>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</si>
  <si>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Service uplift applicable?</t>
  </si>
  <si>
    <t>Uplift to apply</t>
  </si>
  <si>
    <t>Maximum service (years)</t>
  </si>
  <si>
    <t>Changed ERF and LRF factors to be the same, amended accrual formula in summary to take account of maximum service and added an uplift applicable to NPPS members who joined before the NPPS scheme started</t>
  </si>
  <si>
    <t>Checked.
Agree ERF/LRF, summary, PPS max service changes
PPS-&gt;NPPS transfer uplift calcs need to reflect transfer assumed on 6/4/2006, cap on service lookup, correct service lookup column</t>
  </si>
  <si>
    <t>K:\a2clients\Police Pensions\0140-00972 Home Office Police\Cost Ceiling\Pension estimator\[Pension calculator v0.10.xlsm]Version control</t>
  </si>
  <si>
    <t>K:\a2clients\Police Pensions\0140-00972 Home Office Police\Cost Ceiling\Pension estimator\[Pension calculator v0.09.xlsm]Version control</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</si>
  <si>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</si>
  <si>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</si>
  <si>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</si>
  <si>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</si>
  <si>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</si>
  <si>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</si>
  <si>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</si>
  <si>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</si>
  <si>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</si>
  <si>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</si>
  <si>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</si>
  <si>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</si>
  <si>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</si>
  <si>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</si>
  <si>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</si>
  <si>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</si>
  <si>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</si>
  <si>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</si>
  <si>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Important information - please read this before you start</t>
  </si>
  <si>
    <t>- Please read the notes below the results for further details and limitations.</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</si>
  <si>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</si>
  <si>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</si>
  <si>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</si>
  <si>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</si>
  <si>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</si>
  <si>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</si>
  <si>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</si>
  <si>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 The results shown are only estimates, based on your inputs and other assumptions.</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</si>
  <si>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</si>
  <si>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</si>
  <si>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</si>
  <si>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</si>
  <si>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</si>
  <si>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</si>
  <si>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</si>
  <si>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</si>
  <si>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</si>
  <si>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</si>
  <si>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</si>
  <si>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Dob not before 65 years ago</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</si>
  <si>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</si>
  <si>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</si>
  <si>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</si>
  <si>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</si>
  <si>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</si>
  <si>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</si>
  <si>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</si>
  <si>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</si>
  <si>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</si>
  <si>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</si>
  <si>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</si>
  <si>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</si>
  <si>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</si>
  <si>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</si>
  <si>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</si>
  <si>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</si>
  <si>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</si>
  <si>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</si>
  <si>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</si>
  <si>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</si>
  <si>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</si>
  <si>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</si>
  <si>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</si>
  <si>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</si>
  <si>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</si>
  <si>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</si>
  <si>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</si>
  <si>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</si>
  <si>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</si>
  <si>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</si>
  <si>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Full-time</t>
  </si>
  <si>
    <t>Part-time</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</si>
  <si>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</si>
  <si>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</si>
  <si>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</si>
  <si>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</si>
  <si>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</si>
  <si>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</si>
  <si>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</si>
  <si>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</si>
  <si>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</si>
  <si>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</si>
  <si>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</si>
  <si>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</si>
  <si>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</si>
  <si>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</si>
  <si>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If you have selected 'Part-time', please fill in the section below</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</si>
  <si>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</si>
  <si>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</si>
  <si>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</si>
  <si>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</si>
  <si>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</si>
  <si>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</si>
  <si>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</si>
  <si>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</si>
  <si>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</si>
  <si>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</si>
  <si>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</si>
  <si>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</si>
  <si>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past service pension</t>
  </si>
  <si>
    <t>CARE future service pension</t>
  </si>
  <si>
    <t>Current Date</t>
  </si>
  <si>
    <t>Start Date of Year</t>
  </si>
  <si>
    <t>End Date of Year</t>
  </si>
  <si>
    <t>Accrued CARE benefit</t>
  </si>
  <si>
    <t>CPI (%)</t>
  </si>
  <si>
    <t>v0.1</t>
  </si>
  <si>
    <t>Pension calculator Updated v0.1.xls</t>
  </si>
  <si>
    <t>Ashara Peiris</t>
  </si>
  <si>
    <t>Past Service CARE Calcs</t>
  </si>
  <si>
    <t>&gt; Enter worksheet title here</t>
  </si>
  <si>
    <t>Pre 2015 Pension</t>
  </si>
  <si>
    <t>Lump Sum Commutation</t>
  </si>
  <si>
    <t>Max Lump Sum</t>
  </si>
  <si>
    <t>Years</t>
  </si>
  <si>
    <t>Complete months</t>
  </si>
  <si>
    <t>Exact</t>
  </si>
  <si>
    <t>Max Lump Sum Factor</t>
  </si>
  <si>
    <t>Age in years and completed months on day pension commences</t>
  </si>
  <si>
    <t>Age at DPC</t>
  </si>
  <si>
    <t>CARE scheme Commutation Factor</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</si>
  <si>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</si>
  <si>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</si>
  <si>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MRae</t>
  </si>
  <si>
    <t>mjr: this is salary increases minus cpi</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</si>
  <si>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</si>
  <si>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Reckonable service</t>
  </si>
  <si>
    <t>Voluntary retirement age</t>
  </si>
  <si>
    <t>Inspector</t>
  </si>
  <si>
    <t>Constable</t>
  </si>
  <si>
    <t>Sergeant</t>
  </si>
  <si>
    <t>Other</t>
  </si>
  <si>
    <t>Ranks</t>
  </si>
  <si>
    <t>VRA</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</si>
  <si>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</si>
  <si>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</si>
  <si>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</si>
  <si>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</si>
  <si>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</si>
  <si>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</si>
  <si>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</si>
  <si>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</si>
  <si>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</si>
  <si>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</si>
  <si>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</si>
  <si>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</si>
  <si>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</si>
  <si>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</si>
  <si>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</si>
  <si>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</si>
  <si>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</si>
  <si>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</si>
  <si>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</si>
  <si>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</si>
  <si>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</si>
  <si>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</si>
  <si>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</si>
  <si>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</si>
  <si>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</si>
  <si>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</si>
  <si>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Chosen retirement</t>
  </si>
  <si>
    <t>Post 2015 service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</si>
  <si>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</si>
  <si>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</si>
  <si>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</si>
  <si>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</si>
  <si>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</si>
  <si>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</si>
  <si>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</si>
  <si>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Max Commuted</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</si>
  <si>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</si>
  <si>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</si>
  <si>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</si>
  <si>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</si>
  <si>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</si>
  <si>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</si>
  <si>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</si>
  <si>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</si>
  <si>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</si>
  <si>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</si>
  <si>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</si>
  <si>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</si>
  <si>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</si>
  <si>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</si>
  <si>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</si>
  <si>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</si>
  <si>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Retirement to SPA</t>
  </si>
  <si>
    <t>Post 2015 pension results</t>
  </si>
  <si>
    <t>Service to Retirement</t>
  </si>
  <si>
    <t>v0.8</t>
  </si>
  <si>
    <t>Pension calculator Updated v0.8.xls</t>
  </si>
  <si>
    <t>Discount factor (1+s)</t>
  </si>
  <si>
    <t>Protection Status</t>
  </si>
  <si>
    <t>Protection End Date</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</si>
  <si>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</si>
  <si>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</si>
  <si>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</si>
  <si>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</si>
  <si>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</si>
  <si>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</si>
  <si>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</si>
  <si>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</si>
  <si>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</si>
  <si>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</si>
  <si>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</si>
  <si>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</si>
  <si>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CARE Information</t>
  </si>
  <si>
    <t>Non-Tapered Members</t>
  </si>
  <si>
    <t>Tapered Members</t>
  </si>
  <si>
    <t>v0.10</t>
  </si>
  <si>
    <t>Pension calculator Updated v0.10.xls</t>
  </si>
  <si>
    <t>Service from Today to Chosen DoR</t>
  </si>
  <si>
    <t>CARE revalued to date of retirement</t>
  </si>
  <si>
    <t>Post-Commutation Pension</t>
  </si>
  <si>
    <t>Apply ERF and LRF</t>
  </si>
  <si>
    <t>Final Pension (includes PTP)</t>
  </si>
  <si>
    <t>Voluntary retirement ages</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</si>
  <si>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</si>
  <si>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</si>
  <si>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</si>
  <si>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</si>
  <si>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</si>
  <si>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</si>
  <si>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</si>
  <si>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</si>
  <si>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</si>
  <si>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Integer period to retirement (from DoC)</t>
  </si>
  <si>
    <t>Remainder of period to retirement (from DoC)</t>
  </si>
  <si>
    <t>Integer period to retirement (from protection end)</t>
  </si>
  <si>
    <t>Remainder of period to retirement (from protection end)</t>
  </si>
  <si>
    <t>Pension over entire period (including tapered time)</t>
  </si>
  <si>
    <t>Length of future taper period</t>
  </si>
  <si>
    <t>Revalued pension missed in taper period</t>
  </si>
  <si>
    <t>Taper service</t>
  </si>
  <si>
    <t>Service from DoC to Protection End Date</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</si>
  <si>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</si>
  <si>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</si>
  <si>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</si>
  <si>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</si>
  <si>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</si>
  <si>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</si>
  <si>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</si>
  <si>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2% (CPI + 0% )</t>
  </si>
  <si>
    <t>Annual Salary Increase Assumptions</t>
  </si>
  <si>
    <t>3% (CPI + 1% )</t>
  </si>
  <si>
    <t>4% (CPI + 2% )</t>
  </si>
  <si>
    <t>v1.0</t>
  </si>
  <si>
    <t>\\Gad-fpt\fpt\NEW DATA\FPT Clients\Police\Scotland\General\Benefits Projection Calculator\Pension calculator Updated v1.0.xlsm</t>
  </si>
  <si>
    <t>2015 Scheme</t>
  </si>
  <si>
    <t>2006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</si>
  <si>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</si>
  <si>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</si>
  <si>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</si>
  <si>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</si>
  <si>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</si>
  <si>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</si>
  <si>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</si>
  <si>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</si>
  <si>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Pension Calcs</t>
  </si>
  <si>
    <t>ABS Projection</t>
  </si>
  <si>
    <t>ABS Projection to 60</t>
  </si>
  <si>
    <t>CARE pension</t>
  </si>
  <si>
    <t>Post-15 Pension</t>
  </si>
  <si>
    <t>Pre-15 Pension</t>
  </si>
  <si>
    <t>Total Pension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</si>
  <si>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</si>
  <si>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Your projected benefits under different salary increase assumptions, in current money terms (after adjusting for assumed future inflation).</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</si>
  <si>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</si>
  <si>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</si>
  <si>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</si>
  <si>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</si>
  <si>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</si>
  <si>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</si>
  <si>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t>NPPS Lump Sum</t>
  </si>
  <si>
    <t>ERF and LRF</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</si>
  <si>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</si>
  <si>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CARE Scheme LRF</t>
  </si>
  <si>
    <t>For ERF lookup function</t>
  </si>
  <si>
    <t>month, rounded up so period early is in complete months</t>
  </si>
  <si>
    <t>Exact age</t>
  </si>
  <si>
    <t>Complete years</t>
  </si>
  <si>
    <t>fraction of year</t>
  </si>
  <si>
    <t>Date turned 60</t>
  </si>
  <si>
    <t>ERF</t>
  </si>
  <si>
    <t>Early and Late Retirement Factors</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</si>
  <si>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</si>
  <si>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</si>
  <si>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</si>
  <si>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</si>
  <si>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</si>
  <si>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</si>
  <si>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</si>
  <si>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Superintendent</t>
  </si>
  <si>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</si>
  <si>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</si>
  <si>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</si>
  <si>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</si>
  <si>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</si>
  <si>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</si>
  <si>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</si>
  <si>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</si>
  <si>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</si>
  <si>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</si>
  <si>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</si>
  <si>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</si>
  <si>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</si>
  <si>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</si>
  <si>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</si>
  <si>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</si>
  <si>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Scottish Factor</t>
  </si>
  <si>
    <t>English Factor</t>
  </si>
  <si>
    <t>DoR &lt;= 31/03/2022</t>
  </si>
  <si>
    <t>Lump sum underpin date</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</si>
  <si>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</si>
  <si>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</si>
  <si>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removed projected salary from inputs and outputs</t>
  </si>
  <si>
    <t>removed results section C from inputs and outputs</t>
  </si>
  <si>
    <t>Changed pre-2015 lump sum calculation to use total service from djs to dor, rather than total pre-2015 scheme service. In lump sum sheet.</t>
  </si>
  <si>
    <t>Here we calculate all service between djs and DoR.</t>
  </si>
  <si>
    <t>Ignoring any part-time service</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</si>
  <si>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</si>
  <si>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</si>
  <si>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</si>
  <si>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</si>
  <si>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</si>
  <si>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</si>
  <si>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</si>
  <si>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</si>
  <si>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</si>
  <si>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</si>
  <si>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</si>
  <si>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</si>
  <si>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</si>
  <si>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</si>
  <si>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</si>
  <si>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</si>
  <si>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</si>
  <si>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</si>
  <si>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</si>
  <si>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</si>
  <si>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</si>
  <si>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</si>
  <si>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</si>
  <si>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</si>
  <si>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</si>
  <si>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</si>
  <si>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</si>
  <si>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</si>
  <si>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</si>
  <si>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</si>
  <si>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</si>
  <si>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</si>
  <si>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t xml:space="preserve">Printed on </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</si>
  <si>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</si>
  <si>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</si>
  <si>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</si>
  <si>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Scottish Fire pension  projection calculator</t>
  </si>
  <si>
    <t>1992 Scheme</t>
  </si>
  <si>
    <t>sensible versus the FPS closure date? i.e. can't be a post 6/4/2006 joiner in FPS</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</si>
  <si>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</si>
  <si>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</si>
  <si>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</si>
  <si>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</si>
  <si>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</si>
  <si>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</si>
  <si>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</si>
  <si>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NFPS start</t>
  </si>
  <si>
    <t>Age at entry</t>
  </si>
  <si>
    <t>Age @ entry</t>
  </si>
  <si>
    <t>&lt;=55</t>
  </si>
  <si>
    <t>There are no FPS ERFs</t>
  </si>
  <si>
    <t>NFPS ERF</t>
  </si>
  <si>
    <t>Note: No LRFs in NFPS (or FPS)</t>
  </si>
  <si>
    <t>Age addition percentages (active member accounts)</t>
  </si>
  <si>
    <t>Age at Start of Scheme Year</t>
  </si>
  <si>
    <t>Service at NFPS start date</t>
  </si>
  <si>
    <t>FPS and NFPS calcs</t>
  </si>
  <si>
    <t>NFPS start date</t>
  </si>
  <si>
    <t>Service between NFPS start date and protection date</t>
  </si>
  <si>
    <t>Uplift in service applicable to members who were in FPS but then joined NFPS (assumed to be on DJS or shortly afterwards)</t>
  </si>
  <si>
    <t>i.e. applicable to NFPS members who have a DJS of earlier than the NFPS start date</t>
  </si>
  <si>
    <t>2006 Scheme Commutation Factor</t>
  </si>
  <si>
    <t>Below 50</t>
  </si>
  <si>
    <t>Pre 2015 Commutation Factor</t>
  </si>
  <si>
    <t>1992 Scheme Commutation Factors England (may use prior to underpin date)</t>
  </si>
  <si>
    <t>1992 Scheme Commutation Factors Scotland</t>
  </si>
  <si>
    <t>LRF</t>
  </si>
  <si>
    <t>v0.2</t>
  </si>
  <si>
    <r>
      <t xml:space="preserve">Inputs and outputs
</t>
    </r>
    <r>
      <rPr>
        <sz val="10"/>
        <rFont val="Arial"/>
        <family val="2"/>
      </rPr>
      <t xml:space="preserve">- amended schemes B123:B125
- reduced min current pen sal B131
- changed references to "PPS" and "NPPS" to "FPS" and "NFPS"
</t>
    </r>
    <r>
      <rPr>
        <b/>
        <sz val="10"/>
        <rFont val="Arial"/>
        <family val="2"/>
      </rPr>
      <t xml:space="preserve">Parameters
</t>
    </r>
    <r>
      <rPr>
        <sz val="10"/>
        <rFont val="Arial"/>
        <family val="2"/>
      </rPr>
      <t xml:space="preserve">- changed references to "PPS" and "NPPS" to "FPS" and "NFPS"
- updated F16:22
- added in new pension uplift table B59:H104
- deleted lump sum, ERF (CARE) and LRF (CARE) figures as these are not needed
</t>
    </r>
    <r>
      <rPr>
        <b/>
        <sz val="10"/>
        <rFont val="Arial"/>
        <family val="2"/>
      </rPr>
      <t xml:space="preserve">Tapers
</t>
    </r>
    <r>
      <rPr>
        <sz val="10"/>
        <rFont val="Arial"/>
        <family val="2"/>
      </rPr>
      <t xml:space="preserve">- updated tapers
</t>
    </r>
    <r>
      <rPr>
        <b/>
        <sz val="10"/>
        <rFont val="Arial"/>
        <family val="2"/>
      </rPr>
      <t xml:space="preserve">Commutation Factors
</t>
    </r>
    <r>
      <rPr>
        <sz val="10"/>
        <rFont val="Arial"/>
        <family val="2"/>
      </rPr>
      <t xml:space="preserve">- updated commutation factors
</t>
    </r>
    <r>
      <rPr>
        <b/>
        <sz val="10"/>
        <rFont val="Arial"/>
        <family val="2"/>
      </rPr>
      <t xml:space="preserve">ERF and LRF
</t>
    </r>
    <r>
      <rPr>
        <sz val="10"/>
        <rFont val="Arial"/>
        <family val="2"/>
      </rPr>
      <t xml:space="preserve">- updated with new NFPS ERFs
- updated with CARE ERF and LRF
</t>
    </r>
    <r>
      <rPr>
        <b/>
        <sz val="10"/>
        <rFont val="Arial"/>
        <family val="2"/>
      </rPr>
      <t xml:space="preserve">FPS and NFPS Calcs
</t>
    </r>
    <r>
      <rPr>
        <sz val="10"/>
        <rFont val="Arial"/>
        <family val="2"/>
      </rPr>
      <t xml:space="preserve">- changed references to "PPS" and "NPPS" to "FPS" and "NFPS"
- changed formulae in column F to use parameter Sch_FPS
- changed rows 11:15 so it is consistent with old calculator
</t>
    </r>
    <r>
      <rPr>
        <b/>
        <sz val="10"/>
        <rFont val="Arial"/>
        <family val="2"/>
      </rPr>
      <t xml:space="preserve">Lump sum
</t>
    </r>
    <r>
      <rPr>
        <sz val="10"/>
        <rFont val="Arial"/>
        <family val="2"/>
      </rPr>
      <t>- amended D12 and D25:F28</t>
    </r>
  </si>
  <si>
    <t>mjr 8/5/17: ok - cf circ 27/2006</t>
  </si>
  <si>
    <t>mjr:ok</t>
  </si>
  <si>
    <t>Adjusted for any career break to determine protection</t>
  </si>
  <si>
    <t>Scottish Firefighters' Pension Scheme Calculator</t>
  </si>
  <si>
    <t>Annual benefit statement years for drop down</t>
  </si>
  <si>
    <t>Table 1</t>
  </si>
  <si>
    <t>1992 Scheme (paragraph 3(1) of this Schedule)</t>
  </si>
  <si>
    <t>Table 2</t>
  </si>
  <si>
    <t>NFPS (paragraph 3(5) of this Schedule)</t>
  </si>
  <si>
    <t>Table 3</t>
  </si>
  <si>
    <t>1992 Scheme (aged under 40 with 20 years’ service – paragraph 3(2) of this Schedule)</t>
  </si>
  <si>
    <t>Table 4</t>
  </si>
  <si>
    <t>1992 Scheme (aged 40+ with less than 20 years’ service – paragraph 3(3) of this Schedule)</t>
  </si>
  <si>
    <t>Years’ service at 1 April 2012</t>
  </si>
  <si>
    <t>Sum of pensionable service and age at 1 April 2012</t>
  </si>
  <si>
    <t>Table 5</t>
  </si>
  <si>
    <t>1992 Scheme (aged under 40 with less than 20 years’ service – paragraph 3(4) of this Schedule)</t>
  </si>
  <si>
    <t>full protection</t>
  </si>
  <si>
    <t>1992 Taper</t>
  </si>
  <si>
    <t>table3?</t>
  </si>
  <si>
    <t>Table 4?</t>
  </si>
  <si>
    <t>Age at protection date in complete months</t>
  </si>
  <si>
    <t>age &lt; 40</t>
  </si>
  <si>
    <t>table5?</t>
  </si>
  <si>
    <t>Table 1?</t>
  </si>
  <si>
    <t>End date</t>
  </si>
  <si>
    <t>Above cell in complete months</t>
  </si>
  <si>
    <t>mjr:these conditions are not exclusive. I assume the latest protection end date applies.</t>
  </si>
  <si>
    <t>full prot</t>
  </si>
  <si>
    <t>2006 Taper</t>
  </si>
  <si>
    <t>ssi2015/19</t>
  </si>
  <si>
    <t>Protection status calculations</t>
  </si>
  <si>
    <t>look up column for uplift</t>
  </si>
  <si>
    <t>mjr 11/5/17 - min ret ages are 50(only with 25 years service) and 55, respectively. I don't follow the comment.</t>
  </si>
  <si>
    <t>5. How much service you have been granted for transfer in (final salary scheme only)</t>
  </si>
  <si>
    <t>6. Your pensionable earnings (full time equivalent at the start of the current scheme year)</t>
  </si>
  <si>
    <t>reck service &gt;=30</t>
  </si>
  <si>
    <t xml:space="preserve">25&lt;=reck service&lt;30 </t>
  </si>
  <si>
    <t>50&lt; chosen ret age &lt;=55</t>
  </si>
  <si>
    <t>the calc in d21 returns 2.25 even if service is less than 25 and age is less than 55. However retirement would not be allowed in this scenario.</t>
  </si>
  <si>
    <t>Removed the rank input. Not applicable to Fire. Changed VRA to 55 for all pre-15 service in Lump Sum sheet</t>
  </si>
  <si>
    <t>Changed cell d21 in lump sum calcs. Simpler criteria for the cash lump sum multiple for Fire. Added logical tests</t>
  </si>
  <si>
    <t>Still to reflect the late changes to Police into this version. Also to add another scheme to cater for special firefighters.</t>
  </si>
  <si>
    <t>v0.0</t>
  </si>
  <si>
    <r>
      <rPr>
        <b/>
        <sz val="10"/>
        <rFont val="Arial"/>
        <family val="2"/>
      </rPr>
      <t xml:space="preserve">Inputs and outputs
</t>
    </r>
    <r>
      <rPr>
        <sz val="10"/>
        <rFont val="Arial"/>
        <family val="2"/>
      </rPr>
      <t>- updated B137:138 to account for the correct minimum age
- updated B47 to remove one of the if statements</t>
    </r>
    <r>
      <rPr>
        <b/>
        <sz val="10"/>
        <rFont val="Arial"/>
        <family val="2"/>
      </rPr>
      <t xml:space="preserve">
Commutation Factors</t>
    </r>
    <r>
      <rPr>
        <sz val="10"/>
        <rFont val="Arial"/>
        <family val="2"/>
      </rPr>
      <t xml:space="preserve">
- added in England factors
</t>
    </r>
    <r>
      <rPr>
        <b/>
        <sz val="10"/>
        <rFont val="Arial"/>
        <family val="2"/>
      </rPr>
      <t xml:space="preserve">FPS and NFPS calcs
</t>
    </r>
    <r>
      <rPr>
        <sz val="10"/>
        <rFont val="Arial"/>
        <family val="2"/>
      </rPr>
      <t xml:space="preserve">- updated E34:36 to account for ERF and LRF
- adjusted ABS projection figures so that they have a consistent methodology
</t>
    </r>
    <r>
      <rPr>
        <b/>
        <sz val="10"/>
        <rFont val="Arial"/>
        <family val="2"/>
      </rPr>
      <t xml:space="preserve">CARE Calcs
</t>
    </r>
    <r>
      <rPr>
        <sz val="10"/>
        <rFont val="Arial"/>
        <family val="2"/>
      </rPr>
      <t xml:space="preserve">- removed weighting and recalculated the ERF and LRF (D21:22 and D35:F35)
</t>
    </r>
    <r>
      <rPr>
        <b/>
        <sz val="10"/>
        <rFont val="Arial"/>
        <family val="2"/>
      </rPr>
      <t>Lump sum</t>
    </r>
    <r>
      <rPr>
        <sz val="10"/>
        <rFont val="Arial"/>
        <family val="2"/>
      </rPr>
      <t xml:space="preserve">
- updated D12:D15 to ensure the correct figures are pulled up
- updated D18 so that full time service worked out in one step</t>
    </r>
  </si>
  <si>
    <t>link to FAQs</t>
  </si>
  <si>
    <t>2015 Microsite</t>
  </si>
  <si>
    <t>Scheme Guides</t>
  </si>
  <si>
    <t>Number of years service used in calculating final salary benefits</t>
  </si>
  <si>
    <t>OK, all VRAs on parameter tab changed to 65 and then first of these selected on lump sum sheet</t>
  </si>
  <si>
    <t>mjr:changed to calculate the period to the day before the retirement date. The scheme requires retirement the day after attaining 30 years to qualify for the maximum lump sum.</t>
  </si>
  <si>
    <t>Reckonable service to 55</t>
  </si>
  <si>
    <t>&lt;25 at 55?</t>
  </si>
  <si>
    <t xml:space="preserve">7. Do you know your accrued 2015 scheme benefit (as shown on your annual benefit statement)? </t>
  </si>
  <si>
    <t>8. Your employment status (Choose from the list in the box)</t>
  </si>
  <si>
    <t>9. Your current part-time proportion (entered as percentage e.g. 50%)</t>
  </si>
  <si>
    <t>10. The end date of your current annual benefit statement</t>
  </si>
  <si>
    <t>11. The reckonable service on your latest benefit statement</t>
  </si>
  <si>
    <t>Date 55</t>
  </si>
  <si>
    <t>FPS &lt; 40, &gt;=20 years service</t>
  </si>
  <si>
    <t>FPS &lt; 40, &lt;20 years service</t>
  </si>
  <si>
    <t>FPS &gt;= 40, &lt;20 years service</t>
  </si>
  <si>
    <t>age &gt;= 45</t>
  </si>
  <si>
    <t>age &gt;= 40</t>
  </si>
  <si>
    <t>serv &gt;= 20</t>
  </si>
  <si>
    <t>age &gt;= 50</t>
  </si>
  <si>
    <t>dob &gt;= 2/4/1967</t>
  </si>
  <si>
    <t>dob &lt;= 1/4/1971</t>
  </si>
  <si>
    <t>serv &gt;= 16</t>
  </si>
  <si>
    <t>serv &lt; 20</t>
  </si>
  <si>
    <t>age cm &gt;= 36 and 1/12</t>
  </si>
  <si>
    <t>dob &gt;= 2/4/1962</t>
  </si>
  <si>
    <t>dob &lt;= 1/4/1966</t>
  </si>
  <si>
    <t>age + serv &gt;= 56</t>
  </si>
  <si>
    <t>Should this be cm or exact?</t>
  </si>
  <si>
    <t>Not sure why this is needed?</t>
  </si>
  <si>
    <t>ap 2/6/17:Taper 1 OK</t>
  </si>
  <si>
    <t>ap 2/6/17:Taper 3 OK</t>
  </si>
  <si>
    <t>ap 2/6/17:Taper 4 OK</t>
  </si>
  <si>
    <t>ap 2/6/17:Taper 5 OK</t>
  </si>
  <si>
    <t>ap 2/6/17:Taper 2 OK</t>
  </si>
  <si>
    <t>ap 2/6/17:OK</t>
  </si>
  <si>
    <t>ap: ok</t>
  </si>
  <si>
    <r>
      <t xml:space="preserve">Lump sum
</t>
    </r>
    <r>
      <rPr>
        <sz val="10"/>
        <rFont val="Arial"/>
        <family val="2"/>
      </rPr>
      <t>Corrected typo in I22</t>
    </r>
  </si>
  <si>
    <r>
      <t xml:space="preserve">FPS and NFPS calcs
</t>
    </r>
    <r>
      <rPr>
        <sz val="10"/>
        <rFont val="Arial"/>
        <family val="2"/>
      </rPr>
      <t>Added iferror statements to K15,18,22,27 and N15</t>
    </r>
  </si>
  <si>
    <r>
      <t xml:space="preserve">Changes from latest police calculator
</t>
    </r>
    <r>
      <rPr>
        <sz val="10"/>
        <rFont val="Arial"/>
        <family val="2"/>
      </rPr>
      <t>Implemented changes from latest version of calculator</t>
    </r>
  </si>
  <si>
    <r>
      <t xml:space="preserve">Calculator
</t>
    </r>
    <r>
      <rPr>
        <sz val="10"/>
        <rFont val="Arial"/>
        <family val="2"/>
      </rPr>
      <t xml:space="preserve">Added in conditional formatting for part-time and 2015 scheme
Updated conditional formatting in results part as well
Amended formula in B54 to correct numbering of question based on part-time and 2015 scheme membership
Added in reckonable service calcluation F154:157 and amended data validation in B155 to restrict the minimum age to 55 if service &lt; 25
Amend D170 to remove error message
</t>
    </r>
    <r>
      <rPr>
        <b/>
        <sz val="10"/>
        <rFont val="Arial"/>
        <family val="2"/>
      </rPr>
      <t/>
    </r>
  </si>
  <si>
    <t>Pre-15 service used to calculate FS pension</t>
  </si>
  <si>
    <r>
      <t xml:space="preserve">FPS and NFPS calcs
</t>
    </r>
    <r>
      <rPr>
        <sz val="10"/>
        <rFont val="Arial"/>
        <family val="2"/>
      </rPr>
      <t>Changed D23 to include career breaks
Added in service used for pre 15 scheme (row 55)</t>
    </r>
  </si>
  <si>
    <r>
      <rPr>
        <b/>
        <sz val="10"/>
        <rFont val="Arial"/>
        <family val="2"/>
      </rPr>
      <t>Calculator</t>
    </r>
    <r>
      <rPr>
        <sz val="10"/>
        <rFont val="Arial"/>
        <family val="2"/>
      </rPr>
      <t xml:space="preserve">
Added an output (H66) to show the number of years' service used in calculating the final salary benefits</t>
    </r>
  </si>
  <si>
    <r>
      <t xml:space="preserve">Parameters
</t>
    </r>
    <r>
      <rPr>
        <sz val="10"/>
        <rFont val="Arial"/>
        <family val="2"/>
      </rPr>
      <t>Updated DoStartSchemeYear (D98) so if part-time, then 1 april in the year of the ABS date (defaults to calculated value if date not entered).</t>
    </r>
  </si>
  <si>
    <t>is today greater than the end of year?</t>
  </si>
  <si>
    <t>did 2015 scheme service startbefore the end of the year?</t>
  </si>
  <si>
    <t>service during year part 1</t>
  </si>
  <si>
    <t>service during year part 2</t>
  </si>
  <si>
    <t>2015 scheme start</t>
  </si>
  <si>
    <r>
      <t xml:space="preserve">Past service care calcs
</t>
    </r>
    <r>
      <rPr>
        <sz val="10"/>
        <rFont val="Arial"/>
        <family val="2"/>
      </rPr>
      <t>Updated row 16 so that it correctly deals with the number of days in a year
if the check box on the input screen is ticked and any of the past CARE input cells is blank, replace with the estimated value for that year. Amended row 18 in the past service CARE calcs sheet.</t>
    </r>
  </si>
  <si>
    <r>
      <t xml:space="preserve">Care calcs
</t>
    </r>
    <r>
      <rPr>
        <sz val="10"/>
        <rFont val="Arial"/>
        <family val="2"/>
      </rPr>
      <t>Changed CARE calcs to prevent negative service. Changed CARE Calcs cell d15 to be no less than zero.</t>
    </r>
  </si>
  <si>
    <r>
      <t>Typo in I22, should be &lt;=55 (instead of &lt;=30)
Consider whether to amend reckonable service in this area
Happy with CARE rate</t>
    </r>
    <r>
      <rPr>
        <b/>
        <sz val="10"/>
        <rFont val="Arial"/>
        <family val="2"/>
      </rPr>
      <t xml:space="preserve">
</t>
    </r>
    <r>
      <rPr>
        <sz val="10"/>
        <rFont val="Arial"/>
        <family val="2"/>
      </rPr>
      <t>Happy with tables 1 and 2 of taper, but unsure where tables 3-5 come from
For protection calcs on FPS and NFPS calcs sheet, unsure where I24:J24 needed
Agree with uplift lookup</t>
    </r>
  </si>
  <si>
    <r>
      <t xml:space="preserve">corrected 2015 accrual to 1/61.6 </t>
    </r>
    <r>
      <rPr>
        <b/>
        <sz val="10"/>
        <rFont val="Arial"/>
        <family val="2"/>
      </rPr>
      <t xml:space="preserve"> </t>
    </r>
    <r>
      <rPr>
        <sz val="10"/>
        <rFont val="Arial"/>
        <family val="2"/>
      </rPr>
      <t xml:space="preserve">                                                                 Agree pension uplift factors for 2006 scheme</t>
    </r>
    <r>
      <rPr>
        <b/>
        <sz val="10"/>
        <rFont val="Arial"/>
        <family val="2"/>
      </rPr>
      <t xml:space="preserve">. </t>
    </r>
    <r>
      <rPr>
        <sz val="10"/>
        <rFont val="Arial"/>
        <family val="2"/>
      </rPr>
      <t xml:space="preserve">Corrected the uplift factor lookup in sheet(FPS and NFPS Calcs). It was using service, from d10. I created a lookup column calculation in cell d15.  </t>
    </r>
    <r>
      <rPr>
        <b/>
        <sz val="10"/>
        <rFont val="Arial"/>
        <family val="2"/>
      </rPr>
      <t xml:space="preserve">   </t>
    </r>
    <r>
      <rPr>
        <sz val="10"/>
        <rFont val="Arial"/>
        <family val="2"/>
      </rPr>
      <t xml:space="preserve">                                                              Agree the Fire commutation factors and tables.       Those ERF and LFR figures are not used, so OK.        </t>
    </r>
    <r>
      <rPr>
        <b/>
        <sz val="10"/>
        <rFont val="Arial"/>
        <family val="2"/>
      </rPr>
      <t>I have copied taper tables 1-5 directly from the 2015  Scottish Fire regulations SI 2015/19</t>
    </r>
    <r>
      <rPr>
        <sz val="10"/>
        <rFont val="Arial"/>
        <family val="2"/>
      </rPr>
      <t xml:space="preserve">. We should use these to perform accurate taper calculations.      I agree the ERF and LRF tables for 2007 and 2015 schemes.       I added new calculations in FPS and NFPS calcs to determine the protection status and taper end date if applicable. </t>
    </r>
    <r>
      <rPr>
        <b/>
        <sz val="10"/>
        <rFont val="Arial"/>
        <family val="2"/>
      </rPr>
      <t xml:space="preserve">  </t>
    </r>
    <r>
      <rPr>
        <sz val="10"/>
        <rFont val="Arial"/>
        <family val="2"/>
      </rPr>
      <t>rows11:15 ok.</t>
    </r>
  </si>
  <si>
    <t>ap 2/6/17:ok</t>
  </si>
  <si>
    <t>From perspective part 4 of schedule (transitional provision)</t>
  </si>
  <si>
    <t>MJR</t>
  </si>
  <si>
    <t>changed calculator/b158 to have min age of 50 in for FPS instead of 48.</t>
  </si>
  <si>
    <t>Inputs and outputs - change to cells b137:138 is actually b158:159. agreed.           I agree commutation factors.        Check the erf application. Default age of 48 in the formula in cell is wrong.        We need validation on FPS retirement date to check 25 years service condition is met. Use the service in D28 for this validation. This will only work after all the service parameters have been input, including part-time details, so may not be possible. Needs thought. Also affects Police.</t>
  </si>
  <si>
    <t>erf lookup function is ok.</t>
  </si>
  <si>
    <t>Validation of chosen ret date is not right for FPS ages &lt; 55. Needs to use fully calculated service, allowing for part-time, career break etc. The correct calculation result is inFPS and NFPS calcs, cell D28. Need to replicate this in the validation.</t>
  </si>
  <si>
    <t>age at start of sch year</t>
  </si>
  <si>
    <t>service at start of sch year</t>
  </si>
  <si>
    <t>Full protection</t>
  </si>
  <si>
    <t>years to reach 25</t>
  </si>
  <si>
    <t>date reach 25</t>
  </si>
  <si>
    <t>age reach 25</t>
  </si>
  <si>
    <t>protection</t>
  </si>
  <si>
    <t>NFPS &amp; 2015</t>
  </si>
  <si>
    <t>Validation</t>
  </si>
  <si>
    <t>The Firefighters' Pension Scheme allows for part of your pension to be exchanged for a lump sum at retirement. This is called commutation.</t>
  </si>
  <si>
    <t>Firefighters' Pension Scheme (Scotland)</t>
  </si>
  <si>
    <t>On after taper end date</t>
  </si>
  <si>
    <t>Short-term adjustment</t>
  </si>
  <si>
    <t>CARE Revaluation  NAE = CPI + 2%</t>
  </si>
  <si>
    <t>ok</t>
  </si>
  <si>
    <t>changed the retirement date validation to account for the 25 year service criterion. See row 8s above for description.</t>
  </si>
  <si>
    <t>career break input  only to be enabled if member has service before 1/4/2015, and was part-time. This is needed for the protection calcs.</t>
  </si>
  <si>
    <t>OK AP 27/06/2017</t>
  </si>
  <si>
    <t>Check</t>
  </si>
  <si>
    <t>I can't see this. D159 uses min(55,age next birthday)</t>
  </si>
  <si>
    <r>
      <t xml:space="preserve">Calculator
</t>
    </r>
    <r>
      <rPr>
        <sz val="10"/>
        <rFont val="Arial"/>
        <family val="2"/>
      </rPr>
      <t xml:space="preserve">Amended formula in B54 and B57 and extended conditional formatting so that career break disappears when member is full time or only part of the 2015 scheme
Data validation OK
</t>
    </r>
    <r>
      <rPr>
        <b/>
        <sz val="10"/>
        <rFont val="Arial"/>
        <family val="2"/>
      </rPr>
      <t xml:space="preserve">FPS and NFPS calcs
</t>
    </r>
    <r>
      <rPr>
        <sz val="10"/>
        <rFont val="Arial"/>
        <family val="2"/>
      </rPr>
      <t>Updated M13:14 with correct formula</t>
    </r>
  </si>
  <si>
    <t>27/619</t>
  </si>
  <si>
    <r>
      <rPr>
        <b/>
        <sz val="10"/>
        <rFont val="Arial"/>
        <family val="2"/>
      </rPr>
      <t>Calculator</t>
    </r>
    <r>
      <rPr>
        <sz val="10"/>
        <rFont val="Arial"/>
        <family val="2"/>
      </rPr>
      <t xml:space="preserve">
F:G158 OK
</t>
    </r>
    <r>
      <rPr>
        <b/>
        <sz val="10"/>
        <rFont val="Arial"/>
        <family val="2"/>
      </rPr>
      <t xml:space="preserve">FPS and NFPS calcs
</t>
    </r>
    <r>
      <rPr>
        <sz val="10"/>
        <rFont val="Arial"/>
        <family val="2"/>
      </rPr>
      <t xml:space="preserve">Taper 2 incorrect, should look aat DOB not D9 </t>
    </r>
  </si>
  <si>
    <t>mjr: for Fire this is NAE assumption. Using 3% exactly causes error.</t>
  </si>
  <si>
    <t>michael rae</t>
  </si>
  <si>
    <t>Changed the in service revaluation from 4% to 3%</t>
  </si>
  <si>
    <t>age reach 30</t>
  </si>
  <si>
    <t>date reach 30</t>
  </si>
  <si>
    <t>years to reach 30</t>
  </si>
  <si>
    <t>if reach 25 years service after end of taper, put age 55. The member can always retire at 55.</t>
  </si>
  <si>
    <t>Changed the validation of retirment date to allow for 30 years service. See rows 155 -163 in calculator sheet.</t>
  </si>
  <si>
    <r>
      <t xml:space="preserve">Updated C170 and B156 on </t>
    </r>
    <r>
      <rPr>
        <b/>
        <sz val="10"/>
        <rFont val="Arial"/>
        <family val="2"/>
      </rPr>
      <t>Calculator</t>
    </r>
    <r>
      <rPr>
        <sz val="10"/>
        <rFont val="Arial"/>
        <family val="2"/>
      </rPr>
      <t xml:space="preserve"> so that the minimum retirement age is no less than 50
Updated guidance notes</t>
    </r>
  </si>
  <si>
    <t>The end date of your current annual benefit statement</t>
  </si>
  <si>
    <t xml:space="preserve"> 31 March</t>
  </si>
  <si>
    <t>End of protection</t>
  </si>
  <si>
    <t>djs</t>
  </si>
  <si>
    <t>Date started in 2015 scheme</t>
  </si>
  <si>
    <t>Revaluation Rate - NAE</t>
  </si>
  <si>
    <t>No years to wind back current salary</t>
  </si>
  <si>
    <t>Wound back salary</t>
  </si>
  <si>
    <t xml:space="preserve">Sum </t>
  </si>
  <si>
    <t>mjr: here we are ignoring any part-time past service</t>
  </si>
  <si>
    <t>Input accrued CARE</t>
  </si>
  <si>
    <t>As at date</t>
  </si>
  <si>
    <t>revalued to date of ret</t>
  </si>
  <si>
    <t>Accrued Care from ABS?</t>
  </si>
  <si>
    <t>accrued benefit to use</t>
  </si>
  <si>
    <t>Changed validation on FPS members to allow retirment &gt;= age 50 as long as &gt;= 25 years' membership. Set cell c157 (minimum date) equal to D171. See para B2 of 1992 Firefighters pension order, and SPPA webpage http://www.sppa.gov.uk/index.php?option=com_content&amp;view=article&amp;id=92&amp;Itemid=303</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</si>
  <si>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</si>
  <si>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</si>
  <si>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</si>
  <si>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</si>
  <si>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</si>
  <si>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</si>
  <si>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</si>
  <si>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</si>
  <si>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</si>
  <si>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</si>
  <si>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</si>
  <si>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</si>
  <si>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</si>
  <si>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</si>
  <si>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</si>
  <si>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</si>
  <si>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</si>
  <si>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</si>
  <si>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</si>
  <si>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</si>
  <si>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</si>
  <si>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</si>
  <si>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</si>
  <si>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</si>
  <si>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</si>
  <si>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</si>
  <si>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</si>
  <si>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</si>
  <si>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</si>
  <si>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</si>
  <si>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</si>
  <si>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</si>
  <si>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</si>
  <si>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</si>
  <si>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</si>
  <si>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</si>
  <si>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</si>
  <si>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</si>
  <si>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</si>
  <si>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</si>
  <si>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</si>
  <si>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</si>
  <si>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</si>
  <si>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</si>
  <si>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</si>
  <si>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</si>
  <si>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</si>
  <si>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</si>
  <si>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</si>
  <si>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</si>
  <si>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</si>
  <si>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</si>
  <si>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</si>
  <si>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</si>
  <si>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</si>
  <si>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</si>
  <si>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</si>
  <si>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</si>
  <si>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</si>
  <si>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</si>
  <si>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</si>
  <si>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</si>
  <si>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</si>
  <si>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</si>
  <si>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</si>
  <si>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</si>
  <si>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</si>
  <si>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</si>
  <si>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</si>
  <si>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</si>
  <si>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</si>
  <si>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</si>
  <si>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</si>
  <si>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</si>
  <si>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</si>
  <si>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</si>
  <si>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</si>
  <si>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</si>
  <si>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</si>
  <si>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</si>
  <si>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</si>
  <si>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</si>
  <si>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</si>
  <si>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</si>
  <si>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</si>
  <si>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</si>
  <si>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</si>
  <si>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</si>
  <si>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</si>
  <si>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</si>
  <si>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</si>
  <si>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</si>
  <si>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</si>
  <si>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</si>
  <si>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</si>
  <si>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</si>
  <si>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</si>
  <si>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</si>
  <si>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</si>
  <si>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</si>
  <si>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</si>
  <si>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</si>
  <si>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</si>
  <si>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</si>
  <si>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</si>
  <si>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</si>
  <si>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</si>
  <si>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</si>
  <si>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</si>
  <si>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</si>
  <si>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</si>
  <si>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</si>
  <si>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</si>
  <si>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</si>
  <si>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</si>
  <si>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</si>
  <si>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</si>
  <si>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</si>
  <si>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</si>
  <si>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</si>
  <si>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</si>
  <si>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</si>
  <si>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</si>
  <si>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</si>
  <si>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</si>
  <si>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</si>
  <si>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</si>
  <si>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</si>
  <si>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</si>
  <si>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</si>
  <si>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</si>
  <si>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</si>
  <si>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</si>
  <si>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</si>
  <si>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</si>
  <si>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</si>
  <si>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</si>
  <si>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</si>
  <si>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</si>
  <si>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</si>
  <si>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</si>
  <si>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</si>
  <si>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</si>
  <si>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</si>
  <si>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</si>
  <si>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</si>
  <si>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</si>
  <si>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</si>
  <si>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</si>
  <si>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</si>
  <si>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</si>
  <si>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</si>
  <si>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</si>
  <si>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</si>
  <si>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</si>
  <si>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</si>
  <si>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</si>
  <si>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</si>
  <si>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</si>
  <si>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</si>
  <si>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CMI2016F-02-1pt25</t>
  </si>
  <si>
    <t>CMI2016F-07-1pt5</t>
  </si>
  <si>
    <t>CMI2016M-02-1pt25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</si>
  <si>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</si>
  <si>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</si>
  <si>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</si>
  <si>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</si>
  <si>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</si>
  <si>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</si>
  <si>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</si>
  <si>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</si>
  <si>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</si>
  <si>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</si>
  <si>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</si>
  <si>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</si>
  <si>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</si>
  <si>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</si>
  <si>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</si>
  <si>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</si>
  <si>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</si>
  <si>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</si>
  <si>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</si>
  <si>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</si>
  <si>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</si>
  <si>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</si>
  <si>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</si>
  <si>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</si>
  <si>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</si>
  <si>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</si>
  <si>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</si>
  <si>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</si>
  <si>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</si>
  <si>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Updated with Post Nov 2018 factors</t>
  </si>
  <si>
    <t>Jeanette Johnson</t>
  </si>
  <si>
    <t>Updated with commutation factors Oct 2018</t>
  </si>
  <si>
    <t>"\\gad-psps\PSPS\Fire_S\General Work\Misc\Benefit calculator\Emails_Fire 1992 - Commutation update (Oct 2018).pdf"</t>
  </si>
  <si>
    <t>\\gad-psps\PSPS\Fire_S\General Work\Misc\Benefit calculator\[190108FirePensionv1.5 (Oct18 Comm, ERF, LRF).xlsx]Version control</t>
  </si>
  <si>
    <t>Oscar castro</t>
  </si>
  <si>
    <t>\\Gad-psps\psps\Fire_S\Factors\2018\Main Factor Review\ERFs\Final factors on 2.4%\Fire Scotland ERFs and LRFs - January 2019.xlsm</t>
  </si>
  <si>
    <t>Table x-401</t>
  </si>
  <si>
    <t>CARE Scheme ERF (active member account)</t>
  </si>
  <si>
    <t>Table x-402</t>
  </si>
  <si>
    <t>Table x-404 (this is the not assumed factors)</t>
  </si>
  <si>
    <t>Updated the ERF and LRF</t>
  </si>
  <si>
    <t>v1.5.1</t>
  </si>
  <si>
    <t>Oscar Castro</t>
  </si>
  <si>
    <t>Updated cell c116 in the Parameter sheet (have heighted the cell in green).</t>
  </si>
  <si>
    <t>RF</t>
  </si>
  <si>
    <t>Checked new commutation factors added correctly</t>
  </si>
  <si>
    <t>Checked ERFs and LRFs added correctly</t>
  </si>
  <si>
    <t>Happy with new months calculation which now includes the rounding function</t>
  </si>
  <si>
    <t>P:\Fire_S\General Work\Misc\Benefit calculator\01.2018 Factor Review and previous\Sent\20190123\[20190123FirePensionv1.5.1.xlsx]Version control</t>
  </si>
  <si>
    <t>v2.01</t>
  </si>
  <si>
    <t>P:\Fire_S\General Work\Misc\Benefit calculator\02.Double accrual\[Fire S- Benefit Calculator_v2.01.xlsx]Version control</t>
  </si>
  <si>
    <t>Updated the calculator, so that the accrual rate is determined using the FT service and not the PT - cell D30 in the “PPS and NPPS calcs” worksheet</t>
  </si>
  <si>
    <t>Apply future part-time fraction to future pension</t>
  </si>
  <si>
    <t>JF 22/10/2020: Adjusted to remove PTP being applied to entire pension</t>
  </si>
  <si>
    <t>Jo Foster</t>
  </si>
  <si>
    <t>Updated the CARE calcs sheet so that the PTP is applied to future CARE service only and not accrued CARE pension</t>
  </si>
  <si>
    <t xml:space="preserve">JF 22/10/20: changed to sum future service once PTP has been applied. </t>
  </si>
  <si>
    <t>CARE future service pension (with PTP)</t>
  </si>
  <si>
    <t>JF 22/10/2020: Added this line to adjust future service for PTP.</t>
  </si>
  <si>
    <t>D Hirani</t>
  </si>
  <si>
    <r>
      <t xml:space="preserve">Checked after NHS_S. Okay. Expanded text box in guidance tab as not all text was visible and added: </t>
    </r>
    <r>
      <rPr>
        <i/>
        <sz val="10"/>
        <rFont val="Arial"/>
        <family val="2"/>
      </rPr>
      <t>If you do not have your benefit statement, the calculator will assume you have worked full-time up until the start of the scheme year and will then assume you work your current part-time hours until retirement</t>
    </r>
  </si>
  <si>
    <r>
      <rPr>
        <b/>
        <sz val="10"/>
        <rFont val="Arial"/>
        <family val="2"/>
      </rPr>
      <t xml:space="preserve">Understanding the results (Notes and Assumptions)        </t>
    </r>
    <r>
      <rPr>
        <sz val="10"/>
        <rFont val="Arial"/>
        <family val="2"/>
      </rPr>
      <t xml:space="preserve">
-</t>
    </r>
    <r>
      <rPr>
        <b/>
        <sz val="10"/>
        <rFont val="Arial"/>
        <family val="2"/>
      </rPr>
      <t xml:space="preserve"> 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 The results sections (1) and (2) are in current money terms (after adjusting for assumed future inflation).
-The results sections (1) and (2) allow for salary increases, inflation and revaluation of CARE benefits on three different sets of assumptions. The assumed salary increases do not allow for any future promotional salary increases you may receive.
- The amount of pension you may receive depends on when you retire.
- It is assumed that you will remain in active service until your selected retirement date, and that you will retire on normal terms (i.e. you are not retiring in ill-health).
-  Where retirement age is not age 60, the amount of 2015 scheme pension shown includes actuarial adjustments for the earlier or later start of payments than the 2006 and 2015 schemes’ normal pension age of 60. These actuarial adjustments are those currently in effect. However, they will be reviewed periodically, and may increase or decrease. Your benefits at retirement will depend on the actuarial adjustment factors in effect at that time.
- If you are a 1992 scheme member, you may be entitled to retire before age 55. Results for retirement at ages before 55 show the amount of any 2015 scheme pension you have built up at age 60 as this is the earliest age you would be entitled to take these benefits without reduction if you leave active service before age 60.  Alternatively, you could choose to receive your new scheme benefits from age 55, with actuarial reduction.
- Benefits are shown by firstly including the maximum amount of lump sum by commutation of pension allowed under the scheme rules, and secondly assuming no commutation of pension. At retirement you will be able to choose how much pension to commute for a lump sum (within limits). If appropriate to you , this projection has used the FPS 1992 commutation factors currently in effect. However, commutation factors are reviewed periodically and the amount of lump sum available at your actual retirement will depend on the commutation factors in effect at that time.
- The results do not include any added 60ths or added pension which you may have purchased, pension debits or other special arrangements within the  schemes. If your 2015 pension includes transferred-in benefits, for simplicity this projection has revalued them at the same rate as Firefighters' scheme benefits. In practice, a different rate of revaluation may apply to benefits transferred in from another public service pension scheme.
- The calculator does not show pension from other sources, for example the state pension or other private arrangements you may have.
If you are a member of the FPS 1992 and have previously been employed at a higher salary rate, you may be entitled to two (split) pensions. This calculator is unable to provide for this and you should contact SPPA administration team for further information
- If you previously moved from the 1992 scheme to the 2006 scheme as part of the options exercise in 2007, an approximate allowance has been made  for the service that you would have been granted in the 2006 scheme.  It is assumed that you transferred your service to the 2006 scheme on 6 April 2006 and that any transferred-in service that you have input above was granted before 6 April 2006.
- If you indicated you have worked part time, the calculator has allowed for part-time hours worked up to your most recent benefit statement. It has also assumed you have worked your current part-time hours since then and will continue to do so until retirement. If you do not have your benefit statement, the calculator will assume you have worked full-time up until the start of the scheme year and will then assume you work your current part-time hours until retirement.
- If you indicated you have periods of </t>
    </r>
    <r>
      <rPr>
        <b/>
        <sz val="10"/>
        <rFont val="Arial"/>
        <family val="2"/>
      </rPr>
      <t>part time working</t>
    </r>
    <r>
      <rPr>
        <sz val="10"/>
        <rFont val="Arial"/>
        <family val="2"/>
      </rPr>
      <t xml:space="preserve">, and you have input your accrued CARE benefit from your annual benefit statement, the total benefits quoted at retirement in this calculator will:
      - allow for your actual part-time hours up to your most recent benefit statement 
      - assume you have worked your current part-time hours since the date of your most recent benefit statement to the current date
      - assume that you will continue to work your current part-time hours from the current date until retirement. 
- If you indicated you have periods of part time working but you have not input your accrued CARE benefit from your annual benefit statement, the benefits quoted at retirement in this calculator will:
      - assume you have worked full-time up until the start of the current scheme year
      - assume that you will work your current part-time hours until retirement. 
- The illustrations do not allow for taxation. Your benefits will be subject to the various tax rates and limits in force when you retire. Further information on taxation is available on the SPPA website. You may wish to seek specialist advice if you think you could be affected.
- Your scheme provides survivor benefits payable in the event of your death. These are not shown here. See your scheme guide for details.
</t>
    </r>
    <r>
      <rPr>
        <b/>
        <sz val="10"/>
        <rFont val="Arial"/>
        <family val="2"/>
      </rPr>
      <t xml:space="preserve">Warnings (continued over)             </t>
    </r>
    <r>
      <rPr>
        <sz val="10"/>
        <rFont val="Arial"/>
        <family val="2"/>
      </rPr>
      <t xml:space="preserve"> 
- The results produced are not formal statement of your entitlements.
- This calculator only applies to the scheme in Scotland
- The results shown above are estimated, using a given set of assumptions.  Using different assumptions in the calculations could produce different results.
- The calculations of the lump sum by commutation, and any adjustments for early or late retirement, use factors currently in effect. These factors are reviewed periodically. When you actually retire, the scheme factors in force at the time will be used, if appropriate. This may produce different results, other things being equal, to those illustrated here.
- Allowing for promotional salary increases would increase the projected benefits.    
- If future experience differs from the assumptions used, the pension you will receive at retirement will be different from those shown above.
- If you wish to seek financial advice, please contact an authorised independent financial adviser. The results above are not to be considered as financial advice.  SPPA does not accept responsibility for the accuracy of results produced.
</t>
    </r>
    <r>
      <rPr>
        <b/>
        <sz val="10"/>
        <rFont val="Arial"/>
        <family val="2"/>
      </rPr>
      <t xml:space="preserve">Detailed notes (which explain some of the details of the calculations)      </t>
    </r>
    <r>
      <rPr>
        <sz val="10"/>
        <rFont val="Arial"/>
        <family val="2"/>
      </rPr>
      <t xml:space="preserve">
- The 2015 scheme is a Career Average Revalued Earnings (CARE) scheme with an accrual rate of 1/61.6 and revaluation for active members before retirement in line with the change in the national average earnings.
- Transitional and tapered protection have been allowed for in the results.
- The calculator assumes that general long-term pay increases by (i) 0.0%, (ii) 1.0% and (iii) 2.0% more than CPI  each year. CPI has been assumed to be 2.0% a year. However, if the selected retirement date is before 1/4/2020, the lowest rate of pay increases has been set to 1% (CPI – 1%). The 2015 scheme active member in-service revaluation has been set at 3% in all cases.
</t>
    </r>
  </si>
  <si>
    <t>- This calculator makes no allowance for HM Treasury's proposed remedy to remove the unlawful discrimination arising from the transitional protection awarded to members as part of the reform of the public sector pension schemes in 2015, known as the McCloud and Sargeant cases. Therefore, for members who are eligible for remedy (those who joined the scheme on or before 31 March 2012 and remained in service on or after 31 March 2015), this calculator may not provide a correct benefit projection. In particular, the benefits accrued during the proposed remedy period of 1 April 2015 to 31 March 2022, may not be based on the scheme benefit structure you ultimately receive at your retirement. 
For members who are not in scope for remedy, the calculator will continue to produce suitable estimates based on the current benefits in the Scottish Firefighters' Pension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</si>
</sst>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_-* #,##0_-;\-* #,##0_-;_-* &quot;-&quot;??_-;_-@_-"/>
    <numFmt numFmtId="170" formatCode="#,##0.000"/>
    <numFmt numFmtId="171" formatCode="[$-809]dd\ mmmm\ yyyy;@"/>
    <numFmt numFmtId="172" formatCode="#,##0.0000"/>
    <numFmt numFmtId="173" formatCode="0.0"/>
    <numFmt numFmtId="174" formatCode="0.0000000"/>
    <numFmt numFmtId="175" formatCode="0.00000000"/>
    <numFmt numFmtId="176" formatCode="dd/mm/yyyy;@"/>
    <numFmt numFmtId="177" formatCode="0.000000"/>
    <numFmt numFmtId="178" formatCode="[$-F800]dddd\,\ mmmm\ dd\,\ yyyy"/>
  </numFmts>
  <fonts count="70"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b/>
      <sz val="11"/>
      <color theme="1"/>
      <name val="Calibri"/>
      <family val="2"/>
      <scheme val="minor"/>
    </font>
    <font>
      <sz val="10"/>
      <color theme="1"/>
      <name val="Arial"/>
      <family val="2"/>
    </font>
    <font>
      <b/>
      <sz val="10"/>
      <color theme="1"/>
      <name val="Arial"/>
      <family val="2"/>
    </font>
    <font>
      <b/>
      <sz val="18"/>
      <name val="Arial"/>
      <family val="2"/>
    </font>
    <font>
      <b/>
      <sz val="16"/>
      <name val="Arial"/>
      <family val="2"/>
    </font>
    <font>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sz val="13"/>
      <name val="Arial"/>
      <family val="2"/>
    </font>
    <font>
      <b/>
      <u/>
      <sz val="18"/>
      <color theme="0"/>
      <name val="Arial"/>
      <family val="2"/>
    </font>
    <font>
      <sz val="15"/>
      <color rgb="FFFF0000"/>
      <name val="Arial"/>
      <family val="2"/>
    </font>
    <font>
      <b/>
      <u/>
      <sz val="16"/>
      <color theme="0"/>
      <name val="Arial"/>
      <family val="2"/>
    </font>
    <font>
      <sz val="10"/>
      <color rgb="FF0070C0"/>
      <name val="Arial"/>
      <family val="2"/>
    </font>
    <font>
      <i/>
      <sz val="10"/>
      <name val="Arial"/>
      <family val="2"/>
    </font>
  </fonts>
  <fills count="1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lightDown">
        <bgColor theme="0" tint="-0.34998626667073579"/>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rgb="FFFFFFFF"/>
        <bgColor indexed="64"/>
      </patternFill>
    </fill>
    <fill>
      <patternFill patternType="solid">
        <fgColor theme="3" tint="-0.249977111117893"/>
        <bgColor indexed="64"/>
      </patternFill>
    </fill>
    <fill>
      <patternFill patternType="solid">
        <fgColor rgb="FFC00000"/>
        <bgColor indexed="64"/>
      </patternFill>
    </fill>
    <fill>
      <patternFill patternType="solid">
        <fgColor rgb="FF92D050"/>
        <bgColor indexed="64"/>
      </patternFill>
    </fill>
  </fills>
  <borders count="50">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top style="thin">
        <color theme="1"/>
      </top>
      <bottom style="thin">
        <color theme="1"/>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2"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51">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2" fillId="0" borderId="0" xfId="3" applyAlignment="1" applyProtection="1"/>
    <xf numFmtId="0" fontId="20" fillId="0" borderId="0" xfId="0" applyNumberFormat="1" applyFont="1"/>
    <xf numFmtId="44" fontId="0" fillId="0" borderId="0" xfId="0" applyNumberFormat="1"/>
    <xf numFmtId="10" fontId="20" fillId="0" borderId="0" xfId="0" applyNumberFormat="1" applyFont="1"/>
    <xf numFmtId="0" fontId="32" fillId="0" borderId="0" xfId="3" applyAlignment="1" applyProtection="1">
      <alignment vertical="top" wrapText="1"/>
    </xf>
    <xf numFmtId="0" fontId="0" fillId="0" borderId="0" xfId="0" applyAlignment="1">
      <alignment wrapText="1"/>
    </xf>
    <xf numFmtId="0" fontId="3" fillId="0" borderId="0" xfId="0" applyFont="1" applyAlignment="1">
      <alignment wrapText="1"/>
    </xf>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0" fontId="32" fillId="0" borderId="0" xfId="3" applyAlignment="1" applyProtection="1">
      <alignment wrapText="1"/>
    </xf>
    <xf numFmtId="14" fontId="33" fillId="0" borderId="0" xfId="0" applyNumberFormat="1" applyFont="1"/>
    <xf numFmtId="2" fontId="0" fillId="0" borderId="0" xfId="0" applyNumberFormat="1"/>
    <xf numFmtId="167" fontId="0" fillId="0" borderId="0" xfId="0" applyNumberFormat="1"/>
    <xf numFmtId="0" fontId="1" fillId="0" borderId="17" xfId="0" applyFont="1" applyBorder="1"/>
    <xf numFmtId="0" fontId="0" fillId="0" borderId="17" xfId="0" applyBorder="1"/>
    <xf numFmtId="0" fontId="32" fillId="0" borderId="17" xfId="3" applyBorder="1" applyAlignment="1" applyProtection="1"/>
    <xf numFmtId="14" fontId="0" fillId="0" borderId="17" xfId="0" applyNumberFormat="1" applyBorder="1"/>
    <xf numFmtId="0" fontId="3" fillId="0" borderId="17" xfId="0" applyFont="1" applyBorder="1" applyAlignment="1">
      <alignment wrapText="1"/>
    </xf>
    <xf numFmtId="0" fontId="34" fillId="3" borderId="0" xfId="0" applyFont="1" applyFill="1"/>
    <xf numFmtId="0" fontId="34" fillId="3" borderId="0" xfId="0" applyFont="1" applyFill="1" applyAlignment="1" applyProtection="1"/>
    <xf numFmtId="0" fontId="35" fillId="0" borderId="0" xfId="0" applyFont="1" applyAlignment="1">
      <alignment vertical="top"/>
    </xf>
    <xf numFmtId="3" fontId="0" fillId="0" borderId="0" xfId="0" applyNumberFormat="1"/>
    <xf numFmtId="0" fontId="33" fillId="0" borderId="0" xfId="0" applyFont="1"/>
    <xf numFmtId="0" fontId="3" fillId="0" borderId="8" xfId="0" applyFont="1" applyBorder="1" applyAlignment="1">
      <alignment horizontal="center" vertical="center"/>
    </xf>
    <xf numFmtId="0" fontId="1" fillId="0" borderId="4" xfId="0" applyFont="1" applyBorder="1" applyAlignment="1">
      <alignment horizontal="center" vertical="center"/>
    </xf>
    <xf numFmtId="2" fontId="0" fillId="0" borderId="0" xfId="0" applyNumberFormat="1" applyBorder="1"/>
    <xf numFmtId="2" fontId="0" fillId="0" borderId="23" xfId="0" applyNumberFormat="1" applyBorder="1"/>
    <xf numFmtId="0" fontId="36" fillId="0" borderId="0" xfId="0" applyFont="1"/>
    <xf numFmtId="0" fontId="37" fillId="0" borderId="0" xfId="0" applyFont="1"/>
    <xf numFmtId="0" fontId="1" fillId="0" borderId="17" xfId="0" applyFont="1" applyBorder="1" applyAlignment="1">
      <alignment vertical="top" wrapText="1"/>
    </xf>
    <xf numFmtId="0" fontId="1" fillId="0" borderId="17" xfId="0" applyFont="1" applyBorder="1" applyAlignment="1">
      <alignment vertical="top"/>
    </xf>
    <xf numFmtId="14" fontId="0" fillId="0" borderId="17" xfId="0" applyNumberFormat="1" applyBorder="1" applyAlignment="1">
      <alignment vertical="top"/>
    </xf>
    <xf numFmtId="169" fontId="1" fillId="0" borderId="0" xfId="1" applyNumberFormat="1" applyFont="1"/>
    <xf numFmtId="169" fontId="0" fillId="0" borderId="0" xfId="0" applyNumberFormat="1"/>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0" fillId="0" borderId="0" xfId="0" applyNumberFormat="1" applyAlignment="1">
      <alignment horizontal="right"/>
    </xf>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2" fontId="0" fillId="0" borderId="25" xfId="0" applyNumberForma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1" fillId="8" borderId="23" xfId="0" applyFont="1" applyFill="1" applyBorder="1"/>
    <xf numFmtId="0" fontId="0" fillId="0" borderId="23" xfId="0" applyBorder="1"/>
    <xf numFmtId="0" fontId="3" fillId="0" borderId="12" xfId="0" applyFont="1" applyFill="1" applyBorder="1"/>
    <xf numFmtId="0" fontId="3" fillId="0" borderId="4" xfId="0" applyFont="1" applyFill="1" applyBorder="1"/>
    <xf numFmtId="0" fontId="0" fillId="0" borderId="25"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6" xfId="0" applyBorder="1"/>
    <xf numFmtId="0" fontId="0" fillId="0" borderId="26" xfId="0" applyBorder="1"/>
    <xf numFmtId="10" fontId="36" fillId="0" borderId="0" xfId="0" applyNumberFormat="1" applyFont="1"/>
    <xf numFmtId="168" fontId="36" fillId="0" borderId="0" xfId="4" applyNumberFormat="1" applyFont="1"/>
    <xf numFmtId="14" fontId="0" fillId="0" borderId="27" xfId="0" applyNumberFormat="1" applyBorder="1"/>
    <xf numFmtId="0" fontId="1" fillId="0" borderId="6" xfId="0" applyFont="1" applyBorder="1"/>
    <xf numFmtId="14" fontId="0" fillId="0" borderId="10" xfId="0" applyNumberFormat="1" applyBorder="1"/>
    <xf numFmtId="14" fontId="0" fillId="0" borderId="9" xfId="0" applyNumberFormat="1" applyBorder="1"/>
    <xf numFmtId="14" fontId="0" fillId="0" borderId="11"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28" xfId="0" applyNumberFormat="1" applyBorder="1" applyAlignment="1">
      <alignment horizontal="right"/>
    </xf>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167" fontId="0" fillId="0" borderId="6" xfId="0" applyNumberFormat="1" applyBorder="1"/>
    <xf numFmtId="167" fontId="0" fillId="0" borderId="5" xfId="0" applyNumberForma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4" fontId="0" fillId="0" borderId="22" xfId="0" applyNumberFormat="1" applyBorder="1" applyAlignment="1">
      <alignment horizontal="right"/>
    </xf>
    <xf numFmtId="3" fontId="0" fillId="0" borderId="5" xfId="0" applyNumberFormat="1" applyBorder="1"/>
    <xf numFmtId="0" fontId="1" fillId="0" borderId="12" xfId="0" applyFont="1" applyBorder="1"/>
    <xf numFmtId="0" fontId="1" fillId="0" borderId="4" xfId="0" applyFont="1" applyBorder="1"/>
    <xf numFmtId="0" fontId="1" fillId="0" borderId="25" xfId="0" applyFont="1" applyBorder="1"/>
    <xf numFmtId="14" fontId="0" fillId="0" borderId="25" xfId="0" applyNumberFormat="1" applyBorder="1"/>
    <xf numFmtId="10" fontId="1" fillId="0" borderId="12" xfId="4" applyNumberFormat="1" applyFont="1" applyBorder="1"/>
    <xf numFmtId="10" fontId="0" fillId="0" borderId="4" xfId="4" applyNumberFormat="1" applyFont="1" applyBorder="1"/>
    <xf numFmtId="14" fontId="0" fillId="0" borderId="0" xfId="0" applyNumberFormat="1" applyBorder="1"/>
    <xf numFmtId="14" fontId="0" fillId="0" borderId="23"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171" fontId="1" fillId="0" borderId="0" xfId="0" quotePrefix="1" applyNumberFormat="1" applyFont="1" applyAlignment="1" applyProtection="1">
      <alignment horizontal="left" vertical="top"/>
      <protection hidden="1"/>
    </xf>
    <xf numFmtId="0" fontId="38" fillId="0" borderId="0" xfId="0" applyFont="1"/>
    <xf numFmtId="0" fontId="39" fillId="0" borderId="0" xfId="0" applyFont="1" applyFill="1" applyBorder="1"/>
    <xf numFmtId="167" fontId="0" fillId="0" borderId="26" xfId="0" applyNumberFormat="1" applyBorder="1"/>
    <xf numFmtId="167" fontId="0" fillId="0" borderId="28" xfId="0" applyNumberFormat="1" applyBorder="1" applyAlignment="1">
      <alignment horizontal="right"/>
    </xf>
    <xf numFmtId="167" fontId="1" fillId="0" borderId="25" xfId="0" applyNumberFormat="1" applyFont="1" applyBorder="1"/>
    <xf numFmtId="167" fontId="0" fillId="0" borderId="4" xfId="0" applyNumberFormat="1" applyBorder="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167" fontId="0" fillId="0" borderId="12" xfId="0" applyNumberFormat="1" applyBorder="1"/>
    <xf numFmtId="0" fontId="3" fillId="0" borderId="4" xfId="0" applyFont="1" applyBorder="1" applyAlignment="1">
      <alignment horizontal="left"/>
    </xf>
    <xf numFmtId="4" fontId="1" fillId="0" borderId="28" xfId="0" applyNumberFormat="1" applyFont="1" applyBorder="1" applyAlignment="1">
      <alignment horizontal="right"/>
    </xf>
    <xf numFmtId="4" fontId="1" fillId="0" borderId="0" xfId="0" applyNumberFormat="1" applyFont="1" applyBorder="1"/>
    <xf numFmtId="4" fontId="1" fillId="0" borderId="0" xfId="0" applyNumberFormat="1" applyFont="1" applyBorder="1" applyAlignment="1">
      <alignment horizontal="right"/>
    </xf>
    <xf numFmtId="4" fontId="1" fillId="0" borderId="23" xfId="0" applyNumberFormat="1" applyFont="1" applyBorder="1" applyAlignment="1">
      <alignment horizontal="right"/>
    </xf>
    <xf numFmtId="0" fontId="1" fillId="0" borderId="26" xfId="0" applyFont="1" applyBorder="1"/>
    <xf numFmtId="0" fontId="0" fillId="0" borderId="27" xfId="0" applyBorder="1"/>
    <xf numFmtId="0" fontId="1" fillId="0" borderId="23" xfId="0" applyFont="1" applyBorder="1"/>
    <xf numFmtId="0" fontId="1" fillId="0" borderId="5" xfId="0" applyFont="1" applyBorder="1"/>
    <xf numFmtId="14" fontId="0" fillId="0" borderId="4" xfId="0" applyNumberFormat="1" applyBorder="1"/>
    <xf numFmtId="14" fontId="37" fillId="0" borderId="0" xfId="0" applyNumberFormat="1" applyFont="1"/>
    <xf numFmtId="0" fontId="1" fillId="0" borderId="0" xfId="0" applyFont="1" applyAlignment="1">
      <alignment wrapText="1"/>
    </xf>
    <xf numFmtId="14" fontId="37" fillId="0" borderId="0" xfId="0" applyNumberFormat="1" applyFont="1" applyProtection="1">
      <protection hidden="1"/>
    </xf>
    <xf numFmtId="14" fontId="36" fillId="0" borderId="0" xfId="0" applyNumberFormat="1" applyFont="1"/>
    <xf numFmtId="0" fontId="3" fillId="0" borderId="0" xfId="0" applyFont="1" applyBorder="1" applyAlignment="1">
      <alignment horizontal="center" vertical="center" wrapText="1"/>
    </xf>
    <xf numFmtId="0" fontId="1" fillId="0" borderId="4" xfId="0" applyFont="1" applyFill="1" applyBorder="1"/>
    <xf numFmtId="1" fontId="0" fillId="0" borderId="0" xfId="0" applyNumberFormat="1" applyBorder="1"/>
    <xf numFmtId="0" fontId="0" fillId="0" borderId="22" xfId="0" applyBorder="1"/>
    <xf numFmtId="3" fontId="1" fillId="0" borderId="28" xfId="0" applyNumberFormat="1" applyFont="1" applyBorder="1" applyAlignment="1">
      <alignment horizontal="right"/>
    </xf>
    <xf numFmtId="1" fontId="0" fillId="0" borderId="23" xfId="0" applyNumberFormat="1" applyBorder="1"/>
    <xf numFmtId="1" fontId="0" fillId="0" borderId="28" xfId="0" applyNumberFormat="1" applyBorder="1"/>
    <xf numFmtId="0" fontId="33" fillId="0" borderId="5" xfId="0" applyFont="1" applyBorder="1"/>
    <xf numFmtId="0" fontId="33" fillId="0" borderId="23" xfId="0" applyFont="1" applyBorder="1"/>
    <xf numFmtId="0" fontId="18" fillId="0" borderId="0" xfId="0" quotePrefix="1" applyFont="1" applyFill="1" applyAlignment="1" applyProtection="1">
      <alignment vertical="center" wrapText="1"/>
      <protection hidden="1"/>
    </xf>
    <xf numFmtId="170" fontId="0" fillId="0" borderId="0" xfId="0" applyNumberFormat="1"/>
    <xf numFmtId="172" fontId="1" fillId="0" borderId="28" xfId="0" applyNumberFormat="1" applyFont="1" applyBorder="1" applyAlignment="1">
      <alignment horizontal="right"/>
    </xf>
    <xf numFmtId="1" fontId="0" fillId="0" borderId="0" xfId="0" applyNumberFormat="1"/>
    <xf numFmtId="167" fontId="0" fillId="0" borderId="25" xfId="0" applyNumberFormat="1" applyBorder="1"/>
    <xf numFmtId="0" fontId="3" fillId="0" borderId="25" xfId="0" applyFont="1" applyBorder="1" applyAlignment="1">
      <alignment horizontal="left"/>
    </xf>
    <xf numFmtId="0" fontId="28" fillId="9" borderId="0" xfId="0" applyFont="1" applyFill="1" applyBorder="1"/>
    <xf numFmtId="49" fontId="29" fillId="9" borderId="0" xfId="0" applyNumberFormat="1" applyFont="1" applyFill="1" applyBorder="1" applyAlignment="1">
      <alignment horizontal="left"/>
    </xf>
    <xf numFmtId="49" fontId="29" fillId="9" borderId="0" xfId="0" quotePrefix="1" applyNumberFormat="1" applyFont="1" applyFill="1" applyBorder="1" applyAlignment="1">
      <alignment horizontal="left" vertical="center"/>
    </xf>
    <xf numFmtId="49" fontId="29" fillId="9" borderId="0" xfId="0" applyNumberFormat="1" applyFont="1" applyFill="1" applyBorder="1" applyAlignment="1">
      <alignment vertical="center" wrapText="1"/>
    </xf>
    <xf numFmtId="49" fontId="26" fillId="9" borderId="0" xfId="0" applyNumberFormat="1" applyFont="1" applyFill="1" applyBorder="1" applyAlignment="1">
      <alignment vertical="center"/>
    </xf>
    <xf numFmtId="49" fontId="29" fillId="9" borderId="0" xfId="0" applyNumberFormat="1" applyFont="1" applyFill="1" applyBorder="1" applyAlignment="1">
      <alignment vertical="center"/>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5" fillId="0" borderId="0" xfId="0" applyFont="1" applyProtection="1">
      <protection hidden="1"/>
    </xf>
    <xf numFmtId="0" fontId="35" fillId="0" borderId="0" xfId="0" applyFont="1"/>
    <xf numFmtId="14" fontId="3" fillId="0" borderId="0" xfId="0" applyNumberFormat="1" applyFont="1" applyProtection="1">
      <protection hidden="1"/>
    </xf>
    <xf numFmtId="0" fontId="0" fillId="0" borderId="0" xfId="0" applyBorder="1" applyProtection="1">
      <protection hidden="1"/>
    </xf>
    <xf numFmtId="167" fontId="0" fillId="0" borderId="12" xfId="0" applyNumberFormat="1" applyBorder="1" applyAlignment="1">
      <alignment horizontal="right"/>
    </xf>
    <xf numFmtId="4" fontId="1" fillId="0" borderId="12" xfId="0" applyNumberFormat="1" applyFont="1" applyBorder="1" applyAlignment="1">
      <alignment horizontal="right"/>
    </xf>
    <xf numFmtId="4" fontId="1" fillId="0" borderId="8" xfId="0" applyNumberFormat="1" applyFont="1" applyBorder="1" applyAlignment="1">
      <alignment horizontal="right"/>
    </xf>
    <xf numFmtId="3" fontId="1" fillId="0" borderId="12" xfId="0" applyNumberFormat="1" applyFont="1" applyBorder="1" applyAlignment="1">
      <alignment horizontal="right"/>
    </xf>
    <xf numFmtId="172" fontId="1" fillId="0" borderId="12" xfId="0" applyNumberFormat="1" applyFont="1" applyBorder="1" applyAlignment="1">
      <alignment horizontal="right"/>
    </xf>
    <xf numFmtId="4" fontId="0" fillId="0" borderId="25" xfId="0" applyNumberFormat="1" applyBorder="1"/>
    <xf numFmtId="4" fontId="0" fillId="0" borderId="4" xfId="0" applyNumberFormat="1" applyBorder="1"/>
    <xf numFmtId="0" fontId="1" fillId="0" borderId="27" xfId="0" applyFont="1" applyBorder="1"/>
    <xf numFmtId="0" fontId="0" fillId="0" borderId="5" xfId="0" applyNumberFormat="1" applyBorder="1"/>
    <xf numFmtId="0" fontId="3" fillId="0" borderId="0" xfId="0" applyFont="1" applyFill="1" applyBorder="1" applyAlignment="1">
      <alignment wrapText="1"/>
    </xf>
    <xf numFmtId="173" fontId="0" fillId="0" borderId="0" xfId="0" applyNumberFormat="1" applyBorder="1"/>
    <xf numFmtId="173" fontId="0" fillId="0" borderId="23"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left"/>
    </xf>
    <xf numFmtId="166" fontId="0" fillId="0" borderId="0" xfId="0" applyNumberFormat="1" applyBorder="1"/>
    <xf numFmtId="174" fontId="1" fillId="0" borderId="0" xfId="0" applyNumberFormat="1" applyFont="1" applyProtection="1">
      <protection hidden="1"/>
    </xf>
    <xf numFmtId="175"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10" borderId="0" xfId="5" applyFill="1"/>
    <xf numFmtId="0" fontId="42" fillId="10" borderId="0" xfId="5" applyFont="1" applyFill="1"/>
    <xf numFmtId="0" fontId="42" fillId="10" borderId="22" xfId="5" applyFont="1" applyFill="1" applyBorder="1"/>
    <xf numFmtId="0" fontId="42" fillId="10" borderId="26" xfId="5" applyFont="1" applyFill="1" applyBorder="1"/>
    <xf numFmtId="0" fontId="42" fillId="10" borderId="27" xfId="5" applyFont="1" applyFill="1" applyBorder="1"/>
    <xf numFmtId="0" fontId="42" fillId="10" borderId="28" xfId="5" applyFont="1" applyFill="1" applyBorder="1"/>
    <xf numFmtId="0" fontId="43" fillId="10" borderId="0" xfId="5" applyFont="1" applyFill="1" applyBorder="1"/>
    <xf numFmtId="0" fontId="42" fillId="10" borderId="23" xfId="5" applyFont="1" applyFill="1" applyBorder="1"/>
    <xf numFmtId="0" fontId="42" fillId="10" borderId="7" xfId="5" applyFont="1" applyFill="1" applyBorder="1"/>
    <xf numFmtId="0" fontId="42" fillId="10" borderId="5" xfId="5" applyFont="1" applyFill="1" applyBorder="1"/>
    <xf numFmtId="0" fontId="42" fillId="10" borderId="0" xfId="5" applyFont="1" applyFill="1" applyBorder="1"/>
    <xf numFmtId="0" fontId="45" fillId="10" borderId="26" xfId="5" applyFont="1" applyFill="1" applyBorder="1" applyAlignment="1" applyProtection="1">
      <alignment vertical="center"/>
      <protection hidden="1"/>
    </xf>
    <xf numFmtId="0" fontId="44" fillId="10" borderId="0" xfId="5" applyFont="1" applyFill="1" applyBorder="1"/>
    <xf numFmtId="0" fontId="42" fillId="10" borderId="6" xfId="5" applyFont="1" applyFill="1" applyBorder="1"/>
    <xf numFmtId="14" fontId="42" fillId="10" borderId="0" xfId="5" applyNumberFormat="1" applyFont="1" applyFill="1"/>
    <xf numFmtId="0" fontId="46" fillId="10" borderId="0" xfId="5" applyFont="1" applyFill="1"/>
    <xf numFmtId="164" fontId="43" fillId="10" borderId="3" xfId="5" applyNumberFormat="1" applyFont="1" applyFill="1" applyBorder="1" applyAlignment="1">
      <alignment horizontal="right"/>
    </xf>
    <xf numFmtId="0" fontId="44" fillId="10" borderId="0" xfId="5" applyFont="1" applyFill="1" applyBorder="1" applyAlignment="1" applyProtection="1">
      <alignment vertical="center" wrapText="1"/>
      <protection hidden="1"/>
    </xf>
    <xf numFmtId="0" fontId="43" fillId="10" borderId="3" xfId="5" applyFont="1" applyFill="1" applyBorder="1" applyAlignment="1">
      <alignment horizontal="right"/>
    </xf>
    <xf numFmtId="0" fontId="43" fillId="10" borderId="0" xfId="5" applyFont="1" applyFill="1" applyBorder="1" applyAlignment="1">
      <alignment horizontal="right"/>
    </xf>
    <xf numFmtId="164" fontId="43" fillId="10" borderId="0" xfId="5" applyNumberFormat="1" applyFont="1" applyFill="1" applyBorder="1" applyAlignment="1">
      <alignment horizontal="right"/>
    </xf>
    <xf numFmtId="0" fontId="44" fillId="10" borderId="0" xfId="5" applyFont="1" applyFill="1" applyBorder="1" applyAlignment="1">
      <alignment wrapText="1"/>
    </xf>
    <xf numFmtId="0" fontId="42" fillId="10" borderId="0" xfId="5" applyFont="1" applyFill="1" applyBorder="1" applyAlignment="1" applyProtection="1">
      <alignment vertical="center" wrapText="1"/>
      <protection hidden="1"/>
    </xf>
    <xf numFmtId="49" fontId="46" fillId="10" borderId="0" xfId="5" quotePrefix="1" applyNumberFormat="1" applyFont="1" applyFill="1" applyBorder="1" applyAlignment="1">
      <alignment horizontal="left" vertical="center" wrapText="1"/>
    </xf>
    <xf numFmtId="0" fontId="3" fillId="0" borderId="9" xfId="0" applyFont="1" applyBorder="1" applyAlignment="1">
      <alignment horizontal="center" vertical="center"/>
    </xf>
    <xf numFmtId="0" fontId="1" fillId="0" borderId="18" xfId="0" applyFont="1" applyBorder="1"/>
    <xf numFmtId="0" fontId="0" fillId="0" borderId="18" xfId="0" applyBorder="1"/>
    <xf numFmtId="14" fontId="0" fillId="0" borderId="18" xfId="0" applyNumberFormat="1" applyBorder="1"/>
    <xf numFmtId="0" fontId="3" fillId="0" borderId="18" xfId="0" applyFont="1" applyBorder="1" applyAlignment="1">
      <alignment wrapText="1"/>
    </xf>
    <xf numFmtId="0" fontId="7" fillId="0" borderId="0" xfId="0" applyFont="1"/>
    <xf numFmtId="0" fontId="3" fillId="0" borderId="9" xfId="0" applyFont="1" applyBorder="1" applyAlignment="1">
      <alignment horizontal="center" vertical="center"/>
    </xf>
    <xf numFmtId="0" fontId="1" fillId="0" borderId="12" xfId="0" applyFont="1" applyFill="1" applyBorder="1"/>
    <xf numFmtId="0" fontId="0" fillId="0" borderId="22" xfId="0" applyFill="1" applyBorder="1"/>
    <xf numFmtId="0" fontId="3" fillId="0" borderId="11" xfId="0" applyFont="1" applyFill="1" applyBorder="1" applyAlignment="1">
      <alignment horizontal="center"/>
    </xf>
    <xf numFmtId="0" fontId="3" fillId="0" borderId="10" xfId="0" applyFont="1" applyFill="1" applyBorder="1" applyAlignment="1">
      <alignment horizontal="center"/>
    </xf>
    <xf numFmtId="0" fontId="3" fillId="0" borderId="9" xfId="0" applyFont="1" applyFill="1" applyBorder="1" applyAlignment="1">
      <alignment horizontal="center"/>
    </xf>
    <xf numFmtId="9" fontId="0" fillId="0" borderId="28" xfId="0" applyNumberFormat="1" applyFill="1" applyBorder="1"/>
    <xf numFmtId="9" fontId="0" fillId="0" borderId="0" xfId="0" applyNumberFormat="1" applyFill="1" applyBorder="1"/>
    <xf numFmtId="9" fontId="0" fillId="0" borderId="23" xfId="0" applyNumberFormat="1" applyFill="1" applyBorder="1"/>
    <xf numFmtId="0" fontId="0" fillId="0" borderId="12" xfId="0" applyFill="1" applyBorder="1"/>
    <xf numFmtId="0" fontId="0" fillId="0" borderId="4" xfId="0" applyFill="1" applyBorder="1"/>
    <xf numFmtId="9" fontId="0" fillId="0" borderId="7" xfId="0" applyNumberFormat="1" applyFill="1" applyBorder="1"/>
    <xf numFmtId="9" fontId="0" fillId="0" borderId="6" xfId="0" applyNumberFormat="1" applyFill="1" applyBorder="1"/>
    <xf numFmtId="9" fontId="0" fillId="0" borderId="5" xfId="0" applyNumberFormat="1" applyFill="1" applyBorder="1"/>
    <xf numFmtId="14" fontId="0" fillId="0" borderId="7" xfId="0" applyNumberFormat="1" applyBorder="1"/>
    <xf numFmtId="0" fontId="3" fillId="11" borderId="0" xfId="0" applyFont="1" applyFill="1"/>
    <xf numFmtId="0" fontId="0" fillId="11" borderId="0" xfId="0" applyFill="1"/>
    <xf numFmtId="0" fontId="3" fillId="11" borderId="22" xfId="0" applyFont="1" applyFill="1" applyBorder="1"/>
    <xf numFmtId="0" fontId="3" fillId="11" borderId="26" xfId="0" applyFont="1" applyFill="1" applyBorder="1"/>
    <xf numFmtId="0" fontId="3" fillId="11" borderId="27" xfId="0" applyNumberFormat="1" applyFont="1" applyFill="1" applyBorder="1"/>
    <xf numFmtId="0" fontId="0" fillId="11" borderId="8" xfId="0" applyFill="1" applyBorder="1"/>
    <xf numFmtId="0" fontId="3" fillId="11" borderId="10" xfId="0" applyFont="1" applyFill="1" applyBorder="1"/>
    <xf numFmtId="14" fontId="0" fillId="11" borderId="11" xfId="0" applyNumberFormat="1" applyFill="1" applyBorder="1"/>
    <xf numFmtId="14" fontId="0" fillId="11" borderId="10" xfId="0" applyNumberFormat="1" applyFill="1" applyBorder="1"/>
    <xf numFmtId="14" fontId="0" fillId="11" borderId="9" xfId="0" applyNumberFormat="1" applyFill="1" applyBorder="1"/>
    <xf numFmtId="14" fontId="0" fillId="11" borderId="22" xfId="0" applyNumberFormat="1" applyFill="1" applyBorder="1"/>
    <xf numFmtId="14" fontId="0" fillId="11" borderId="27" xfId="0" applyNumberFormat="1" applyFill="1" applyBorder="1"/>
    <xf numFmtId="0" fontId="3" fillId="11" borderId="0" xfId="0" applyFont="1" applyFill="1" applyBorder="1"/>
    <xf numFmtId="0" fontId="0" fillId="11" borderId="28" xfId="0" applyFill="1" applyBorder="1"/>
    <xf numFmtId="0" fontId="0" fillId="11" borderId="0" xfId="0" applyFill="1" applyBorder="1"/>
    <xf numFmtId="0" fontId="0" fillId="11" borderId="23" xfId="0" applyFill="1" applyBorder="1"/>
    <xf numFmtId="0" fontId="3" fillId="11" borderId="27" xfId="0" applyFont="1" applyFill="1" applyBorder="1"/>
    <xf numFmtId="167" fontId="0" fillId="11" borderId="28" xfId="0" applyNumberFormat="1" applyFill="1" applyBorder="1"/>
    <xf numFmtId="167" fontId="0" fillId="11" borderId="0" xfId="0" applyNumberFormat="1" applyFill="1" applyBorder="1"/>
    <xf numFmtId="167" fontId="0" fillId="11" borderId="23" xfId="0" applyNumberFormat="1" applyFill="1" applyBorder="1"/>
    <xf numFmtId="0" fontId="3" fillId="11" borderId="23" xfId="0" applyFont="1" applyFill="1" applyBorder="1"/>
    <xf numFmtId="0" fontId="3" fillId="11" borderId="5" xfId="0" applyFont="1" applyFill="1" applyBorder="1"/>
    <xf numFmtId="167" fontId="0" fillId="11" borderId="7" xfId="0" applyNumberFormat="1" applyFill="1" applyBorder="1"/>
    <xf numFmtId="167" fontId="0" fillId="11" borderId="6" xfId="0" applyNumberFormat="1" applyFill="1" applyBorder="1"/>
    <xf numFmtId="167" fontId="0" fillId="11" borderId="5" xfId="0" applyNumberFormat="1" applyFill="1" applyBorder="1"/>
    <xf numFmtId="4" fontId="0" fillId="11" borderId="22" xfId="0" applyNumberFormat="1" applyFill="1" applyBorder="1"/>
    <xf numFmtId="4" fontId="0" fillId="11" borderId="26" xfId="0" applyNumberFormat="1" applyFill="1" applyBorder="1"/>
    <xf numFmtId="4" fontId="0" fillId="11" borderId="27" xfId="0" applyNumberFormat="1" applyFill="1" applyBorder="1"/>
    <xf numFmtId="0" fontId="3" fillId="11" borderId="4" xfId="0" applyFont="1" applyFill="1" applyBorder="1"/>
    <xf numFmtId="4" fontId="0" fillId="11" borderId="7" xfId="0" applyNumberFormat="1" applyFill="1" applyBorder="1" applyAlignment="1">
      <alignment horizontal="right"/>
    </xf>
    <xf numFmtId="4" fontId="0" fillId="11" borderId="6" xfId="0" applyNumberFormat="1" applyFill="1" applyBorder="1" applyAlignment="1">
      <alignment horizontal="right"/>
    </xf>
    <xf numFmtId="4" fontId="0" fillId="11" borderId="5" xfId="0" applyNumberFormat="1" applyFill="1" applyBorder="1"/>
    <xf numFmtId="0" fontId="3" fillId="0" borderId="0" xfId="0" applyFont="1" applyFill="1"/>
    <xf numFmtId="0" fontId="1" fillId="0" borderId="0" xfId="0" applyFont="1" applyFill="1"/>
    <xf numFmtId="0" fontId="3" fillId="0" borderId="3" xfId="0" applyFont="1" applyFill="1" applyBorder="1"/>
    <xf numFmtId="0" fontId="0" fillId="0" borderId="3" xfId="0" applyFill="1" applyBorder="1"/>
    <xf numFmtId="0" fontId="0" fillId="0" borderId="0" xfId="0" applyFill="1" applyBorder="1"/>
    <xf numFmtId="0" fontId="50" fillId="0" borderId="10" xfId="0" applyFont="1" applyBorder="1"/>
    <xf numFmtId="0" fontId="50" fillId="0" borderId="0" xfId="0" applyFont="1"/>
    <xf numFmtId="0" fontId="49" fillId="0" borderId="0" xfId="0" applyFont="1"/>
    <xf numFmtId="0" fontId="50" fillId="0" borderId="17" xfId="0" applyFont="1" applyBorder="1"/>
    <xf numFmtId="166" fontId="49" fillId="0" borderId="17" xfId="0" applyNumberFormat="1" applyFont="1" applyBorder="1"/>
    <xf numFmtId="0" fontId="50" fillId="0" borderId="0" xfId="0" applyFont="1" applyBorder="1"/>
    <xf numFmtId="166" fontId="49" fillId="0" borderId="0" xfId="0" applyNumberFormat="1" applyFont="1" applyBorder="1"/>
    <xf numFmtId="0" fontId="50" fillId="0" borderId="6" xfId="0" applyFont="1" applyBorder="1"/>
    <xf numFmtId="166" fontId="49" fillId="0" borderId="6" xfId="0" applyNumberFormat="1" applyFont="1" applyBorder="1"/>
    <xf numFmtId="0" fontId="39" fillId="0" borderId="0" xfId="0" applyFont="1"/>
    <xf numFmtId="0" fontId="48" fillId="0" borderId="0" xfId="0" applyFont="1" applyAlignment="1"/>
    <xf numFmtId="0" fontId="48" fillId="0" borderId="6" xfId="0" applyFont="1" applyBorder="1" applyAlignment="1">
      <alignment wrapText="1"/>
    </xf>
    <xf numFmtId="0" fontId="48" fillId="0" borderId="6" xfId="0" applyFont="1" applyBorder="1"/>
    <xf numFmtId="0" fontId="48" fillId="0" borderId="0" xfId="0" applyFont="1"/>
    <xf numFmtId="168" fontId="0" fillId="0" borderId="0" xfId="8" applyNumberFormat="1" applyFont="1"/>
    <xf numFmtId="168" fontId="0" fillId="0" borderId="6" xfId="8" applyNumberFormat="1" applyFont="1" applyBorder="1"/>
    <xf numFmtId="0" fontId="3" fillId="11" borderId="29" xfId="0" applyFont="1" applyFill="1" applyBorder="1"/>
    <xf numFmtId="4" fontId="0" fillId="11" borderId="30" xfId="0" applyNumberFormat="1" applyFill="1" applyBorder="1" applyAlignment="1">
      <alignment horizontal="right"/>
    </xf>
    <xf numFmtId="4" fontId="0" fillId="11" borderId="17" xfId="0" applyNumberFormat="1" applyFill="1" applyBorder="1"/>
    <xf numFmtId="4" fontId="0" fillId="11" borderId="31" xfId="0" applyNumberFormat="1" applyFill="1" applyBorder="1"/>
    <xf numFmtId="0" fontId="3" fillId="11" borderId="12" xfId="0" applyFont="1" applyFill="1" applyBorder="1"/>
    <xf numFmtId="4" fontId="0" fillId="11" borderId="28" xfId="0" applyNumberFormat="1" applyFill="1" applyBorder="1" applyAlignment="1">
      <alignment horizontal="right"/>
    </xf>
    <xf numFmtId="4" fontId="0" fillId="11" borderId="0" xfId="0" applyNumberFormat="1" applyFill="1" applyBorder="1" applyAlignment="1">
      <alignment horizontal="right"/>
    </xf>
    <xf numFmtId="4" fontId="0" fillId="11" borderId="23" xfId="0" applyNumberFormat="1" applyFill="1" applyBorder="1"/>
    <xf numFmtId="2" fontId="20" fillId="0" borderId="0" xfId="0" applyNumberFormat="1" applyFont="1"/>
    <xf numFmtId="1" fontId="33" fillId="0" borderId="0" xfId="0" applyNumberFormat="1" applyFont="1" applyFill="1" applyBorder="1" applyAlignment="1">
      <alignment horizontal="right" vertical="center"/>
    </xf>
    <xf numFmtId="1" fontId="0" fillId="0" borderId="12" xfId="0" applyNumberFormat="1" applyBorder="1"/>
    <xf numFmtId="3" fontId="1" fillId="0" borderId="22" xfId="0" applyNumberFormat="1" applyFont="1" applyBorder="1"/>
    <xf numFmtId="3" fontId="1" fillId="0" borderId="27" xfId="0" applyNumberFormat="1" applyFont="1" applyBorder="1"/>
    <xf numFmtId="3" fontId="1" fillId="0" borderId="23" xfId="0" applyNumberFormat="1" applyFont="1" applyBorder="1"/>
    <xf numFmtId="3" fontId="1" fillId="0" borderId="5" xfId="0" applyNumberFormat="1" applyFont="1" applyBorder="1"/>
    <xf numFmtId="3" fontId="1" fillId="0" borderId="26" xfId="0" applyNumberFormat="1" applyFont="1" applyBorder="1"/>
    <xf numFmtId="3" fontId="1" fillId="0" borderId="6" xfId="0" applyNumberFormat="1" applyFont="1" applyBorder="1"/>
    <xf numFmtId="14" fontId="0" fillId="11" borderId="26" xfId="0" applyNumberFormat="1" applyFill="1" applyBorder="1"/>
    <xf numFmtId="14" fontId="0" fillId="11" borderId="7" xfId="0" applyNumberFormat="1" applyFill="1" applyBorder="1"/>
    <xf numFmtId="14" fontId="0" fillId="11" borderId="6" xfId="0" applyNumberFormat="1" applyFill="1" applyBorder="1"/>
    <xf numFmtId="14" fontId="0" fillId="11" borderId="5" xfId="0" applyNumberFormat="1" applyFill="1" applyBorder="1"/>
    <xf numFmtId="0" fontId="1" fillId="8" borderId="27" xfId="0" applyFont="1" applyFill="1" applyBorder="1"/>
    <xf numFmtId="0" fontId="1" fillId="0" borderId="28" xfId="0" applyFont="1" applyBorder="1"/>
    <xf numFmtId="2" fontId="0" fillId="0" borderId="28" xfId="0" applyNumberFormat="1" applyBorder="1"/>
    <xf numFmtId="2" fontId="0" fillId="0" borderId="7" xfId="0" applyNumberFormat="1" applyBorder="1"/>
    <xf numFmtId="2" fontId="1" fillId="0" borderId="22" xfId="0" applyNumberFormat="1" applyFont="1" applyFill="1" applyBorder="1"/>
    <xf numFmtId="0" fontId="0" fillId="0" borderId="27" xfId="0" applyFill="1" applyBorder="1"/>
    <xf numFmtId="0" fontId="0" fillId="0" borderId="23" xfId="0" applyFill="1" applyBorder="1"/>
    <xf numFmtId="0" fontId="0" fillId="0" borderId="5" xfId="0" applyFill="1" applyBorder="1"/>
    <xf numFmtId="0" fontId="3" fillId="0" borderId="4" xfId="0" applyFont="1" applyFill="1" applyBorder="1" applyAlignment="1">
      <alignment horizontal="left"/>
    </xf>
    <xf numFmtId="0" fontId="3" fillId="0" borderId="25" xfId="0" applyFont="1" applyFill="1" applyBorder="1" applyAlignment="1">
      <alignment horizontal="left"/>
    </xf>
    <xf numFmtId="4" fontId="0" fillId="12" borderId="26" xfId="0" applyNumberFormat="1" applyFill="1" applyBorder="1" applyAlignment="1">
      <alignment horizontal="right"/>
    </xf>
    <xf numFmtId="4" fontId="0" fillId="12" borderId="0" xfId="0" applyNumberFormat="1" applyFill="1" applyBorder="1" applyAlignment="1">
      <alignment horizontal="right"/>
    </xf>
    <xf numFmtId="167" fontId="0" fillId="12" borderId="27" xfId="0" applyNumberFormat="1" applyFill="1" applyBorder="1"/>
    <xf numFmtId="167" fontId="1" fillId="12" borderId="5" xfId="0" applyNumberFormat="1" applyFont="1" applyFill="1" applyBorder="1"/>
    <xf numFmtId="3" fontId="0" fillId="0" borderId="22" xfId="0" applyNumberFormat="1" applyFill="1" applyBorder="1"/>
    <xf numFmtId="3" fontId="0" fillId="0" borderId="26" xfId="0" applyNumberFormat="1" applyFill="1" applyBorder="1"/>
    <xf numFmtId="3" fontId="0" fillId="0" borderId="27" xfId="0" applyNumberFormat="1" applyFill="1" applyBorder="1"/>
    <xf numFmtId="3" fontId="0" fillId="0" borderId="28" xfId="0" applyNumberFormat="1" applyFill="1" applyBorder="1"/>
    <xf numFmtId="3" fontId="0" fillId="0" borderId="0" xfId="0" applyNumberFormat="1" applyFill="1" applyBorder="1"/>
    <xf numFmtId="3" fontId="0" fillId="0" borderId="23" xfId="0" applyNumberFormat="1" applyFill="1" applyBorder="1"/>
    <xf numFmtId="4" fontId="0" fillId="0" borderId="7" xfId="0" applyNumberFormat="1" applyFill="1" applyBorder="1"/>
    <xf numFmtId="4" fontId="0" fillId="0" borderId="6" xfId="0" applyNumberFormat="1" applyFill="1" applyBorder="1"/>
    <xf numFmtId="4" fontId="0" fillId="0" borderId="5" xfId="0" applyNumberFormat="1" applyFill="1" applyBorder="1"/>
    <xf numFmtId="4" fontId="0" fillId="0" borderId="25" xfId="0" applyNumberFormat="1" applyFill="1" applyBorder="1"/>
    <xf numFmtId="4" fontId="0" fillId="0" borderId="12" xfId="0" applyNumberFormat="1" applyFill="1" applyBorder="1"/>
    <xf numFmtId="4" fontId="0" fillId="0" borderId="4" xfId="0" applyNumberFormat="1" applyFill="1" applyBorder="1"/>
    <xf numFmtId="0" fontId="1" fillId="0" borderId="0" xfId="0" applyFont="1" applyFill="1" applyBorder="1" applyAlignment="1">
      <alignment wrapText="1"/>
    </xf>
    <xf numFmtId="0" fontId="0" fillId="10" borderId="0" xfId="0" applyFill="1" applyProtection="1">
      <protection hidden="1"/>
    </xf>
    <xf numFmtId="0" fontId="0" fillId="0" borderId="17" xfId="0" applyBorder="1" applyProtection="1">
      <protection hidden="1"/>
    </xf>
    <xf numFmtId="0" fontId="0" fillId="0" borderId="36" xfId="0" applyBorder="1" applyProtection="1">
      <protection hidden="1"/>
    </xf>
    <xf numFmtId="0" fontId="0" fillId="0" borderId="13" xfId="0" applyBorder="1" applyProtection="1">
      <protection hidden="1"/>
    </xf>
    <xf numFmtId="0" fontId="0" fillId="10" borderId="13" xfId="0" applyFill="1" applyBorder="1" applyProtection="1">
      <protection hidden="1"/>
    </xf>
    <xf numFmtId="0" fontId="1" fillId="10" borderId="0" xfId="0" applyFont="1" applyFill="1" applyProtection="1">
      <protection hidden="1"/>
    </xf>
    <xf numFmtId="0" fontId="0" fillId="10" borderId="37" xfId="0" applyFill="1" applyBorder="1" applyProtection="1">
      <protection hidden="1"/>
    </xf>
    <xf numFmtId="0" fontId="26" fillId="12" borderId="3" xfId="0" applyFont="1" applyFill="1" applyBorder="1" applyAlignment="1" applyProtection="1">
      <alignment horizontal="center"/>
    </xf>
    <xf numFmtId="0" fontId="27" fillId="10" borderId="0" xfId="5" applyFont="1" applyFill="1" applyBorder="1" applyProtection="1">
      <protection hidden="1"/>
    </xf>
    <xf numFmtId="0" fontId="12" fillId="10" borderId="0" xfId="5" applyFont="1" applyFill="1" applyBorder="1" applyProtection="1">
      <protection hidden="1"/>
    </xf>
    <xf numFmtId="0" fontId="1" fillId="10" borderId="0" xfId="5" applyFill="1" applyBorder="1" applyProtection="1">
      <protection hidden="1"/>
    </xf>
    <xf numFmtId="0" fontId="1" fillId="0" borderId="0" xfId="5" applyFill="1" applyBorder="1" applyProtection="1">
      <protection hidden="1"/>
    </xf>
    <xf numFmtId="0" fontId="1" fillId="0" borderId="0" xfId="5" applyBorder="1"/>
    <xf numFmtId="0" fontId="1" fillId="0" borderId="0" xfId="5" applyFont="1" applyFill="1" applyBorder="1" applyProtection="1">
      <protection hidden="1"/>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0" fontId="1" fillId="0" borderId="0" xfId="5" applyFill="1" applyBorder="1"/>
    <xf numFmtId="0" fontId="54" fillId="13" borderId="0" xfId="0" applyFont="1" applyFill="1" applyBorder="1" applyProtection="1"/>
    <xf numFmtId="0" fontId="1" fillId="13" borderId="0" xfId="0" applyFont="1" applyFill="1" applyBorder="1" applyProtection="1">
      <protection hidden="1"/>
    </xf>
    <xf numFmtId="0" fontId="1" fillId="10" borderId="0" xfId="0" applyFont="1" applyFill="1" applyBorder="1" applyProtection="1">
      <protection hidden="1"/>
    </xf>
    <xf numFmtId="0" fontId="0" fillId="10" borderId="0" xfId="0" applyFill="1" applyBorder="1" applyProtection="1">
      <protection hidden="1"/>
    </xf>
    <xf numFmtId="0" fontId="58" fillId="9" borderId="0" xfId="0" applyFont="1" applyFill="1" applyBorder="1"/>
    <xf numFmtId="49" fontId="1" fillId="9" borderId="0" xfId="0" quotePrefix="1" applyNumberFormat="1" applyFont="1" applyFill="1" applyBorder="1" applyAlignment="1">
      <alignment horizontal="left" vertical="center"/>
    </xf>
    <xf numFmtId="49" fontId="1" fillId="9" borderId="0" xfId="0" applyNumberFormat="1" applyFont="1" applyFill="1" applyBorder="1" applyAlignment="1">
      <alignment vertical="center" wrapText="1"/>
    </xf>
    <xf numFmtId="0" fontId="59" fillId="14" borderId="39" xfId="0" applyFont="1" applyFill="1" applyBorder="1" applyAlignment="1">
      <alignment horizontal="center" wrapText="1"/>
    </xf>
    <xf numFmtId="14" fontId="61" fillId="14" borderId="39" xfId="0" applyNumberFormat="1" applyFont="1" applyFill="1" applyBorder="1" applyAlignment="1">
      <alignment horizontal="center" wrapText="1"/>
    </xf>
    <xf numFmtId="0" fontId="59" fillId="14" borderId="40" xfId="0" applyFont="1" applyFill="1" applyBorder="1" applyAlignment="1">
      <alignment horizontal="center" vertical="top" wrapText="1"/>
    </xf>
    <xf numFmtId="0" fontId="59" fillId="14" borderId="41" xfId="0" applyFont="1" applyFill="1" applyBorder="1" applyAlignment="1">
      <alignment horizontal="center" wrapText="1"/>
    </xf>
    <xf numFmtId="0" fontId="60" fillId="14" borderId="39" xfId="0" applyFont="1" applyFill="1" applyBorder="1" applyAlignment="1">
      <alignment horizontal="center" vertical="top" wrapText="1"/>
    </xf>
    <xf numFmtId="14" fontId="61" fillId="14" borderId="41" xfId="0" applyNumberFormat="1" applyFont="1" applyFill="1" applyBorder="1" applyAlignment="1">
      <alignment horizontal="center" wrapText="1"/>
    </xf>
    <xf numFmtId="0" fontId="62" fillId="0" borderId="0" xfId="0" applyFont="1" applyAlignment="1">
      <alignment horizontal="left" vertical="center"/>
    </xf>
    <xf numFmtId="0" fontId="1" fillId="0" borderId="0" xfId="0" applyFont="1" applyBorder="1" applyAlignment="1">
      <alignment horizontal="center"/>
    </xf>
    <xf numFmtId="14" fontId="1" fillId="0" borderId="0" xfId="0" applyNumberFormat="1" applyFont="1" applyBorder="1" applyAlignment="1">
      <alignment horizontal="center"/>
    </xf>
    <xf numFmtId="0" fontId="21" fillId="0" borderId="0" xfId="0" applyFont="1" applyBorder="1" applyAlignment="1">
      <alignment horizontal="center" vertical="top"/>
    </xf>
    <xf numFmtId="14" fontId="21" fillId="0" borderId="0" xfId="0" applyNumberFormat="1" applyFont="1" applyBorder="1" applyAlignment="1">
      <alignment horizontal="center" vertical="top"/>
    </xf>
    <xf numFmtId="0" fontId="59" fillId="14" borderId="39" xfId="0" applyFont="1" applyFill="1" applyBorder="1" applyAlignment="1">
      <alignment horizontal="left" wrapText="1"/>
    </xf>
    <xf numFmtId="0" fontId="59" fillId="14" borderId="40" xfId="0" applyFont="1" applyFill="1" applyBorder="1" applyAlignment="1">
      <alignment horizontal="left" vertical="top" wrapText="1"/>
    </xf>
    <xf numFmtId="0" fontId="59" fillId="14" borderId="41" xfId="0" applyFont="1" applyFill="1" applyBorder="1" applyAlignment="1">
      <alignment horizontal="left" wrapText="1"/>
    </xf>
    <xf numFmtId="0" fontId="60" fillId="14" borderId="39" xfId="0" applyFont="1" applyFill="1" applyBorder="1" applyAlignment="1">
      <alignment horizontal="left" vertical="top" wrapText="1"/>
    </xf>
    <xf numFmtId="14" fontId="61" fillId="14" borderId="39" xfId="0" applyNumberFormat="1" applyFont="1" applyFill="1" applyBorder="1" applyAlignment="1">
      <alignment horizontal="center" vertical="top" wrapText="1"/>
    </xf>
    <xf numFmtId="14" fontId="61" fillId="14" borderId="41" xfId="0" applyNumberFormat="1" applyFont="1" applyFill="1" applyBorder="1" applyAlignment="1">
      <alignment horizontal="center" vertical="top" wrapText="1"/>
    </xf>
    <xf numFmtId="0" fontId="61" fillId="14" borderId="39" xfId="0" applyFont="1" applyFill="1" applyBorder="1" applyAlignment="1">
      <alignment horizontal="center" vertical="top" wrapText="1"/>
    </xf>
    <xf numFmtId="0" fontId="61" fillId="14" borderId="41" xfId="0" applyFont="1" applyFill="1" applyBorder="1" applyAlignment="1">
      <alignment horizontal="center" vertical="top" wrapText="1"/>
    </xf>
    <xf numFmtId="0" fontId="59" fillId="14" borderId="39" xfId="0" applyFont="1" applyFill="1" applyBorder="1" applyAlignment="1">
      <alignment horizontal="center" vertical="top" wrapText="1"/>
    </xf>
    <xf numFmtId="0" fontId="59" fillId="14" borderId="41" xfId="0" applyFont="1" applyFill="1" applyBorder="1" applyAlignment="1">
      <alignment horizontal="center" vertical="top" wrapText="1"/>
    </xf>
    <xf numFmtId="0" fontId="1" fillId="0" borderId="7" xfId="0" applyFont="1" applyFill="1" applyBorder="1"/>
    <xf numFmtId="0" fontId="0" fillId="0" borderId="5" xfId="0" applyBorder="1"/>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166" fontId="0" fillId="0" borderId="12" xfId="0" applyNumberFormat="1" applyBorder="1" applyAlignment="1">
      <alignment horizontal="right"/>
    </xf>
    <xf numFmtId="0" fontId="0" fillId="0" borderId="12" xfId="0" applyBorder="1" applyAlignment="1">
      <alignment horizontal="right"/>
    </xf>
    <xf numFmtId="0" fontId="0" fillId="0" borderId="12" xfId="0" applyNumberFormat="1" applyBorder="1"/>
    <xf numFmtId="0" fontId="0" fillId="0" borderId="36" xfId="0" applyBorder="1"/>
    <xf numFmtId="0" fontId="1" fillId="0" borderId="15" xfId="0" applyFont="1" applyBorder="1"/>
    <xf numFmtId="0" fontId="0" fillId="0" borderId="13" xfId="0" applyBorder="1"/>
    <xf numFmtId="0" fontId="0" fillId="0" borderId="37" xfId="0" applyBorder="1"/>
    <xf numFmtId="0" fontId="0" fillId="0" borderId="15" xfId="0" applyBorder="1"/>
    <xf numFmtId="0" fontId="1" fillId="0" borderId="35" xfId="0" applyFont="1" applyBorder="1"/>
    <xf numFmtId="0" fontId="1" fillId="0" borderId="44" xfId="0" applyFont="1" applyBorder="1"/>
    <xf numFmtId="0" fontId="0" fillId="0" borderId="24" xfId="0" applyBorder="1"/>
    <xf numFmtId="0" fontId="0" fillId="0" borderId="44" xfId="0" applyBorder="1"/>
    <xf numFmtId="0" fontId="0" fillId="0" borderId="35" xfId="0" applyBorder="1"/>
    <xf numFmtId="0" fontId="0" fillId="0" borderId="16" xfId="0" applyBorder="1"/>
    <xf numFmtId="0" fontId="1" fillId="0" borderId="35" xfId="0" applyFont="1" applyFill="1" applyBorder="1"/>
    <xf numFmtId="0" fontId="37" fillId="0" borderId="0" xfId="0" applyFont="1" applyFill="1" applyBorder="1"/>
    <xf numFmtId="0" fontId="37" fillId="0" borderId="28" xfId="0" applyFont="1" applyBorder="1"/>
    <xf numFmtId="14" fontId="0" fillId="0" borderId="24" xfId="0" applyNumberFormat="1" applyBorder="1"/>
    <xf numFmtId="0" fontId="0" fillId="0" borderId="19" xfId="0" applyBorder="1"/>
    <xf numFmtId="0" fontId="0" fillId="0" borderId="20" xfId="0" applyBorder="1"/>
    <xf numFmtId="0" fontId="1" fillId="0" borderId="11" xfId="0" applyFont="1" applyFill="1" applyBorder="1"/>
    <xf numFmtId="0" fontId="1" fillId="0" borderId="8" xfId="0" applyFont="1" applyBorder="1"/>
    <xf numFmtId="0" fontId="1" fillId="0" borderId="45" xfId="0" applyFont="1" applyBorder="1"/>
    <xf numFmtId="0" fontId="0" fillId="0" borderId="30" xfId="0" applyBorder="1"/>
    <xf numFmtId="0" fontId="0" fillId="0" borderId="46" xfId="0" applyFont="1" applyFill="1" applyBorder="1"/>
    <xf numFmtId="0" fontId="0" fillId="0" borderId="47" xfId="0" applyBorder="1"/>
    <xf numFmtId="0" fontId="0" fillId="0" borderId="33" xfId="0" applyBorder="1"/>
    <xf numFmtId="0" fontId="0" fillId="0" borderId="45" xfId="0" applyBorder="1"/>
    <xf numFmtId="0" fontId="1" fillId="0" borderId="30" xfId="0" applyFont="1" applyBorder="1"/>
    <xf numFmtId="0" fontId="0" fillId="0" borderId="30" xfId="0" applyFill="1" applyBorder="1"/>
    <xf numFmtId="0" fontId="1" fillId="0" borderId="45" xfId="0" applyFont="1" applyFill="1" applyBorder="1"/>
    <xf numFmtId="0" fontId="37" fillId="0" borderId="7" xfId="0" applyFont="1" applyBorder="1"/>
    <xf numFmtId="0" fontId="3" fillId="0" borderId="9" xfId="0" applyNumberFormat="1" applyFont="1" applyBorder="1"/>
    <xf numFmtId="4" fontId="37" fillId="0" borderId="0" xfId="0" applyNumberFormat="1" applyFont="1"/>
    <xf numFmtId="1" fontId="1" fillId="0" borderId="28" xfId="0" applyNumberFormat="1" applyFont="1" applyBorder="1"/>
    <xf numFmtId="0" fontId="1" fillId="0" borderId="0" xfId="0" applyFont="1" applyFill="1" applyBorder="1" applyProtection="1">
      <protection hidden="1"/>
    </xf>
    <xf numFmtId="0" fontId="54" fillId="0" borderId="0" xfId="0" applyFont="1" applyFill="1" applyBorder="1" applyAlignment="1" applyProtection="1">
      <alignment horizontal="left"/>
      <protection hidden="1"/>
    </xf>
    <xf numFmtId="0" fontId="24" fillId="10" borderId="0" xfId="0" applyFont="1" applyFill="1" applyProtection="1">
      <protection hidden="1"/>
    </xf>
    <xf numFmtId="0" fontId="56" fillId="10" borderId="0" xfId="0" applyFont="1" applyFill="1" applyBorder="1" applyProtection="1">
      <protection hidden="1"/>
    </xf>
    <xf numFmtId="0" fontId="27" fillId="10" borderId="0" xfId="0" applyFont="1" applyFill="1" applyBorder="1" applyProtection="1">
      <protection hidden="1"/>
    </xf>
    <xf numFmtId="0" fontId="12" fillId="10" borderId="0" xfId="0" applyFont="1" applyFill="1" applyBorder="1" applyProtection="1">
      <protection hidden="1"/>
    </xf>
    <xf numFmtId="0" fontId="0" fillId="10" borderId="18" xfId="0" applyFill="1" applyBorder="1" applyProtection="1">
      <protection hidden="1"/>
    </xf>
    <xf numFmtId="0" fontId="54" fillId="10" borderId="0" xfId="0" applyFont="1" applyFill="1" applyBorder="1" applyProtection="1">
      <protection hidden="1"/>
    </xf>
    <xf numFmtId="164" fontId="56" fillId="10" borderId="0" xfId="0" applyNumberFormat="1" applyFont="1" applyFill="1" applyBorder="1" applyAlignment="1" applyProtection="1">
      <alignment horizontal="center"/>
      <protection hidden="1"/>
    </xf>
    <xf numFmtId="168" fontId="54" fillId="10" borderId="0" xfId="4" quotePrefix="1" applyNumberFormat="1" applyFont="1" applyFill="1" applyBorder="1" applyAlignment="1" applyProtection="1">
      <alignment horizontal="center" vertical="center"/>
      <protection hidden="1"/>
    </xf>
    <xf numFmtId="168" fontId="54" fillId="10" borderId="0" xfId="4" applyNumberFormat="1" applyFont="1" applyFill="1" applyBorder="1" applyAlignment="1" applyProtection="1">
      <alignment horizontal="center" vertical="center"/>
      <protection hidden="1"/>
    </xf>
    <xf numFmtId="164" fontId="54" fillId="10" borderId="0" xfId="0" applyNumberFormat="1" applyFont="1" applyFill="1" applyBorder="1" applyAlignment="1" applyProtection="1">
      <alignment horizontal="center"/>
      <protection hidden="1"/>
    </xf>
    <xf numFmtId="0" fontId="54" fillId="10" borderId="0" xfId="0" applyFont="1" applyFill="1" applyBorder="1" applyAlignment="1" applyProtection="1">
      <alignment horizontal="center" vertical="center"/>
      <protection hidden="1"/>
    </xf>
    <xf numFmtId="0" fontId="54" fillId="10" borderId="18" xfId="0" applyFont="1" applyFill="1" applyBorder="1" applyProtection="1">
      <protection hidden="1"/>
    </xf>
    <xf numFmtId="0" fontId="56" fillId="10" borderId="18" xfId="0" applyFont="1" applyFill="1" applyBorder="1" applyProtection="1">
      <protection hidden="1"/>
    </xf>
    <xf numFmtId="0" fontId="1" fillId="10" borderId="18" xfId="0" applyFont="1" applyFill="1" applyBorder="1" applyProtection="1">
      <protection hidden="1"/>
    </xf>
    <xf numFmtId="0" fontId="37" fillId="10" borderId="0" xfId="0" applyFont="1" applyFill="1" applyBorder="1" applyProtection="1">
      <protection hidden="1"/>
    </xf>
    <xf numFmtId="0" fontId="66" fillId="10" borderId="0" xfId="0" applyFont="1" applyFill="1" applyBorder="1" applyProtection="1">
      <protection hidden="1"/>
    </xf>
    <xf numFmtId="0" fontId="3" fillId="10" borderId="0" xfId="0" applyFont="1" applyFill="1" applyBorder="1" applyProtection="1">
      <protection hidden="1"/>
    </xf>
    <xf numFmtId="0" fontId="0" fillId="10" borderId="17" xfId="0" applyFill="1" applyBorder="1" applyProtection="1">
      <protection hidden="1"/>
    </xf>
    <xf numFmtId="0" fontId="0" fillId="10" borderId="36" xfId="0" applyFill="1" applyBorder="1" applyProtection="1">
      <protection hidden="1"/>
    </xf>
    <xf numFmtId="0" fontId="3" fillId="10" borderId="17" xfId="0" applyFont="1" applyFill="1" applyBorder="1" applyProtection="1">
      <protection hidden="1"/>
    </xf>
    <xf numFmtId="0" fontId="24" fillId="10" borderId="0" xfId="0" applyFont="1" applyFill="1" applyBorder="1" applyProtection="1"/>
    <xf numFmtId="2" fontId="0" fillId="10" borderId="0" xfId="0" applyNumberFormat="1" applyFill="1" applyBorder="1" applyProtection="1">
      <protection hidden="1"/>
    </xf>
    <xf numFmtId="0" fontId="12" fillId="10" borderId="0" xfId="0" applyFont="1" applyFill="1" applyBorder="1" applyProtection="1"/>
    <xf numFmtId="0" fontId="54" fillId="10" borderId="0" xfId="0" applyFont="1" applyFill="1" applyBorder="1" applyAlignment="1" applyProtection="1">
      <alignment horizontal="left"/>
      <protection hidden="1"/>
    </xf>
    <xf numFmtId="0" fontId="54" fillId="10" borderId="0" xfId="2" applyNumberFormat="1" applyFont="1" applyFill="1" applyBorder="1" applyProtection="1">
      <protection locked="0"/>
    </xf>
    <xf numFmtId="0" fontId="37" fillId="10" borderId="13" xfId="0" applyFont="1" applyFill="1" applyBorder="1" applyProtection="1">
      <protection hidden="1"/>
    </xf>
    <xf numFmtId="0" fontId="0" fillId="10" borderId="0" xfId="0" applyFill="1" applyBorder="1" applyAlignment="1" applyProtection="1">
      <alignment horizontal="center"/>
      <protection hidden="1"/>
    </xf>
    <xf numFmtId="10" fontId="54" fillId="10" borderId="0" xfId="0" applyNumberFormat="1" applyFont="1" applyFill="1" applyBorder="1" applyProtection="1">
      <protection locked="0"/>
    </xf>
    <xf numFmtId="0" fontId="26" fillId="10" borderId="0" xfId="0" applyFont="1" applyFill="1" applyBorder="1" applyAlignment="1" applyProtection="1">
      <alignment horizontal="center"/>
    </xf>
    <xf numFmtId="0" fontId="24" fillId="10" borderId="0" xfId="2" applyNumberFormat="1" applyFont="1" applyFill="1" applyBorder="1" applyProtection="1">
      <protection locked="0"/>
    </xf>
    <xf numFmtId="0" fontId="24" fillId="10" borderId="18" xfId="0" applyFont="1" applyFill="1" applyBorder="1" applyProtection="1"/>
    <xf numFmtId="0" fontId="24" fillId="10" borderId="18" xfId="2" applyNumberFormat="1" applyFont="1" applyFill="1" applyBorder="1" applyProtection="1">
      <protection locked="0"/>
    </xf>
    <xf numFmtId="0" fontId="0" fillId="10" borderId="18" xfId="0" applyFill="1" applyBorder="1" applyAlignment="1" applyProtection="1">
      <alignment horizontal="center"/>
      <protection hidden="1"/>
    </xf>
    <xf numFmtId="0" fontId="1" fillId="10" borderId="13" xfId="0" applyFont="1" applyFill="1" applyBorder="1" applyProtection="1">
      <protection hidden="1"/>
    </xf>
    <xf numFmtId="0" fontId="1" fillId="10" borderId="37" xfId="0" applyFont="1" applyFill="1" applyBorder="1" applyProtection="1">
      <protection hidden="1"/>
    </xf>
    <xf numFmtId="0" fontId="0" fillId="10" borderId="0" xfId="0" applyFill="1" applyAlignment="1" applyProtection="1">
      <alignment wrapText="1"/>
      <protection hidden="1"/>
    </xf>
    <xf numFmtId="2" fontId="1" fillId="0" borderId="0" xfId="0" applyNumberFormat="1" applyFont="1"/>
    <xf numFmtId="0" fontId="55" fillId="10" borderId="0" xfId="0" applyNumberFormat="1" applyFont="1" applyFill="1" applyBorder="1" applyProtection="1">
      <protection locked="0"/>
    </xf>
    <xf numFmtId="14" fontId="37" fillId="0" borderId="0" xfId="0" applyNumberFormat="1" applyFont="1" applyBorder="1" applyAlignment="1">
      <alignment horizontal="left"/>
    </xf>
    <xf numFmtId="0" fontId="1" fillId="0" borderId="14" xfId="0" applyFont="1" applyBorder="1"/>
    <xf numFmtId="0" fontId="1" fillId="0" borderId="33" xfId="0" applyFont="1" applyBorder="1"/>
    <xf numFmtId="0" fontId="0" fillId="0" borderId="0" xfId="0" applyFill="1"/>
    <xf numFmtId="14" fontId="0" fillId="0" borderId="48" xfId="0" applyNumberFormat="1" applyBorder="1"/>
    <xf numFmtId="14" fontId="21" fillId="0" borderId="0" xfId="0" applyNumberFormat="1" applyFont="1" applyBorder="1" applyAlignment="1">
      <alignment horizontal="right"/>
    </xf>
    <xf numFmtId="0" fontId="0" fillId="0" borderId="0" xfId="0" applyAlignment="1"/>
    <xf numFmtId="14" fontId="21" fillId="0" borderId="0" xfId="0" applyNumberFormat="1" applyFont="1" applyBorder="1" applyAlignment="1">
      <alignment horizontal="right" vertical="top"/>
    </xf>
    <xf numFmtId="4" fontId="56" fillId="10" borderId="0" xfId="0" applyNumberFormat="1" applyFont="1" applyFill="1" applyBorder="1" applyAlignment="1" applyProtection="1">
      <alignment horizontal="center"/>
      <protection hidden="1"/>
    </xf>
    <xf numFmtId="0" fontId="0" fillId="0" borderId="11" xfId="0" applyBorder="1"/>
    <xf numFmtId="14" fontId="0" fillId="0" borderId="8" xfId="0" applyNumberFormat="1" applyBorder="1"/>
    <xf numFmtId="176" fontId="0" fillId="10" borderId="0" xfId="0" applyNumberFormat="1" applyFill="1" applyBorder="1" applyProtection="1">
      <protection hidden="1"/>
    </xf>
    <xf numFmtId="176" fontId="1" fillId="0" borderId="0" xfId="0" applyNumberFormat="1" applyFont="1" applyProtection="1">
      <protection hidden="1"/>
    </xf>
    <xf numFmtId="176" fontId="0" fillId="0" borderId="0" xfId="0" applyNumberFormat="1" applyProtection="1">
      <protection hidden="1"/>
    </xf>
    <xf numFmtId="0" fontId="40" fillId="10" borderId="0" xfId="5" applyFont="1" applyFill="1" applyAlignment="1"/>
    <xf numFmtId="0" fontId="41" fillId="0" borderId="0" xfId="5" applyFont="1" applyAlignment="1"/>
    <xf numFmtId="2" fontId="1" fillId="0" borderId="0" xfId="0" applyNumberFormat="1" applyFont="1" applyFill="1" applyProtection="1">
      <protection hidden="1"/>
    </xf>
    <xf numFmtId="177" fontId="0" fillId="0" borderId="0" xfId="0" applyNumberFormat="1" applyProtection="1">
      <protection hidden="1"/>
    </xf>
    <xf numFmtId="14" fontId="1" fillId="0" borderId="0" xfId="0" applyNumberFormat="1" applyFont="1" applyFill="1" applyProtection="1">
      <protection hidden="1"/>
    </xf>
    <xf numFmtId="0" fontId="1" fillId="0" borderId="0" xfId="0" applyFont="1" applyAlignment="1" applyProtection="1">
      <alignment wrapText="1"/>
      <protection hidden="1"/>
    </xf>
    <xf numFmtId="0" fontId="0" fillId="0" borderId="0" xfId="0" applyAlignment="1" applyProtection="1">
      <alignment wrapText="1"/>
      <protection hidden="1"/>
    </xf>
    <xf numFmtId="0" fontId="37" fillId="0" borderId="0" xfId="0" applyFont="1" applyProtection="1">
      <protection hidden="1"/>
    </xf>
    <xf numFmtId="166" fontId="0" fillId="0" borderId="0" xfId="0" applyNumberFormat="1" applyProtection="1">
      <protection hidden="1"/>
    </xf>
    <xf numFmtId="2" fontId="0" fillId="0" borderId="0" xfId="0" applyNumberFormat="1" applyProtection="1">
      <protection hidden="1"/>
    </xf>
    <xf numFmtId="0" fontId="54" fillId="0" borderId="0" xfId="2" applyNumberFormat="1" applyFont="1" applyFill="1" applyBorder="1" applyProtection="1">
      <protection locked="0"/>
    </xf>
    <xf numFmtId="0" fontId="12" fillId="0" borderId="0" xfId="2" applyNumberFormat="1" applyFont="1" applyFill="1" applyBorder="1" applyProtection="1">
      <protection locked="0"/>
    </xf>
    <xf numFmtId="44" fontId="55" fillId="0" borderId="0" xfId="0" applyNumberFormat="1" applyFont="1" applyFill="1" applyBorder="1" applyProtection="1">
      <protection locked="0"/>
    </xf>
    <xf numFmtId="0" fontId="56" fillId="12" borderId="24" xfId="0" applyFont="1" applyFill="1" applyBorder="1" applyAlignment="1" applyProtection="1">
      <alignment horizontal="center"/>
    </xf>
    <xf numFmtId="0" fontId="54" fillId="10" borderId="0" xfId="0" quotePrefix="1" applyFont="1" applyFill="1" applyBorder="1" applyAlignment="1" applyProtection="1">
      <alignment horizontal="right"/>
    </xf>
    <xf numFmtId="0" fontId="54" fillId="13" borderId="15" xfId="0" applyFont="1" applyFill="1" applyBorder="1" applyAlignment="1" applyProtection="1">
      <alignment horizontal="right"/>
    </xf>
    <xf numFmtId="178" fontId="1" fillId="13" borderId="0" xfId="0" quotePrefix="1" applyNumberFormat="1" applyFont="1" applyFill="1" applyBorder="1" applyAlignment="1" applyProtection="1">
      <alignment horizontal="right"/>
      <protection hidden="1"/>
    </xf>
    <xf numFmtId="14" fontId="0" fillId="0" borderId="36" xfId="0" applyNumberFormat="1" applyBorder="1"/>
    <xf numFmtId="14" fontId="0" fillId="0" borderId="13" xfId="0" applyNumberFormat="1" applyBorder="1"/>
    <xf numFmtId="0" fontId="1" fillId="0" borderId="20" xfId="0" applyFont="1" applyFill="1" applyBorder="1"/>
    <xf numFmtId="0" fontId="1" fillId="0" borderId="20" xfId="0" applyFont="1" applyFill="1" applyBorder="1" applyAlignment="1">
      <alignment wrapText="1"/>
    </xf>
    <xf numFmtId="167" fontId="0" fillId="0" borderId="13" xfId="0" applyNumberFormat="1" applyBorder="1"/>
    <xf numFmtId="0" fontId="1" fillId="0" borderId="21" xfId="0" applyFont="1" applyFill="1" applyBorder="1"/>
    <xf numFmtId="167" fontId="1" fillId="0" borderId="18" xfId="0" applyNumberFormat="1" applyFont="1" applyBorder="1"/>
    <xf numFmtId="167" fontId="1" fillId="0" borderId="37" xfId="0" applyNumberFormat="1" applyFont="1" applyBorder="1"/>
    <xf numFmtId="167" fontId="1" fillId="0" borderId="0" xfId="0" applyNumberFormat="1" applyFont="1" applyBorder="1"/>
    <xf numFmtId="44" fontId="0" fillId="0" borderId="26" xfId="0" applyNumberFormat="1" applyFill="1" applyBorder="1"/>
    <xf numFmtId="0" fontId="1" fillId="0" borderId="0" xfId="0" applyFont="1" applyBorder="1" applyProtection="1">
      <protection hidden="1"/>
    </xf>
    <xf numFmtId="0" fontId="0" fillId="0" borderId="14" xfId="0" applyBorder="1" applyProtection="1">
      <protection hidden="1"/>
    </xf>
    <xf numFmtId="0" fontId="1" fillId="0" borderId="17" xfId="0" applyFont="1" applyBorder="1" applyProtection="1">
      <protection hidden="1"/>
    </xf>
    <xf numFmtId="0" fontId="0" fillId="10" borderId="15" xfId="0" applyFill="1" applyBorder="1" applyProtection="1">
      <protection hidden="1"/>
    </xf>
    <xf numFmtId="0" fontId="1" fillId="10" borderId="14" xfId="0" applyFont="1" applyFill="1" applyBorder="1" applyProtection="1">
      <protection hidden="1"/>
    </xf>
    <xf numFmtId="0" fontId="0" fillId="0" borderId="15" xfId="0" applyBorder="1" applyProtection="1">
      <protection hidden="1"/>
    </xf>
    <xf numFmtId="0" fontId="0" fillId="10" borderId="16" xfId="0" applyFill="1" applyBorder="1" applyProtection="1">
      <protection hidden="1"/>
    </xf>
    <xf numFmtId="0" fontId="54" fillId="10" borderId="0" xfId="0" applyFont="1" applyFill="1" applyBorder="1" applyProtection="1"/>
    <xf numFmtId="0" fontId="57" fillId="10" borderId="0" xfId="0" applyFont="1" applyFill="1" applyBorder="1" applyProtection="1">
      <protection hidden="1"/>
    </xf>
    <xf numFmtId="0" fontId="56" fillId="0" borderId="0" xfId="0" applyFont="1" applyFill="1" applyBorder="1" applyProtection="1">
      <protection hidden="1"/>
    </xf>
    <xf numFmtId="0" fontId="63" fillId="10" borderId="0" xfId="0" applyFont="1" applyFill="1" applyBorder="1" applyProtection="1">
      <protection hidden="1"/>
    </xf>
    <xf numFmtId="0" fontId="54" fillId="10" borderId="0" xfId="0" applyFont="1" applyFill="1" applyBorder="1" applyAlignment="1" applyProtection="1">
      <alignment vertical="center"/>
      <protection hidden="1"/>
    </xf>
    <xf numFmtId="0" fontId="64" fillId="10" borderId="0" xfId="0" applyFont="1" applyFill="1" applyBorder="1" applyProtection="1">
      <protection hidden="1"/>
    </xf>
    <xf numFmtId="0" fontId="1" fillId="10" borderId="15" xfId="0" applyFont="1" applyFill="1" applyBorder="1" applyProtection="1">
      <protection hidden="1"/>
    </xf>
    <xf numFmtId="0" fontId="54" fillId="10" borderId="18" xfId="0" applyFont="1" applyFill="1" applyBorder="1" applyProtection="1"/>
    <xf numFmtId="0" fontId="57" fillId="10" borderId="17" xfId="0" applyFont="1" applyFill="1" applyBorder="1" applyProtection="1">
      <protection hidden="1"/>
    </xf>
    <xf numFmtId="14" fontId="55" fillId="16" borderId="3" xfId="0" applyNumberFormat="1" applyFont="1" applyFill="1" applyBorder="1" applyAlignment="1" applyProtection="1">
      <alignment horizontal="right"/>
      <protection locked="0"/>
    </xf>
    <xf numFmtId="0" fontId="55" fillId="16" borderId="3" xfId="0" applyNumberFormat="1" applyFont="1" applyFill="1" applyBorder="1" applyProtection="1">
      <protection locked="0"/>
    </xf>
    <xf numFmtId="165" fontId="55" fillId="16" borderId="3" xfId="0" applyNumberFormat="1" applyFont="1" applyFill="1" applyBorder="1" applyProtection="1">
      <protection locked="0"/>
    </xf>
    <xf numFmtId="0" fontId="55" fillId="16" borderId="38" xfId="0" applyNumberFormat="1" applyFont="1" applyFill="1" applyBorder="1" applyAlignment="1" applyProtection="1">
      <alignment horizontal="left"/>
      <protection locked="0"/>
    </xf>
    <xf numFmtId="44" fontId="55" fillId="16" borderId="35" xfId="0" applyNumberFormat="1" applyFont="1" applyFill="1" applyBorder="1" applyProtection="1">
      <protection locked="0"/>
    </xf>
    <xf numFmtId="10" fontId="55" fillId="16" borderId="3" xfId="0" applyNumberFormat="1" applyFont="1" applyFill="1" applyBorder="1" applyProtection="1">
      <protection locked="0"/>
    </xf>
    <xf numFmtId="0" fontId="55" fillId="16" borderId="38" xfId="0" applyNumberFormat="1" applyFont="1" applyFill="1" applyBorder="1" applyProtection="1">
      <protection locked="0"/>
    </xf>
    <xf numFmtId="1" fontId="55" fillId="16" borderId="3" xfId="0" applyNumberFormat="1" applyFont="1" applyFill="1" applyBorder="1" applyProtection="1">
      <protection locked="0"/>
    </xf>
    <xf numFmtId="0" fontId="42" fillId="10" borderId="28" xfId="5" applyFont="1" applyFill="1" applyBorder="1" applyProtection="1">
      <protection hidden="1"/>
    </xf>
    <xf numFmtId="0" fontId="43" fillId="10" borderId="0" xfId="5" applyFont="1" applyFill="1" applyBorder="1" applyProtection="1">
      <protection hidden="1"/>
    </xf>
    <xf numFmtId="14" fontId="43" fillId="10" borderId="3" xfId="5" applyNumberFormat="1" applyFont="1" applyFill="1" applyBorder="1" applyProtection="1">
      <protection hidden="1"/>
    </xf>
    <xf numFmtId="0" fontId="42" fillId="10" borderId="23" xfId="5" applyFont="1" applyFill="1" applyBorder="1" applyProtection="1">
      <protection hidden="1"/>
    </xf>
    <xf numFmtId="14" fontId="43" fillId="10" borderId="0" xfId="5" applyNumberFormat="1" applyFont="1" applyFill="1" applyBorder="1" applyProtection="1">
      <protection hidden="1"/>
    </xf>
    <xf numFmtId="0" fontId="42" fillId="0" borderId="23" xfId="5" applyFont="1" applyBorder="1" applyAlignment="1" applyProtection="1">
      <protection hidden="1"/>
    </xf>
    <xf numFmtId="0" fontId="43" fillId="10" borderId="0" xfId="5" applyFont="1" applyFill="1" applyBorder="1" applyAlignment="1" applyProtection="1">
      <protection hidden="1"/>
    </xf>
    <xf numFmtId="164" fontId="43" fillId="10" borderId="3" xfId="5" applyNumberFormat="1" applyFont="1" applyFill="1" applyBorder="1" applyAlignment="1" applyProtection="1">
      <alignment horizontal="right"/>
      <protection hidden="1"/>
    </xf>
    <xf numFmtId="0" fontId="42" fillId="10" borderId="7" xfId="5" applyFont="1" applyFill="1" applyBorder="1" applyProtection="1">
      <protection hidden="1"/>
    </xf>
    <xf numFmtId="0" fontId="43" fillId="10" borderId="6" xfId="5" applyFont="1" applyFill="1" applyBorder="1" applyProtection="1">
      <protection hidden="1"/>
    </xf>
    <xf numFmtId="164" fontId="43" fillId="10" borderId="6" xfId="5" applyNumberFormat="1" applyFont="1" applyFill="1" applyBorder="1" applyProtection="1">
      <protection hidden="1"/>
    </xf>
    <xf numFmtId="0" fontId="42" fillId="10" borderId="5" xfId="5" applyFont="1" applyFill="1" applyBorder="1" applyProtection="1">
      <protection hidden="1"/>
    </xf>
    <xf numFmtId="0" fontId="42" fillId="10" borderId="0" xfId="5" applyFont="1" applyFill="1" applyProtection="1">
      <protection hidden="1"/>
    </xf>
    <xf numFmtId="164" fontId="43" fillId="10" borderId="0" xfId="5" applyNumberFormat="1" applyFont="1" applyFill="1" applyBorder="1" applyProtection="1">
      <protection hidden="1"/>
    </xf>
    <xf numFmtId="0" fontId="42" fillId="10" borderId="0" xfId="5" applyFont="1" applyFill="1" applyBorder="1" applyProtection="1">
      <protection hidden="1"/>
    </xf>
    <xf numFmtId="0" fontId="43" fillId="10" borderId="0" xfId="5" applyFont="1" applyFill="1" applyProtection="1">
      <protection hidden="1"/>
    </xf>
    <xf numFmtId="0" fontId="43" fillId="10" borderId="0" xfId="5" applyFont="1" applyFill="1" applyAlignment="1" applyProtection="1">
      <protection hidden="1"/>
    </xf>
    <xf numFmtId="0" fontId="42" fillId="0" borderId="0" xfId="5" applyFont="1" applyAlignment="1" applyProtection="1">
      <protection hidden="1"/>
    </xf>
    <xf numFmtId="0" fontId="47" fillId="10" borderId="0" xfId="5" applyFont="1" applyFill="1" applyProtection="1">
      <protection hidden="1"/>
    </xf>
    <xf numFmtId="0" fontId="42" fillId="10" borderId="22" xfId="5" applyFont="1" applyFill="1" applyBorder="1" applyProtection="1">
      <protection hidden="1"/>
    </xf>
    <xf numFmtId="0" fontId="43" fillId="10" borderId="26" xfId="5" applyFont="1" applyFill="1" applyBorder="1" applyProtection="1">
      <protection hidden="1"/>
    </xf>
    <xf numFmtId="0" fontId="42" fillId="10" borderId="27" xfId="5" applyFont="1" applyFill="1" applyBorder="1" applyProtection="1">
      <protection hidden="1"/>
    </xf>
    <xf numFmtId="0" fontId="44" fillId="10" borderId="0" xfId="5" applyFont="1" applyFill="1" applyBorder="1" applyProtection="1">
      <protection hidden="1"/>
    </xf>
    <xf numFmtId="0" fontId="43" fillId="10" borderId="3" xfId="5" applyFont="1" applyFill="1" applyBorder="1" applyAlignment="1" applyProtection="1">
      <alignment horizontal="right"/>
      <protection hidden="1"/>
    </xf>
    <xf numFmtId="0" fontId="43" fillId="10" borderId="0" xfId="5" applyFont="1" applyFill="1" applyBorder="1" applyAlignment="1" applyProtection="1">
      <alignment horizontal="right"/>
      <protection hidden="1"/>
    </xf>
    <xf numFmtId="0" fontId="44" fillId="10" borderId="6" xfId="5" applyFont="1" applyFill="1" applyBorder="1" applyProtection="1">
      <protection hidden="1"/>
    </xf>
    <xf numFmtId="164" fontId="43" fillId="10" borderId="6" xfId="5" applyNumberFormat="1" applyFont="1" applyFill="1" applyBorder="1" applyAlignment="1" applyProtection="1">
      <alignment horizontal="right"/>
      <protection hidden="1"/>
    </xf>
    <xf numFmtId="0" fontId="0" fillId="0" borderId="0" xfId="0"/>
    <xf numFmtId="0" fontId="1" fillId="0" borderId="0" xfId="0" applyFont="1"/>
    <xf numFmtId="0" fontId="0" fillId="12" borderId="0" xfId="0" applyFill="1"/>
    <xf numFmtId="0" fontId="37" fillId="12" borderId="0" xfId="3" applyFont="1" applyFill="1" applyAlignment="1" applyProtection="1"/>
    <xf numFmtId="0" fontId="37" fillId="12" borderId="0" xfId="0" applyFont="1" applyFill="1"/>
    <xf numFmtId="173" fontId="68" fillId="0" borderId="7" xfId="0" applyNumberFormat="1" applyFont="1" applyBorder="1" applyAlignment="1">
      <alignment horizontal="center" vertical="center"/>
    </xf>
    <xf numFmtId="2" fontId="68" fillId="0" borderId="10" xfId="0" applyNumberFormat="1" applyFont="1" applyBorder="1"/>
    <xf numFmtId="2" fontId="68" fillId="0" borderId="9" xfId="0" applyNumberFormat="1" applyFont="1" applyBorder="1"/>
    <xf numFmtId="173" fontId="68" fillId="0" borderId="4" xfId="0" applyNumberFormat="1" applyFont="1" applyBorder="1" applyAlignment="1">
      <alignment horizontal="center" vertical="center"/>
    </xf>
    <xf numFmtId="173" fontId="68" fillId="0" borderId="5" xfId="0" applyNumberFormat="1" applyFont="1" applyBorder="1" applyAlignment="1">
      <alignment horizontal="center" vertical="center"/>
    </xf>
    <xf numFmtId="0" fontId="68" fillId="0" borderId="0" xfId="0" applyFont="1"/>
    <xf numFmtId="173" fontId="68" fillId="0" borderId="4" xfId="5" applyNumberFormat="1" applyFont="1" applyBorder="1" applyAlignment="1">
      <alignment horizontal="center" vertical="center"/>
    </xf>
    <xf numFmtId="2" fontId="68" fillId="0" borderId="11" xfId="5" applyNumberFormat="1" applyFont="1" applyBorder="1"/>
    <xf numFmtId="2" fontId="68" fillId="0" borderId="10" xfId="5" applyNumberFormat="1" applyFont="1" applyBorder="1"/>
    <xf numFmtId="0" fontId="1" fillId="0" borderId="4" xfId="5" applyFont="1" applyBorder="1" applyAlignment="1">
      <alignment horizontal="center" vertical="center"/>
    </xf>
    <xf numFmtId="2" fontId="68" fillId="0" borderId="9" xfId="5" applyNumberFormat="1" applyFont="1" applyBorder="1"/>
    <xf numFmtId="173" fontId="68" fillId="0" borderId="5" xfId="5" applyNumberFormat="1" applyFont="1" applyBorder="1" applyAlignment="1">
      <alignment horizontal="center" vertical="center"/>
    </xf>
    <xf numFmtId="0" fontId="68" fillId="0" borderId="0" xfId="5" applyFont="1"/>
    <xf numFmtId="166" fontId="0" fillId="0" borderId="3" xfId="0" applyNumberFormat="1" applyFill="1" applyBorder="1"/>
    <xf numFmtId="0" fontId="48" fillId="0" borderId="6" xfId="0" applyFont="1" applyBorder="1" applyAlignment="1"/>
    <xf numFmtId="0" fontId="0" fillId="17" borderId="0" xfId="0" applyFill="1"/>
    <xf numFmtId="16" fontId="54" fillId="0" borderId="49" xfId="0" applyNumberFormat="1" applyFont="1" applyFill="1" applyBorder="1" applyAlignment="1" applyProtection="1">
      <alignment horizontal="right"/>
      <protection locked="0"/>
    </xf>
    <xf numFmtId="167" fontId="0" fillId="17" borderId="7" xfId="0" applyNumberFormat="1" applyFill="1" applyBorder="1"/>
    <xf numFmtId="4" fontId="1" fillId="0" borderId="7" xfId="0" applyNumberFormat="1" applyFont="1" applyBorder="1" applyAlignment="1">
      <alignment horizontal="right"/>
    </xf>
    <xf numFmtId="4" fontId="1" fillId="0" borderId="6" xfId="0" applyNumberFormat="1" applyFont="1" applyBorder="1" applyAlignment="1">
      <alignment horizontal="right"/>
    </xf>
    <xf numFmtId="4" fontId="1" fillId="0" borderId="5" xfId="0" applyNumberFormat="1" applyFont="1" applyBorder="1" applyAlignment="1">
      <alignment horizontal="right"/>
    </xf>
    <xf numFmtId="4" fontId="1" fillId="0" borderId="22" xfId="0" applyNumberFormat="1" applyFont="1" applyBorder="1" applyAlignment="1">
      <alignment horizontal="right"/>
    </xf>
    <xf numFmtId="4" fontId="1" fillId="0" borderId="26" xfId="0" applyNumberFormat="1" applyFont="1" applyBorder="1" applyAlignment="1">
      <alignment horizontal="right"/>
    </xf>
    <xf numFmtId="4" fontId="1" fillId="0" borderId="27" xfId="0" applyNumberFormat="1" applyFont="1" applyBorder="1" applyAlignment="1">
      <alignment horizontal="right"/>
    </xf>
    <xf numFmtId="0" fontId="0" fillId="0" borderId="0" xfId="0" applyAlignment="1">
      <alignment horizontal="left"/>
    </xf>
    <xf numFmtId="0" fontId="57" fillId="10" borderId="0" xfId="0" applyFont="1" applyFill="1" applyBorder="1" applyProtection="1"/>
    <xf numFmtId="0" fontId="25" fillId="10" borderId="0" xfId="0" applyFont="1" applyFill="1" applyBorder="1" applyProtection="1"/>
    <xf numFmtId="0" fontId="0" fillId="10" borderId="14" xfId="0" applyFill="1" applyBorder="1" applyProtection="1">
      <protection hidden="1"/>
    </xf>
    <xf numFmtId="0" fontId="1" fillId="10" borderId="16" xfId="0" applyFont="1" applyFill="1" applyBorder="1" applyProtection="1">
      <protection hidden="1"/>
    </xf>
    <xf numFmtId="0" fontId="1" fillId="10" borderId="22" xfId="5" applyFont="1" applyFill="1" applyBorder="1" applyAlignment="1">
      <alignment horizontal="left" wrapText="1"/>
    </xf>
    <xf numFmtId="0" fontId="1" fillId="10" borderId="26" xfId="5" applyFont="1" applyFill="1" applyBorder="1" applyAlignment="1">
      <alignment horizontal="left"/>
    </xf>
    <xf numFmtId="0" fontId="1" fillId="10" borderId="27" xfId="5" applyFont="1" applyFill="1" applyBorder="1" applyAlignment="1">
      <alignment horizontal="left"/>
    </xf>
    <xf numFmtId="0" fontId="1" fillId="10" borderId="28" xfId="5" applyFont="1" applyFill="1" applyBorder="1" applyAlignment="1">
      <alignment horizontal="left"/>
    </xf>
    <xf numFmtId="0" fontId="1" fillId="10" borderId="0" xfId="5" applyFont="1" applyFill="1" applyBorder="1" applyAlignment="1">
      <alignment horizontal="left"/>
    </xf>
    <xf numFmtId="0" fontId="1" fillId="10" borderId="23" xfId="5" applyFont="1" applyFill="1" applyBorder="1" applyAlignment="1">
      <alignment horizontal="left"/>
    </xf>
    <xf numFmtId="0" fontId="1" fillId="10" borderId="7" xfId="5" applyFont="1" applyFill="1" applyBorder="1" applyAlignment="1">
      <alignment horizontal="left"/>
    </xf>
    <xf numFmtId="0" fontId="1" fillId="10" borderId="6" xfId="5" applyFont="1" applyFill="1" applyBorder="1" applyAlignment="1">
      <alignment horizontal="left"/>
    </xf>
    <xf numFmtId="0" fontId="1" fillId="10" borderId="5" xfId="5" applyFont="1" applyFill="1" applyBorder="1" applyAlignment="1">
      <alignment horizontal="left"/>
    </xf>
    <xf numFmtId="49" fontId="1" fillId="0" borderId="0" xfId="5" quotePrefix="1" applyNumberFormat="1" applyFont="1" applyFill="1" applyBorder="1" applyAlignment="1">
      <alignment horizontal="left" vertical="top"/>
    </xf>
    <xf numFmtId="0" fontId="51" fillId="10" borderId="17" xfId="0" applyFont="1" applyFill="1" applyBorder="1" applyAlignment="1" applyProtection="1">
      <alignment horizontal="left"/>
    </xf>
    <xf numFmtId="0" fontId="52" fillId="10" borderId="0" xfId="0" applyFont="1" applyFill="1" applyBorder="1" applyAlignment="1" applyProtection="1">
      <alignment horizontal="left"/>
    </xf>
    <xf numFmtId="0" fontId="53" fillId="0" borderId="0" xfId="0" applyFont="1" applyBorder="1" applyAlignment="1">
      <alignment horizontal="left"/>
    </xf>
    <xf numFmtId="0" fontId="54" fillId="10" borderId="0" xfId="0" quotePrefix="1" applyFont="1" applyFill="1" applyBorder="1" applyAlignment="1">
      <alignment horizontal="left" vertical="center" wrapText="1"/>
    </xf>
    <xf numFmtId="49" fontId="18" fillId="9" borderId="0" xfId="0" quotePrefix="1" applyNumberFormat="1" applyFont="1" applyFill="1" applyBorder="1" applyAlignment="1">
      <alignment horizontal="left" vertical="center"/>
    </xf>
    <xf numFmtId="49" fontId="29" fillId="9" borderId="0" xfId="0" quotePrefix="1" applyNumberFormat="1" applyFont="1" applyFill="1" applyBorder="1" applyAlignment="1">
      <alignment horizontal="left" vertical="center"/>
    </xf>
    <xf numFmtId="0" fontId="29" fillId="9" borderId="0" xfId="0" quotePrefix="1" applyNumberFormat="1" applyFont="1" applyFill="1" applyAlignment="1" applyProtection="1">
      <alignment vertical="center" wrapText="1"/>
      <protection hidden="1"/>
    </xf>
    <xf numFmtId="0" fontId="18" fillId="9" borderId="0" xfId="0" quotePrefix="1" applyFont="1" applyFill="1" applyBorder="1" applyAlignment="1">
      <alignment horizontal="left" vertical="center"/>
    </xf>
    <xf numFmtId="49" fontId="29" fillId="9" borderId="0" xfId="0" quotePrefix="1" applyNumberFormat="1" applyFont="1" applyFill="1" applyBorder="1" applyAlignment="1">
      <alignment horizontal="left" vertical="center" wrapText="1"/>
    </xf>
    <xf numFmtId="49" fontId="18" fillId="9" borderId="0" xfId="0" quotePrefix="1" applyNumberFormat="1" applyFont="1" applyFill="1" applyBorder="1" applyAlignment="1">
      <alignment horizontal="left" vertical="center" wrapText="1"/>
    </xf>
    <xf numFmtId="0" fontId="18" fillId="9" borderId="0" xfId="0" quotePrefix="1" applyFont="1" applyFill="1" applyAlignment="1" applyProtection="1">
      <alignment horizontal="left" vertical="center" wrapText="1"/>
      <protection hidden="1"/>
    </xf>
    <xf numFmtId="49" fontId="29" fillId="9" borderId="0" xfId="0" quotePrefix="1" applyNumberFormat="1" applyFont="1" applyFill="1" applyBorder="1" applyAlignment="1">
      <alignment vertical="center" wrapText="1"/>
    </xf>
    <xf numFmtId="49" fontId="18" fillId="9" borderId="0" xfId="0" quotePrefix="1" applyNumberFormat="1" applyFont="1" applyFill="1" applyBorder="1" applyAlignment="1">
      <alignment vertical="center" wrapText="1"/>
    </xf>
    <xf numFmtId="49" fontId="1" fillId="9"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4" fillId="10" borderId="0" xfId="0" applyFont="1" applyFill="1" applyBorder="1" applyAlignment="1" applyProtection="1">
      <alignment horizontal="center"/>
      <protection hidden="1"/>
    </xf>
    <xf numFmtId="49" fontId="29" fillId="9" borderId="0" xfId="0" applyNumberFormat="1" applyFont="1" applyFill="1" applyBorder="1" applyAlignment="1">
      <alignment vertical="center" wrapText="1"/>
    </xf>
    <xf numFmtId="0" fontId="18" fillId="9" borderId="0" xfId="0" quotePrefix="1" applyFont="1" applyFill="1" applyAlignment="1" applyProtection="1">
      <alignment vertical="center" wrapText="1"/>
      <protection hidden="1"/>
    </xf>
    <xf numFmtId="0" fontId="18" fillId="9" borderId="0" xfId="0" quotePrefix="1" applyNumberFormat="1" applyFont="1" applyFill="1" applyAlignment="1" applyProtection="1">
      <alignment vertical="center" wrapText="1"/>
      <protection hidden="1"/>
    </xf>
    <xf numFmtId="176" fontId="54" fillId="10" borderId="0" xfId="0" quotePrefix="1" applyNumberFormat="1" applyFont="1" applyFill="1" applyBorder="1" applyAlignment="1" applyProtection="1">
      <alignment wrapText="1"/>
      <protection hidden="1"/>
    </xf>
    <xf numFmtId="176" fontId="0" fillId="0" borderId="0" xfId="0" applyNumberFormat="1" applyBorder="1" applyAlignment="1">
      <alignment wrapText="1"/>
    </xf>
    <xf numFmtId="14" fontId="55" fillId="16" borderId="3" xfId="0" applyNumberFormat="1" applyFont="1" applyFill="1" applyBorder="1" applyAlignment="1" applyProtection="1">
      <alignment horizontal="center"/>
      <protection locked="0"/>
    </xf>
    <xf numFmtId="0" fontId="67" fillId="15" borderId="22" xfId="3" applyFont="1" applyFill="1" applyBorder="1" applyAlignment="1" applyProtection="1">
      <alignment horizontal="center" vertical="center"/>
      <protection hidden="1"/>
    </xf>
    <xf numFmtId="0" fontId="67" fillId="15" borderId="26" xfId="3" applyFont="1" applyFill="1" applyBorder="1" applyAlignment="1" applyProtection="1">
      <alignment horizontal="center" vertical="center"/>
    </xf>
    <xf numFmtId="0" fontId="67" fillId="15" borderId="27" xfId="3" applyFont="1" applyFill="1" applyBorder="1" applyAlignment="1" applyProtection="1">
      <alignment horizontal="center" vertical="center"/>
    </xf>
    <xf numFmtId="0" fontId="67" fillId="15" borderId="7" xfId="3" applyFont="1" applyFill="1" applyBorder="1" applyAlignment="1" applyProtection="1">
      <alignment horizontal="center" vertical="center"/>
    </xf>
    <xf numFmtId="0" fontId="67" fillId="15" borderId="6" xfId="3" applyFont="1" applyFill="1" applyBorder="1" applyAlignment="1" applyProtection="1">
      <alignment horizontal="center" vertical="center"/>
    </xf>
    <xf numFmtId="0" fontId="67" fillId="15" borderId="5" xfId="3" applyFont="1" applyFill="1" applyBorder="1" applyAlignment="1" applyProtection="1">
      <alignment horizontal="center" vertical="center"/>
    </xf>
    <xf numFmtId="0" fontId="65" fillId="15" borderId="22" xfId="3" applyFont="1" applyFill="1" applyBorder="1" applyAlignment="1" applyProtection="1">
      <alignment horizontal="center" vertical="center"/>
      <protection hidden="1"/>
    </xf>
    <xf numFmtId="0" fontId="65" fillId="15" borderId="26" xfId="3" applyFont="1" applyFill="1" applyBorder="1" applyAlignment="1" applyProtection="1">
      <alignment horizontal="center" vertical="center"/>
    </xf>
    <xf numFmtId="0" fontId="65" fillId="15" borderId="27" xfId="3" applyFont="1" applyFill="1" applyBorder="1" applyAlignment="1" applyProtection="1">
      <alignment horizontal="center" vertical="center"/>
    </xf>
    <xf numFmtId="0" fontId="65" fillId="15" borderId="7" xfId="3" applyFont="1" applyFill="1" applyBorder="1" applyAlignment="1" applyProtection="1">
      <alignment horizontal="center" vertical="center"/>
    </xf>
    <xf numFmtId="0" fontId="65" fillId="15" borderId="6" xfId="3" applyFont="1" applyFill="1" applyBorder="1" applyAlignment="1" applyProtection="1">
      <alignment horizontal="center" vertical="center"/>
    </xf>
    <xf numFmtId="0" fontId="65" fillId="15" borderId="5" xfId="3" applyFont="1" applyFill="1" applyBorder="1" applyAlignment="1" applyProtection="1">
      <alignment horizontal="center" vertical="center"/>
    </xf>
    <xf numFmtId="176" fontId="54" fillId="10" borderId="18" xfId="0" quotePrefix="1" applyNumberFormat="1" applyFont="1" applyFill="1" applyBorder="1" applyAlignment="1" applyProtection="1">
      <alignment vertical="top" wrapText="1"/>
      <protection hidden="1"/>
    </xf>
    <xf numFmtId="176" fontId="54" fillId="0" borderId="18" xfId="0" applyNumberFormat="1" applyFont="1" applyBorder="1" applyAlignment="1">
      <alignment vertical="top" wrapText="1"/>
    </xf>
    <xf numFmtId="49" fontId="46" fillId="10" borderId="0" xfId="5" quotePrefix="1" applyNumberFormat="1" applyFont="1" applyFill="1" applyBorder="1" applyAlignment="1">
      <alignment horizontal="left" vertical="center" wrapText="1"/>
    </xf>
    <xf numFmtId="0" fontId="43" fillId="10" borderId="0" xfId="5" applyFont="1" applyFill="1" applyBorder="1" applyAlignment="1" applyProtection="1">
      <alignment wrapText="1"/>
      <protection hidden="1"/>
    </xf>
    <xf numFmtId="0" fontId="43" fillId="10" borderId="0" xfId="5" applyFont="1" applyFill="1" applyBorder="1" applyAlignment="1" applyProtection="1">
      <protection hidden="1"/>
    </xf>
    <xf numFmtId="0" fontId="43" fillId="0" borderId="0" xfId="5" applyFont="1" applyAlignment="1" applyProtection="1">
      <protection hidden="1"/>
    </xf>
    <xf numFmtId="14" fontId="43" fillId="10" borderId="35" xfId="5" applyNumberFormat="1" applyFont="1" applyFill="1" applyBorder="1" applyAlignment="1" applyProtection="1">
      <alignment horizontal="center"/>
      <protection hidden="1"/>
    </xf>
    <xf numFmtId="14" fontId="43" fillId="10" borderId="24" xfId="5" applyNumberFormat="1" applyFont="1" applyFill="1" applyBorder="1" applyAlignment="1" applyProtection="1">
      <alignment horizontal="center"/>
      <protection hidden="1"/>
    </xf>
    <xf numFmtId="0" fontId="44" fillId="10" borderId="0" xfId="5" applyFont="1" applyFill="1" applyBorder="1" applyAlignment="1">
      <alignment horizontal="left" wrapText="1"/>
    </xf>
    <xf numFmtId="0" fontId="44" fillId="10" borderId="0" xfId="5" applyFont="1" applyFill="1" applyBorder="1" applyAlignment="1" applyProtection="1">
      <alignment horizontal="left" vertical="center" wrapText="1"/>
      <protection hidden="1"/>
    </xf>
    <xf numFmtId="0" fontId="1" fillId="0" borderId="0" xfId="0" applyFont="1" applyAlignment="1">
      <alignment horizontal="center"/>
    </xf>
    <xf numFmtId="0" fontId="3" fillId="0" borderId="11" xfId="0" applyFont="1" applyFill="1" applyBorder="1" applyAlignment="1">
      <alignment horizontal="center"/>
    </xf>
    <xf numFmtId="0" fontId="3" fillId="0" borderId="10" xfId="0" applyFont="1" applyFill="1" applyBorder="1" applyAlignment="1">
      <alignment horizontal="center"/>
    </xf>
    <xf numFmtId="0" fontId="3" fillId="0" borderId="9" xfId="0" applyFont="1" applyFill="1" applyBorder="1" applyAlignment="1">
      <alignment horizontal="center"/>
    </xf>
    <xf numFmtId="0" fontId="59" fillId="14" borderId="42" xfId="0" applyFont="1" applyFill="1" applyBorder="1" applyAlignment="1">
      <alignment horizontal="center" vertical="top" wrapText="1"/>
    </xf>
    <xf numFmtId="0" fontId="59" fillId="14" borderId="43" xfId="0" applyFont="1" applyFill="1" applyBorder="1" applyAlignment="1">
      <alignment horizontal="center" vertical="top" wrapText="1"/>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11" borderId="25"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2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7" xfId="0" applyFont="1" applyFill="1" applyBorder="1" applyAlignment="1">
      <alignment horizontal="center" vertical="center"/>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22">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fgColor theme="0"/>
        </patternFill>
      </fill>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rgb="FFFF0000"/>
      </font>
    </dxf>
    <dxf>
      <font>
        <color theme="0"/>
      </font>
      <fill>
        <patternFill>
          <bgColor theme="0"/>
        </patternFill>
      </fill>
      <border>
        <left/>
        <right/>
        <top/>
        <bottom/>
      </border>
    </dxf>
    <dxf>
      <font>
        <color theme="0"/>
      </font>
      <fill>
        <patternFill>
          <bgColor theme="0"/>
        </patternFill>
      </fill>
      <border>
        <left style="thin">
          <color auto="1"/>
        </left>
        <right/>
        <top/>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colors>
    <mruColors>
      <color rgb="FF808080"/>
      <color rgb="FF002060"/>
      <color rgb="FFBACCCF"/>
      <color rgb="FFECE69C"/>
      <color rgb="FFCCC0DA"/>
      <color rgb="FFFF33CC"/>
      <color rgb="FFD8E4BC"/>
      <color rgb="FFFDE9D9"/>
      <color rgb="FFE4DFE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checked="Checked" fmlaLink="Parameters!B126"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1</xdr:col>
          <xdr:colOff>1936750</xdr:colOff>
          <xdr:row>5</xdr:row>
          <xdr:rowOff>222250</xdr:rowOff>
        </xdr:to>
        <xdr:sp macro="" textlink="">
          <xdr:nvSpPr>
            <xdr:cNvPr id="1025" name="ClassificationCb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1</xdr:col>
          <xdr:colOff>1936750</xdr:colOff>
          <xdr:row>7</xdr:row>
          <xdr:rowOff>0</xdr:rowOff>
        </xdr:to>
        <xdr:sp macro="" textlink="">
          <xdr:nvSpPr>
            <xdr:cNvPr id="1026" name="DescriptorCbo"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638175</xdr:colOff>
      <xdr:row>5</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705600" cy="819150"/>
        </a:xfrm>
        <a:prstGeom prst="rect">
          <a:avLst/>
        </a:prstGeom>
      </xdr:spPr>
    </xdr:pic>
    <xdr:clientData/>
  </xdr:twoCellAnchor>
  <xdr:twoCellAnchor editAs="oneCell">
    <xdr:from>
      <xdr:col>0</xdr:col>
      <xdr:colOff>0</xdr:colOff>
      <xdr:row>0</xdr:row>
      <xdr:rowOff>0</xdr:rowOff>
    </xdr:from>
    <xdr:to>
      <xdr:col>12</xdr:col>
      <xdr:colOff>19050</xdr:colOff>
      <xdr:row>5</xdr:row>
      <xdr:rowOff>161925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505700"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603250</xdr:colOff>
          <xdr:row>38</xdr:row>
          <xdr:rowOff>88900</xdr:rowOff>
        </xdr:from>
        <xdr:to>
          <xdr:col>9</xdr:col>
          <xdr:colOff>831850</xdr:colOff>
          <xdr:row>40</xdr:row>
          <xdr:rowOff>127000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4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0</xdr:row>
      <xdr:rowOff>0</xdr:rowOff>
    </xdr:from>
    <xdr:to>
      <xdr:col>14</xdr:col>
      <xdr:colOff>601300</xdr:colOff>
      <xdr:row>12</xdr:row>
      <xdr:rowOff>49325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417" y="0"/>
          <a:ext cx="11237550" cy="195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95250</xdr:colOff>
      <xdr:row>2</xdr:row>
      <xdr:rowOff>95250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42875"/>
          <a:ext cx="2266950"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W%20DATA\FPT%20Clients\Police\Scotland\General\Benefits%20Projection%20Calculator\Pension%20calculator%20Updated%20v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2\a2data\Police%20Pensions\0140-00972%20Home%20Office%20Police\Actuarial%20Factors\2011\transfers%20and%20divorce\PPS%20Non-IH%20ERFs%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ERF and LRF"/>
      <sheetName val="PPS and NPPS calcs"/>
      <sheetName val="Past Service CARE Calcs"/>
      <sheetName val="CARE calcs"/>
      <sheetName val="CARE calcs ABS"/>
      <sheetName val="Lump Sum"/>
      <sheetName val="Summary"/>
    </sheetNames>
    <sheetDataSet>
      <sheetData sheetId="0"/>
      <sheetData sheetId="1"/>
      <sheetData sheetId="2"/>
      <sheetData sheetId="3"/>
      <sheetData sheetId="4"/>
      <sheetData sheetId="5">
        <row r="119">
          <cell r="B119">
            <v>2016</v>
          </cell>
        </row>
        <row r="120">
          <cell r="B120">
            <v>2017</v>
          </cell>
        </row>
        <row r="121">
          <cell r="B121">
            <v>2018</v>
          </cell>
        </row>
        <row r="122">
          <cell r="B122">
            <v>2019</v>
          </cell>
        </row>
        <row r="123">
          <cell r="B123">
            <v>2020</v>
          </cell>
        </row>
        <row r="124">
          <cell r="B124">
            <v>2021</v>
          </cell>
        </row>
        <row r="125">
          <cell r="B125">
            <v>2022</v>
          </cell>
        </row>
        <row r="126">
          <cell r="B126">
            <v>2023</v>
          </cell>
        </row>
        <row r="127">
          <cell r="B127">
            <v>2024</v>
          </cell>
        </row>
        <row r="128">
          <cell r="B128">
            <v>2025</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Instructions and Inputs"/>
      <sheetName val="Factor Calculation"/>
      <sheetName val="Final Factors (P&amp;LS)"/>
      <sheetName val="Final Factors (Combined)"/>
      <sheetName val="TAS M"/>
      <sheetName val="Determine C Proxy for YoU"/>
      <sheetName val="Check"/>
      <sheetName val="Version_control20"/>
      <sheetName val="Instructions_and_Inputs20"/>
      <sheetName val="Factor_Calculation20"/>
      <sheetName val="Final_Factors_(P&amp;LS)20"/>
      <sheetName val="Final_Factors_(Combined)20"/>
      <sheetName val="TAS_M20"/>
      <sheetName val="Determine_C_Proxy_for_YoU20"/>
      <sheetName val="Version_control18"/>
      <sheetName val="Instructions_and_Inputs18"/>
      <sheetName val="Factor_Calculation18"/>
      <sheetName val="Final_Factors_(P&amp;LS)18"/>
      <sheetName val="Final_Factors_(Combined)18"/>
      <sheetName val="TAS_M18"/>
      <sheetName val="Determine_C_Proxy_for_YoU18"/>
      <sheetName val="Version_control3"/>
      <sheetName val="Instructions_and_Inputs3"/>
      <sheetName val="Factor_Calculation3"/>
      <sheetName val="Final_Factors_(P&amp;LS)3"/>
      <sheetName val="Final_Factors_(Combined)3"/>
      <sheetName val="TAS_M3"/>
      <sheetName val="Determine_C_Proxy_for_YoU3"/>
      <sheetName val="Version_control1"/>
      <sheetName val="Instructions_and_Inputs1"/>
      <sheetName val="Factor_Calculation1"/>
      <sheetName val="Final_Factors_(P&amp;LS)1"/>
      <sheetName val="Final_Factors_(Combined)1"/>
      <sheetName val="TAS_M1"/>
      <sheetName val="Determine_C_Proxy_for_YoU1"/>
      <sheetName val="Version_control"/>
      <sheetName val="Instructions_and_Inputs"/>
      <sheetName val="Factor_Calculation"/>
      <sheetName val="Final_Factors_(P&amp;LS)"/>
      <sheetName val="Final_Factors_(Combined)"/>
      <sheetName val="TAS_M"/>
      <sheetName val="Determine_C_Proxy_for_YoU"/>
      <sheetName val="Version_control2"/>
      <sheetName val="Instructions_and_Inputs2"/>
      <sheetName val="Factor_Calculation2"/>
      <sheetName val="Final_Factors_(P&amp;LS)2"/>
      <sheetName val="Final_Factors_(Combined)2"/>
      <sheetName val="TAS_M2"/>
      <sheetName val="Determine_C_Proxy_for_YoU2"/>
      <sheetName val="Version_control15"/>
      <sheetName val="Instructions_and_Inputs15"/>
      <sheetName val="Factor_Calculation15"/>
      <sheetName val="Final_Factors_(P&amp;LS)15"/>
      <sheetName val="Final_Factors_(Combined)15"/>
      <sheetName val="TAS_M15"/>
      <sheetName val="Determine_C_Proxy_for_YoU15"/>
      <sheetName val="Version_control4"/>
      <sheetName val="Instructions_and_Inputs4"/>
      <sheetName val="Factor_Calculation4"/>
      <sheetName val="Final_Factors_(P&amp;LS)4"/>
      <sheetName val="Final_Factors_(Combined)4"/>
      <sheetName val="TAS_M4"/>
      <sheetName val="Determine_C_Proxy_for_YoU4"/>
      <sheetName val="Version_control5"/>
      <sheetName val="Instructions_and_Inputs5"/>
      <sheetName val="Factor_Calculation5"/>
      <sheetName val="Final_Factors_(P&amp;LS)5"/>
      <sheetName val="Final_Factors_(Combined)5"/>
      <sheetName val="TAS_M5"/>
      <sheetName val="Determine_C_Proxy_for_YoU5"/>
      <sheetName val="Version_control6"/>
      <sheetName val="Instructions_and_Inputs6"/>
      <sheetName val="Factor_Calculation6"/>
      <sheetName val="Final_Factors_(P&amp;LS)6"/>
      <sheetName val="Final_Factors_(Combined)6"/>
      <sheetName val="TAS_M6"/>
      <sheetName val="Determine_C_Proxy_for_YoU6"/>
      <sheetName val="Version_control7"/>
      <sheetName val="Instructions_and_Inputs7"/>
      <sheetName val="Factor_Calculation7"/>
      <sheetName val="Final_Factors_(P&amp;LS)7"/>
      <sheetName val="Final_Factors_(Combined)7"/>
      <sheetName val="TAS_M7"/>
      <sheetName val="Determine_C_Proxy_for_YoU7"/>
      <sheetName val="Version_control8"/>
      <sheetName val="Instructions_and_Inputs8"/>
      <sheetName val="Factor_Calculation8"/>
      <sheetName val="Final_Factors_(P&amp;LS)8"/>
      <sheetName val="Final_Factors_(Combined)8"/>
      <sheetName val="TAS_M8"/>
      <sheetName val="Determine_C_Proxy_for_YoU8"/>
      <sheetName val="Version_control9"/>
      <sheetName val="Instructions_and_Inputs9"/>
      <sheetName val="Factor_Calculation9"/>
      <sheetName val="Final_Factors_(P&amp;LS)9"/>
      <sheetName val="Final_Factors_(Combined)9"/>
      <sheetName val="TAS_M9"/>
      <sheetName val="Determine_C_Proxy_for_YoU9"/>
      <sheetName val="Version_control10"/>
      <sheetName val="Instructions_and_Inputs10"/>
      <sheetName val="Factor_Calculation10"/>
      <sheetName val="Final_Factors_(P&amp;LS)10"/>
      <sheetName val="Final_Factors_(Combined)10"/>
      <sheetName val="TAS_M10"/>
      <sheetName val="Determine_C_Proxy_for_YoU10"/>
      <sheetName val="Version_control11"/>
      <sheetName val="Instructions_and_Inputs11"/>
      <sheetName val="Factor_Calculation11"/>
      <sheetName val="Final_Factors_(P&amp;LS)11"/>
      <sheetName val="Final_Factors_(Combined)11"/>
      <sheetName val="TAS_M11"/>
      <sheetName val="Determine_C_Proxy_for_YoU11"/>
      <sheetName val="Version_control12"/>
      <sheetName val="Instructions_and_Inputs12"/>
      <sheetName val="Factor_Calculation12"/>
      <sheetName val="Final_Factors_(P&amp;LS)12"/>
      <sheetName val="Final_Factors_(Combined)12"/>
      <sheetName val="TAS_M12"/>
      <sheetName val="Determine_C_Proxy_for_YoU12"/>
      <sheetName val="Version_control13"/>
      <sheetName val="Instructions_and_Inputs13"/>
      <sheetName val="Factor_Calculation13"/>
      <sheetName val="Final_Factors_(P&amp;LS)13"/>
      <sheetName val="Final_Factors_(Combined)13"/>
      <sheetName val="TAS_M13"/>
      <sheetName val="Determine_C_Proxy_for_YoU13"/>
      <sheetName val="Version_control14"/>
      <sheetName val="Instructions_and_Inputs14"/>
      <sheetName val="Factor_Calculation14"/>
      <sheetName val="Final_Factors_(P&amp;LS)14"/>
      <sheetName val="Final_Factors_(Combined)14"/>
      <sheetName val="TAS_M14"/>
      <sheetName val="Determine_C_Proxy_for_YoU14"/>
      <sheetName val="Version_control16"/>
      <sheetName val="Instructions_and_Inputs16"/>
      <sheetName val="Factor_Calculation16"/>
      <sheetName val="Final_Factors_(P&amp;LS)16"/>
      <sheetName val="Final_Factors_(Combined)16"/>
      <sheetName val="TAS_M16"/>
      <sheetName val="Determine_C_Proxy_for_YoU16"/>
      <sheetName val="Version_control17"/>
      <sheetName val="Instructions_and_Inputs17"/>
      <sheetName val="Factor_Calculation17"/>
      <sheetName val="Final_Factors_(P&amp;LS)17"/>
      <sheetName val="Final_Factors_(Combined)17"/>
      <sheetName val="TAS_M17"/>
      <sheetName val="Determine_C_Proxy_for_YoU17"/>
      <sheetName val="Version_control19"/>
      <sheetName val="Instructions_and_Inputs19"/>
      <sheetName val="Factor_Calculation19"/>
      <sheetName val="Final_Factors_(P&amp;LS)19"/>
      <sheetName val="Final_Factors_(Combined)19"/>
      <sheetName val="TAS_M19"/>
      <sheetName val="Determine_C_Proxy_for_YoU19"/>
    </sheetNames>
    <sheetDataSet>
      <sheetData sheetId="0"/>
      <sheetData sheetId="1"/>
      <sheetData sheetId="2"/>
      <sheetData sheetId="3">
        <row r="148">
          <cell r="A148">
            <v>16</v>
          </cell>
          <cell r="J148">
            <v>0.21248252657177058</v>
          </cell>
          <cell r="K148">
            <v>0.2628886969279825</v>
          </cell>
          <cell r="L148">
            <v>0.21248252657177058</v>
          </cell>
          <cell r="M148" t="str">
            <v/>
          </cell>
          <cell r="N148" t="str">
            <v/>
          </cell>
          <cell r="O148" t="str">
            <v/>
          </cell>
          <cell r="P148">
            <v>3.4266728757428768</v>
          </cell>
          <cell r="Q148">
            <v>1.2811382796192889</v>
          </cell>
          <cell r="R148">
            <v>3.0574286081553335</v>
          </cell>
          <cell r="S148">
            <v>0.55062711078146775</v>
          </cell>
          <cell r="T148">
            <v>3.4266728757428768</v>
          </cell>
          <cell r="U148">
            <v>1.2811382796192889</v>
          </cell>
          <cell r="V148">
            <v>2.8888947829937811E-2</v>
          </cell>
          <cell r="W148" t="str">
            <v/>
          </cell>
        </row>
        <row r="149">
          <cell r="A149">
            <v>17</v>
          </cell>
          <cell r="J149">
            <v>0.21850408511104075</v>
          </cell>
          <cell r="K149">
            <v>0.27077535783582196</v>
          </cell>
          <cell r="L149">
            <v>0.21850408511104075</v>
          </cell>
          <cell r="M149" t="str">
            <v/>
          </cell>
          <cell r="N149" t="str">
            <v/>
          </cell>
          <cell r="O149" t="str">
            <v/>
          </cell>
          <cell r="P149">
            <v>3.2969071907527119</v>
          </cell>
          <cell r="Q149">
            <v>1.2811382796192889</v>
          </cell>
          <cell r="R149">
            <v>2.9416478180740389</v>
          </cell>
          <cell r="S149">
            <v>0.56131889934033119</v>
          </cell>
          <cell r="T149">
            <v>3.2969071907527123</v>
          </cell>
          <cell r="U149">
            <v>1.2811382796192889</v>
          </cell>
          <cell r="V149">
            <v>2.8649890350178481E-2</v>
          </cell>
          <cell r="W149" t="str">
            <v/>
          </cell>
        </row>
        <row r="150">
          <cell r="A150">
            <v>18</v>
          </cell>
          <cell r="J150">
            <v>0.22471465160921877</v>
          </cell>
          <cell r="K150">
            <v>0.27894252244877021</v>
          </cell>
          <cell r="L150">
            <v>0.22471465160921877</v>
          </cell>
          <cell r="M150" t="str">
            <v/>
          </cell>
          <cell r="N150" t="str">
            <v/>
          </cell>
          <cell r="O150" t="str">
            <v/>
          </cell>
          <cell r="P150">
            <v>3.1703540688944796</v>
          </cell>
          <cell r="Q150">
            <v>1.2811382796192889</v>
          </cell>
          <cell r="R150">
            <v>2.8302703359431787</v>
          </cell>
          <cell r="S150">
            <v>0.57198057016759207</v>
          </cell>
          <cell r="T150">
            <v>3.1703540688944796</v>
          </cell>
          <cell r="U150">
            <v>1.2811382796192889</v>
          </cell>
          <cell r="V150">
            <v>2.8410217171533921E-2</v>
          </cell>
          <cell r="W150" t="str">
            <v/>
          </cell>
        </row>
        <row r="151">
          <cell r="A151">
            <v>19</v>
          </cell>
          <cell r="J151">
            <v>0.23112181103798468</v>
          </cell>
          <cell r="K151">
            <v>0.287354674793391</v>
          </cell>
          <cell r="L151">
            <v>0.23112181103798468</v>
          </cell>
          <cell r="M151" t="str">
            <v/>
          </cell>
          <cell r="N151" t="str">
            <v/>
          </cell>
          <cell r="O151" t="str">
            <v/>
          </cell>
          <cell r="P151">
            <v>3.0469230745421121</v>
          </cell>
          <cell r="Q151">
            <v>1.2811382796192889</v>
          </cell>
          <cell r="R151">
            <v>2.7214741724361136</v>
          </cell>
          <cell r="S151">
            <v>0.58286856077730287</v>
          </cell>
          <cell r="T151">
            <v>3.0469230745421121</v>
          </cell>
          <cell r="U151">
            <v>1.2811382796192889</v>
          </cell>
          <cell r="V151">
            <v>2.8160844359380856E-2</v>
          </cell>
          <cell r="W151" t="str">
            <v/>
          </cell>
        </row>
        <row r="152">
          <cell r="A152">
            <v>20</v>
          </cell>
          <cell r="J152">
            <v>0.23773446684640359</v>
          </cell>
          <cell r="K152">
            <v>0.29601828431124605</v>
          </cell>
          <cell r="L152">
            <v>0.23773446684640359</v>
          </cell>
          <cell r="M152" t="str">
            <v/>
          </cell>
          <cell r="N152" t="str">
            <v/>
          </cell>
          <cell r="O152" t="str">
            <v/>
          </cell>
          <cell r="P152">
            <v>2.9265103679476367</v>
          </cell>
          <cell r="Q152">
            <v>1.2811382796192889</v>
          </cell>
          <cell r="R152">
            <v>2.6151603686640144</v>
          </cell>
          <cell r="S152">
            <v>0.59398997122088404</v>
          </cell>
          <cell r="T152">
            <v>2.9265103679476372</v>
          </cell>
          <cell r="U152">
            <v>1.2811382796192889</v>
          </cell>
          <cell r="V152">
            <v>2.7901147815604127E-2</v>
          </cell>
          <cell r="W152" t="str">
            <v/>
          </cell>
        </row>
        <row r="153">
          <cell r="A153">
            <v>21</v>
          </cell>
          <cell r="J153">
            <v>0.2445621483498083</v>
          </cell>
          <cell r="K153">
            <v>0.30494267509833889</v>
          </cell>
          <cell r="L153">
            <v>0.2445621483498083</v>
          </cell>
          <cell r="M153" t="str">
            <v/>
          </cell>
          <cell r="N153" t="str">
            <v/>
          </cell>
          <cell r="O153" t="str">
            <v/>
          </cell>
          <cell r="P153">
            <v>2.8090152432589912</v>
          </cell>
          <cell r="Q153">
            <v>1.2811382796192889</v>
          </cell>
          <cell r="R153">
            <v>2.5113085882621897</v>
          </cell>
          <cell r="S153">
            <v>0.60533996511965338</v>
          </cell>
          <cell r="T153">
            <v>2.8090152432589912</v>
          </cell>
          <cell r="U153">
            <v>1.2811382796192889</v>
          </cell>
          <cell r="V153">
            <v>2.7630973700060572E-2</v>
          </cell>
          <cell r="W153" t="str">
            <v/>
          </cell>
        </row>
        <row r="154">
          <cell r="A154">
            <v>22</v>
          </cell>
          <cell r="J154">
            <v>0.25161502489742654</v>
          </cell>
          <cell r="K154">
            <v>0.314137313334649</v>
          </cell>
          <cell r="L154">
            <v>0.25161502489742654</v>
          </cell>
          <cell r="M154" t="str">
            <v/>
          </cell>
          <cell r="N154" t="str">
            <v/>
          </cell>
          <cell r="O154" t="str">
            <v/>
          </cell>
          <cell r="P154">
            <v>2.6943407177093244</v>
          </cell>
          <cell r="Q154">
            <v>1.2811382796192889</v>
          </cell>
          <cell r="R154">
            <v>2.4098810947301619</v>
          </cell>
          <cell r="S154">
            <v>0.61691616959027651</v>
          </cell>
          <cell r="T154">
            <v>2.6943407177093244</v>
          </cell>
          <cell r="U154">
            <v>1.2811382796192889</v>
          </cell>
          <cell r="V154">
            <v>2.7350100484771364E-2</v>
          </cell>
          <cell r="W154" t="str">
            <v/>
          </cell>
        </row>
        <row r="155">
          <cell r="A155">
            <v>23</v>
          </cell>
          <cell r="J155">
            <v>0.25890396095516471</v>
          </cell>
          <cell r="K155">
            <v>0.32361250590828772</v>
          </cell>
          <cell r="L155">
            <v>0.25890396095516471</v>
          </cell>
          <cell r="M155" t="str">
            <v/>
          </cell>
          <cell r="N155" t="str">
            <v/>
          </cell>
          <cell r="O155" t="str">
            <v/>
          </cell>
          <cell r="P155">
            <v>2.5823933763072771</v>
          </cell>
          <cell r="Q155">
            <v>1.2811382796192889</v>
          </cell>
          <cell r="R155">
            <v>2.3108418456491684</v>
          </cell>
          <cell r="S155">
            <v>0.62871583316593271</v>
          </cell>
          <cell r="T155">
            <v>2.5823933763072771</v>
          </cell>
          <cell r="U155">
            <v>1.2811382796192889</v>
          </cell>
          <cell r="V155">
            <v>2.7058362305395895E-2</v>
          </cell>
          <cell r="W155" t="str">
            <v/>
          </cell>
        </row>
        <row r="156">
          <cell r="A156">
            <v>24</v>
          </cell>
          <cell r="J156">
            <v>0.26644063309946436</v>
          </cell>
          <cell r="K156">
            <v>0.33337529585614178</v>
          </cell>
          <cell r="L156">
            <v>0.26644063309946436</v>
          </cell>
          <cell r="M156" t="str">
            <v/>
          </cell>
          <cell r="N156" t="str">
            <v/>
          </cell>
          <cell r="O156" t="str">
            <v/>
          </cell>
          <cell r="P156">
            <v>2.4730824118158803</v>
          </cell>
          <cell r="Q156">
            <v>1.2811382796192889</v>
          </cell>
          <cell r="R156">
            <v>2.2140735781425742</v>
          </cell>
          <cell r="S156">
            <v>0.64074951070807529</v>
          </cell>
          <cell r="T156">
            <v>2.4730824118158798</v>
          </cell>
          <cell r="U156">
            <v>1.2811382796192889</v>
          </cell>
          <cell r="V156">
            <v>2.675493525179394E-2</v>
          </cell>
          <cell r="W156" t="str">
            <v/>
          </cell>
        </row>
        <row r="157">
          <cell r="A157">
            <v>25</v>
          </cell>
          <cell r="J157">
            <v>0.27423763848364924</v>
          </cell>
          <cell r="K157">
            <v>0.34343512678382393</v>
          </cell>
          <cell r="L157">
            <v>0.27423763848364924</v>
          </cell>
          <cell r="M157" t="str">
            <v/>
          </cell>
          <cell r="N157" t="str">
            <v/>
          </cell>
          <cell r="O157" t="str">
            <v/>
          </cell>
          <cell r="P157">
            <v>2.3663191439850659</v>
          </cell>
          <cell r="Q157">
            <v>1.2811382796192889</v>
          </cell>
          <cell r="R157">
            <v>2.1195099176144128</v>
          </cell>
          <cell r="S157">
            <v>0.65302016374426863</v>
          </cell>
          <cell r="T157">
            <v>2.3663191439850659</v>
          </cell>
          <cell r="U157">
            <v>1.2811382796192889</v>
          </cell>
          <cell r="V157">
            <v>2.6439333547175432E-2</v>
          </cell>
          <cell r="W157" t="str">
            <v/>
          </cell>
        </row>
        <row r="158">
          <cell r="A158">
            <v>26</v>
          </cell>
          <cell r="J158">
            <v>0.28230854494766483</v>
          </cell>
          <cell r="K158">
            <v>0.3538019883895645</v>
          </cell>
          <cell r="L158">
            <v>0.28230854494766483</v>
          </cell>
          <cell r="M158" t="str">
            <v/>
          </cell>
          <cell r="N158" t="str">
            <v/>
          </cell>
          <cell r="O158" t="str">
            <v/>
          </cell>
          <cell r="P158">
            <v>2.2620175405459464</v>
          </cell>
          <cell r="Q158">
            <v>1.2811382796192889</v>
          </cell>
          <cell r="R158">
            <v>2.0270871156452528</v>
          </cell>
          <cell r="S158">
            <v>0.66553062670547691</v>
          </cell>
          <cell r="T158">
            <v>2.2620175405459464</v>
          </cell>
          <cell r="U158">
            <v>1.2811382796192889</v>
          </cell>
          <cell r="V158">
            <v>2.6111070908469199E-2</v>
          </cell>
          <cell r="W158" t="str">
            <v/>
          </cell>
        </row>
        <row r="159">
          <cell r="A159">
            <v>27</v>
          </cell>
          <cell r="J159">
            <v>0.29066797282719126</v>
          </cell>
          <cell r="K159">
            <v>0.36448698972197929</v>
          </cell>
          <cell r="L159">
            <v>0.29066797282719126</v>
          </cell>
          <cell r="M159" t="str">
            <v/>
          </cell>
          <cell r="N159" t="str">
            <v/>
          </cell>
          <cell r="O159" t="str">
            <v/>
          </cell>
          <cell r="P159">
            <v>2.1600942973558488</v>
          </cell>
          <cell r="Q159">
            <v>1.2811382796192889</v>
          </cell>
          <cell r="R159">
            <v>1.9367509266644252</v>
          </cell>
          <cell r="S159">
            <v>0.67828243863848792</v>
          </cell>
          <cell r="T159">
            <v>2.1600942973558492</v>
          </cell>
          <cell r="U159">
            <v>1.2811382796192889</v>
          </cell>
          <cell r="V159">
            <v>2.5769746362635539E-2</v>
          </cell>
          <cell r="W159" t="str">
            <v/>
          </cell>
        </row>
        <row r="160">
          <cell r="A160">
            <v>28</v>
          </cell>
          <cell r="J160">
            <v>0.29933169937603954</v>
          </cell>
          <cell r="K160">
            <v>0.37550103637858195</v>
          </cell>
          <cell r="L160">
            <v>0.29933169937603954</v>
          </cell>
          <cell r="M160" t="str">
            <v/>
          </cell>
          <cell r="N160" t="str">
            <v/>
          </cell>
          <cell r="O160" t="str">
            <v/>
          </cell>
          <cell r="P160">
            <v>2.0604687341509007</v>
          </cell>
          <cell r="Q160">
            <v>1.2811382796192889</v>
          </cell>
          <cell r="R160">
            <v>1.8484350496789852</v>
          </cell>
          <cell r="S160">
            <v>0.69127942919358976</v>
          </cell>
          <cell r="T160">
            <v>2.0604687341509007</v>
          </cell>
          <cell r="U160">
            <v>1.2811382796192887</v>
          </cell>
          <cell r="V160">
            <v>2.541482224998573E-2</v>
          </cell>
          <cell r="W160" t="str">
            <v/>
          </cell>
        </row>
        <row r="161">
          <cell r="A161">
            <v>29</v>
          </cell>
          <cell r="J161">
            <v>0.30831676207349257</v>
          </cell>
          <cell r="K161">
            <v>0.38685716683552185</v>
          </cell>
          <cell r="L161">
            <v>0.30831676207349257</v>
          </cell>
          <cell r="M161" t="str">
            <v/>
          </cell>
          <cell r="N161" t="str">
            <v/>
          </cell>
          <cell r="O161" t="str">
            <v/>
          </cell>
          <cell r="P161">
            <v>1.9630628492399018</v>
          </cell>
          <cell r="Q161">
            <v>1.2811382796192889</v>
          </cell>
          <cell r="R161">
            <v>1.7620924667971036</v>
          </cell>
          <cell r="S161">
            <v>0.70452251907282526</v>
          </cell>
          <cell r="T161">
            <v>1.9630628492399018</v>
          </cell>
          <cell r="U161">
            <v>1.2811382796192889</v>
          </cell>
          <cell r="V161">
            <v>2.5045980933767999E-2</v>
          </cell>
          <cell r="W161" t="str">
            <v/>
          </cell>
        </row>
        <row r="162">
          <cell r="A162">
            <v>30</v>
          </cell>
          <cell r="J162">
            <v>0.31764155799149535</v>
          </cell>
          <cell r="K162">
            <v>0.39856913279205192</v>
          </cell>
          <cell r="L162">
            <v>0.31764155799149535</v>
          </cell>
          <cell r="M162" t="str">
            <v/>
          </cell>
          <cell r="N162" t="str">
            <v/>
          </cell>
          <cell r="O162" t="str">
            <v/>
          </cell>
          <cell r="P162">
            <v>1.8678015079002237</v>
          </cell>
          <cell r="Q162">
            <v>1.2811382796192889</v>
          </cell>
          <cell r="R162">
            <v>1.6776718703897111</v>
          </cell>
          <cell r="S162">
            <v>0.71801361131116592</v>
          </cell>
          <cell r="T162">
            <v>1.8678015079002237</v>
          </cell>
          <cell r="U162">
            <v>1.2811382796192889</v>
          </cell>
          <cell r="V162">
            <v>2.4662890257420869E-2</v>
          </cell>
          <cell r="W162" t="str">
            <v/>
          </cell>
        </row>
        <row r="163">
          <cell r="A163">
            <v>31</v>
          </cell>
          <cell r="J163">
            <v>0.32732601684583756</v>
          </cell>
          <cell r="K163">
            <v>0.41064934763392968</v>
          </cell>
          <cell r="L163">
            <v>0.32732601684583756</v>
          </cell>
          <cell r="M163" t="str">
            <v/>
          </cell>
          <cell r="N163" t="str">
            <v/>
          </cell>
          <cell r="O163" t="str">
            <v/>
          </cell>
          <cell r="P163">
            <v>1.7746119833101544</v>
          </cell>
          <cell r="Q163">
            <v>1.2811382796192889</v>
          </cell>
          <cell r="R163">
            <v>1.5950988108154922</v>
          </cell>
          <cell r="S163">
            <v>0.73175891232419821</v>
          </cell>
          <cell r="T163">
            <v>1.7746119833101544</v>
          </cell>
          <cell r="U163">
            <v>1.2811382796192889</v>
          </cell>
          <cell r="V163">
            <v>2.4264894827084944E-2</v>
          </cell>
          <cell r="W163" t="str">
            <v/>
          </cell>
        </row>
        <row r="164">
          <cell r="A164">
            <v>32</v>
          </cell>
          <cell r="J164">
            <v>0.33739179150347465</v>
          </cell>
          <cell r="K164">
            <v>0.42311139708979995</v>
          </cell>
          <cell r="L164">
            <v>0.33739179150347465</v>
          </cell>
          <cell r="M164" t="str">
            <v/>
          </cell>
          <cell r="N164" t="str">
            <v/>
          </cell>
          <cell r="O164" t="str">
            <v/>
          </cell>
          <cell r="P164">
            <v>1.6834236265125728</v>
          </cell>
          <cell r="Q164">
            <v>1.2811382796192889</v>
          </cell>
          <cell r="R164">
            <v>1.5143058931171609</v>
          </cell>
          <cell r="S164">
            <v>0.74576395400422169</v>
          </cell>
          <cell r="T164">
            <v>1.6834236265125728</v>
          </cell>
          <cell r="U164">
            <v>1.2811382796192889</v>
          </cell>
          <cell r="V164">
            <v>2.3851387114056523E-2</v>
          </cell>
          <cell r="W164" t="str">
            <v/>
          </cell>
        </row>
        <row r="165">
          <cell r="A165">
            <v>33</v>
          </cell>
          <cell r="J165">
            <v>0.34786243928115274</v>
          </cell>
          <cell r="K165">
            <v>0.43596940504698822</v>
          </cell>
          <cell r="L165">
            <v>0.34786243928115274</v>
          </cell>
          <cell r="M165" t="str">
            <v/>
          </cell>
          <cell r="N165" t="str">
            <v/>
          </cell>
          <cell r="O165" t="str">
            <v/>
          </cell>
          <cell r="P165">
            <v>1.5941678793008363</v>
          </cell>
          <cell r="Q165">
            <v>1.2811382796192889</v>
          </cell>
          <cell r="R165">
            <v>1.4352252910489465</v>
          </cell>
          <cell r="S165">
            <v>0.76003484690143919</v>
          </cell>
          <cell r="T165">
            <v>1.5941678793008363</v>
          </cell>
          <cell r="U165">
            <v>1.2811382796192889</v>
          </cell>
          <cell r="V165">
            <v>2.342170641751332E-2</v>
          </cell>
          <cell r="W165" t="str">
            <v/>
          </cell>
        </row>
        <row r="166">
          <cell r="A166">
            <v>34</v>
          </cell>
          <cell r="J166">
            <v>0.35876364875866074</v>
          </cell>
          <cell r="K166">
            <v>0.449237528219253</v>
          </cell>
          <cell r="L166">
            <v>0.35876364875866074</v>
          </cell>
          <cell r="M166" t="str">
            <v/>
          </cell>
          <cell r="N166" t="str">
            <v/>
          </cell>
          <cell r="O166" t="str">
            <v/>
          </cell>
          <cell r="P166">
            <v>1.5067781000818194</v>
          </cell>
          <cell r="Q166">
            <v>1.2811382796192889</v>
          </cell>
          <cell r="R166">
            <v>1.3577856302524429</v>
          </cell>
          <cell r="S166">
            <v>0.77457882928323074</v>
          </cell>
          <cell r="T166">
            <v>1.5067781000818194</v>
          </cell>
          <cell r="U166">
            <v>1.2811382796192889</v>
          </cell>
          <cell r="V166">
            <v>2.2975062767108999E-2</v>
          </cell>
          <cell r="W166" t="str">
            <v/>
          </cell>
        </row>
        <row r="167">
          <cell r="A167">
            <v>35</v>
          </cell>
          <cell r="J167">
            <v>0.3701234775729027</v>
          </cell>
          <cell r="K167">
            <v>0.4629317692524858</v>
          </cell>
          <cell r="L167">
            <v>0.3701234775729027</v>
          </cell>
          <cell r="M167" t="str">
            <v/>
          </cell>
          <cell r="N167" t="str">
            <v/>
          </cell>
          <cell r="O167" t="str">
            <v/>
          </cell>
          <cell r="P167">
            <v>1.4211895611559149</v>
          </cell>
          <cell r="Q167">
            <v>1.2811382796192889</v>
          </cell>
          <cell r="R167">
            <v>1.2819246317774826</v>
          </cell>
          <cell r="S167">
            <v>0.78940215020041149</v>
          </cell>
          <cell r="T167">
            <v>1.4211895611559149</v>
          </cell>
          <cell r="U167">
            <v>1.2811382796192889</v>
          </cell>
          <cell r="V167">
            <v>2.2510777049572293E-2</v>
          </cell>
          <cell r="W167" t="str">
            <v/>
          </cell>
        </row>
        <row r="168">
          <cell r="A168">
            <v>36</v>
          </cell>
          <cell r="J168">
            <v>0.3819726065402187</v>
          </cell>
          <cell r="K168">
            <v>0.47706914421561919</v>
          </cell>
          <cell r="L168">
            <v>0.3819726065402187</v>
          </cell>
          <cell r="M168" t="str">
            <v/>
          </cell>
          <cell r="N168" t="str">
            <v/>
          </cell>
          <cell r="O168" t="str">
            <v/>
          </cell>
          <cell r="P168">
            <v>1.3373395443843517</v>
          </cell>
          <cell r="Q168">
            <v>1.2811382796192889</v>
          </cell>
          <cell r="R168">
            <v>1.207580917443263</v>
          </cell>
          <cell r="S168">
            <v>0.80451144154591558</v>
          </cell>
          <cell r="T168">
            <v>1.3373395443843517</v>
          </cell>
          <cell r="U168">
            <v>1.2811382796192889</v>
          </cell>
          <cell r="V168">
            <v>2.2028154350055128E-2</v>
          </cell>
          <cell r="W168" t="str">
            <v/>
          </cell>
        </row>
        <row r="169">
          <cell r="A169">
            <v>37</v>
          </cell>
          <cell r="J169">
            <v>0.39434466267646912</v>
          </cell>
          <cell r="K169">
            <v>0.49166680422454356</v>
          </cell>
          <cell r="L169">
            <v>0.39434466267646912</v>
          </cell>
          <cell r="M169" t="str">
            <v/>
          </cell>
          <cell r="N169" t="str">
            <v/>
          </cell>
          <cell r="O169" t="str">
            <v/>
          </cell>
          <cell r="P169">
            <v>1.2551671929689405</v>
          </cell>
          <cell r="Q169">
            <v>1.2811382796192889</v>
          </cell>
          <cell r="R169">
            <v>1.1346893072036337</v>
          </cell>
          <cell r="S169">
            <v>0.81991451044774233</v>
          </cell>
          <cell r="T169">
            <v>1.2551671929689405</v>
          </cell>
          <cell r="U169">
            <v>1.2811382796192889</v>
          </cell>
          <cell r="V169">
            <v>2.1526355764820208E-2</v>
          </cell>
          <cell r="W169" t="str">
            <v/>
          </cell>
        </row>
        <row r="170">
          <cell r="A170">
            <v>38</v>
          </cell>
          <cell r="J170">
            <v>0.40727659554270712</v>
          </cell>
          <cell r="K170">
            <v>0.5067427396057268</v>
          </cell>
          <cell r="L170">
            <v>0.40727659554270712</v>
          </cell>
          <cell r="M170" t="str">
            <v/>
          </cell>
          <cell r="N170" t="str">
            <v/>
          </cell>
          <cell r="O170" t="str">
            <v/>
          </cell>
          <cell r="P170">
            <v>1.1746133585328919</v>
          </cell>
          <cell r="Q170">
            <v>1.2811382796192889</v>
          </cell>
          <cell r="R170">
            <v>1.0631854847074436</v>
          </cell>
          <cell r="S170">
            <v>0.83561958277268955</v>
          </cell>
          <cell r="T170">
            <v>1.1746133585328919</v>
          </cell>
          <cell r="U170">
            <v>1.2811382796192889</v>
          </cell>
          <cell r="V170">
            <v>2.1004479385228089E-2</v>
          </cell>
          <cell r="W170" t="str">
            <v/>
          </cell>
        </row>
        <row r="171">
          <cell r="A171">
            <v>39</v>
          </cell>
          <cell r="J171">
            <v>0.42080917042110294</v>
          </cell>
          <cell r="K171">
            <v>0.52231151321795022</v>
          </cell>
          <cell r="L171">
            <v>0.42080917042110294</v>
          </cell>
          <cell r="M171" t="str">
            <v/>
          </cell>
          <cell r="N171" t="str">
            <v/>
          </cell>
          <cell r="O171" t="str">
            <v/>
          </cell>
          <cell r="P171">
            <v>1.0956201134888057</v>
          </cell>
          <cell r="Q171">
            <v>1.2811382796192889</v>
          </cell>
          <cell r="R171">
            <v>0.99299032727883041</v>
          </cell>
          <cell r="S171">
            <v>0.85163774558961736</v>
          </cell>
          <cell r="T171">
            <v>1.0956201134888057</v>
          </cell>
          <cell r="U171">
            <v>1.2811382796192889</v>
          </cell>
          <cell r="V171">
            <v>2.046103703677904E-2</v>
          </cell>
          <cell r="W171" t="str">
            <v/>
          </cell>
        </row>
        <row r="172">
          <cell r="A172">
            <v>40</v>
          </cell>
          <cell r="J172">
            <v>0.4349875089894773</v>
          </cell>
          <cell r="K172">
            <v>0.53839056329644597</v>
          </cell>
          <cell r="L172">
            <v>0.4349875089894773</v>
          </cell>
          <cell r="M172" t="str">
            <v/>
          </cell>
          <cell r="N172" t="str">
            <v/>
          </cell>
          <cell r="O172" t="str">
            <v/>
          </cell>
          <cell r="P172">
            <v>1.0181305255689315</v>
          </cell>
          <cell r="Q172">
            <v>1.2811382796192889</v>
          </cell>
          <cell r="R172">
            <v>0.92403831835395855</v>
          </cell>
          <cell r="S172">
            <v>0.86797842532559621</v>
          </cell>
          <cell r="T172">
            <v>1.0181305255689315</v>
          </cell>
          <cell r="U172">
            <v>1.2811382796192889</v>
          </cell>
          <cell r="V172">
            <v>1.9894717841680176E-2</v>
          </cell>
          <cell r="W172" t="str">
            <v/>
          </cell>
        </row>
        <row r="173">
          <cell r="A173">
            <v>41</v>
          </cell>
          <cell r="J173">
            <v>0.44986167588463888</v>
          </cell>
          <cell r="K173">
            <v>0.55499579763890894</v>
          </cell>
          <cell r="L173">
            <v>0.44986167588463888</v>
          </cell>
          <cell r="M173" t="str">
            <v/>
          </cell>
          <cell r="N173" t="str">
            <v/>
          </cell>
          <cell r="O173" t="str">
            <v/>
          </cell>
          <cell r="P173">
            <v>0.94208869982226762</v>
          </cell>
          <cell r="Q173">
            <v>1.2811382796192889</v>
          </cell>
          <cell r="R173">
            <v>0.85626026142156064</v>
          </cell>
          <cell r="S173">
            <v>0.88465199291827679</v>
          </cell>
          <cell r="T173">
            <v>0.94208869982226762</v>
          </cell>
          <cell r="U173">
            <v>1.2811382796192889</v>
          </cell>
          <cell r="V173">
            <v>1.93038451141118E-2</v>
          </cell>
          <cell r="W173" t="str">
            <v/>
          </cell>
        </row>
        <row r="174">
          <cell r="A174">
            <v>42</v>
          </cell>
          <cell r="J174">
            <v>0.46548743030581508</v>
          </cell>
          <cell r="K174">
            <v>0.57214249240787862</v>
          </cell>
          <cell r="L174">
            <v>0.46548743030581508</v>
          </cell>
          <cell r="M174" t="str">
            <v/>
          </cell>
          <cell r="N174" t="str">
            <v/>
          </cell>
          <cell r="O174" t="str">
            <v/>
          </cell>
          <cell r="P174">
            <v>0.86743949123955544</v>
          </cell>
          <cell r="Q174">
            <v>1.2811382796192889</v>
          </cell>
          <cell r="R174">
            <v>0.78958873013937958</v>
          </cell>
          <cell r="S174">
            <v>0.90166883124289676</v>
          </cell>
          <cell r="T174">
            <v>0.86743949123955544</v>
          </cell>
          <cell r="U174">
            <v>1.2811382796192889</v>
          </cell>
          <cell r="V174">
            <v>1.868647777662414E-2</v>
          </cell>
          <cell r="W174" t="str">
            <v/>
          </cell>
        </row>
        <row r="175">
          <cell r="A175">
            <v>43</v>
          </cell>
          <cell r="J175">
            <v>0.48192717839307897</v>
          </cell>
          <cell r="K175">
            <v>0.58984007712743736</v>
          </cell>
          <cell r="L175">
            <v>0.48192717839307897</v>
          </cell>
          <cell r="M175" t="str">
            <v/>
          </cell>
          <cell r="N175" t="str">
            <v/>
          </cell>
          <cell r="O175" t="str">
            <v/>
          </cell>
          <cell r="P175">
            <v>0.79412796549195563</v>
          </cell>
          <cell r="Q175">
            <v>1.2811382796192889</v>
          </cell>
          <cell r="R175">
            <v>0.72394812619005511</v>
          </cell>
          <cell r="S175">
            <v>0.91904041211468024</v>
          </cell>
          <cell r="T175">
            <v>0.79412796549195586</v>
          </cell>
          <cell r="U175">
            <v>1.2811382796192889</v>
          </cell>
          <cell r="V175">
            <v>1.8039821440767986E-2</v>
          </cell>
          <cell r="W175" t="str">
            <v/>
          </cell>
        </row>
        <row r="176">
          <cell r="A176">
            <v>44</v>
          </cell>
          <cell r="J176">
            <v>0.49925081131688009</v>
          </cell>
          <cell r="K176">
            <v>0.60811376552308372</v>
          </cell>
          <cell r="L176">
            <v>0.49925081131688009</v>
          </cell>
          <cell r="M176" t="str">
            <v/>
          </cell>
          <cell r="N176" t="str">
            <v/>
          </cell>
          <cell r="O176" t="str">
            <v/>
          </cell>
          <cell r="P176">
            <v>0.72210013487391755</v>
          </cell>
          <cell r="Q176">
            <v>1.2811382796192889</v>
          </cell>
          <cell r="R176">
            <v>0.65930145751525482</v>
          </cell>
          <cell r="S176">
            <v>0.93677359883892253</v>
          </cell>
          <cell r="T176">
            <v>0.72210013487391755</v>
          </cell>
          <cell r="U176">
            <v>1.2811382796192889</v>
          </cell>
          <cell r="V176">
            <v>1.7362631599651568E-2</v>
          </cell>
          <cell r="W176" t="str">
            <v/>
          </cell>
        </row>
        <row r="177">
          <cell r="A177">
            <v>45</v>
          </cell>
          <cell r="J177">
            <v>0.51753676724026898</v>
          </cell>
          <cell r="K177">
            <v>0.62697747752162947</v>
          </cell>
          <cell r="L177">
            <v>0.51753676724026898</v>
          </cell>
          <cell r="M177" t="str">
            <v/>
          </cell>
          <cell r="N177" t="str">
            <v/>
          </cell>
          <cell r="O177" t="str">
            <v/>
          </cell>
          <cell r="P177">
            <v>0.65130326405051953</v>
          </cell>
          <cell r="Q177">
            <v>1.2811382796192889</v>
          </cell>
          <cell r="R177">
            <v>0.59558861053451384</v>
          </cell>
          <cell r="S177">
            <v>0.95487813032834723</v>
          </cell>
          <cell r="T177">
            <v>0.65130326405051953</v>
          </cell>
          <cell r="U177">
            <v>1.2811382796192889</v>
          </cell>
          <cell r="V177">
            <v>1.6652169770678297E-2</v>
          </cell>
          <cell r="W177" t="str">
            <v/>
          </cell>
        </row>
        <row r="178">
          <cell r="A178">
            <v>46</v>
          </cell>
          <cell r="J178">
            <v>0.53687368714129136</v>
          </cell>
          <cell r="K178">
            <v>0.64644135524856927</v>
          </cell>
          <cell r="L178">
            <v>0.53687368714129136</v>
          </cell>
          <cell r="M178" t="str">
            <v/>
          </cell>
          <cell r="N178" t="str">
            <v/>
          </cell>
          <cell r="O178" t="str">
            <v/>
          </cell>
          <cell r="P178">
            <v>0.5816847201031109</v>
          </cell>
          <cell r="Q178">
            <v>1.2811382796192889</v>
          </cell>
          <cell r="R178">
            <v>0.53274982710061369</v>
          </cell>
          <cell r="S178">
            <v>0.97336329589325943</v>
          </cell>
          <cell r="T178">
            <v>0.5816847201031109</v>
          </cell>
          <cell r="U178">
            <v>1.2811382796192889</v>
          </cell>
          <cell r="V178">
            <v>1.5905046341599498E-2</v>
          </cell>
          <cell r="W178" t="str">
            <v/>
          </cell>
        </row>
        <row r="179">
          <cell r="A179">
            <v>47</v>
          </cell>
          <cell r="J179">
            <v>0.55736213244631116</v>
          </cell>
          <cell r="K179">
            <v>0.66651754807433916</v>
          </cell>
          <cell r="L179">
            <v>0.55736213244631116</v>
          </cell>
          <cell r="M179" t="str">
            <v/>
          </cell>
          <cell r="N179" t="str">
            <v/>
          </cell>
          <cell r="O179" t="str">
            <v/>
          </cell>
          <cell r="P179">
            <v>0.51319194363812382</v>
          </cell>
          <cell r="Q179">
            <v>1.2811382796192889</v>
          </cell>
          <cell r="R179">
            <v>0.47073501972267051</v>
          </cell>
          <cell r="S179">
            <v>0.99223705234924631</v>
          </cell>
          <cell r="T179">
            <v>0.51319194363812382</v>
          </cell>
          <cell r="U179">
            <v>1.2811382796192889</v>
          </cell>
          <cell r="V179">
            <v>1.5117822108471827E-2</v>
          </cell>
          <cell r="W179" t="str">
            <v/>
          </cell>
        </row>
        <row r="180">
          <cell r="A180">
            <v>48</v>
          </cell>
          <cell r="J180">
            <v>0.57911631360284266</v>
          </cell>
          <cell r="K180">
            <v>0.68723226102600887</v>
          </cell>
          <cell r="L180">
            <v>0.57911631360284266</v>
          </cell>
          <cell r="M180" t="str">
            <v/>
          </cell>
          <cell r="N180" t="str">
            <v/>
          </cell>
          <cell r="O180" t="str">
            <v/>
          </cell>
          <cell r="P180">
            <v>0.44577345244594707</v>
          </cell>
          <cell r="Q180">
            <v>1.2811382796192889</v>
          </cell>
          <cell r="R180">
            <v>0.40951192805987219</v>
          </cell>
          <cell r="S180">
            <v>1.0115065707825837</v>
          </cell>
          <cell r="T180">
            <v>0.44577345244594713</v>
          </cell>
          <cell r="U180">
            <v>1.2811382796192889</v>
          </cell>
          <cell r="V180">
            <v>1.4288193128141075E-2</v>
          </cell>
          <cell r="W180" t="str">
            <v/>
          </cell>
        </row>
        <row r="181">
          <cell r="A181">
            <v>49</v>
          </cell>
          <cell r="J181">
            <v>0.60226647187321358</v>
          </cell>
          <cell r="K181">
            <v>0.708597602916751</v>
          </cell>
          <cell r="L181">
            <v>0.60226647187321358</v>
          </cell>
          <cell r="M181" t="str">
            <v/>
          </cell>
          <cell r="N181" t="str">
            <v/>
          </cell>
          <cell r="O181" t="str">
            <v/>
          </cell>
          <cell r="P181">
            <v>0.3793788093557301</v>
          </cell>
          <cell r="Q181">
            <v>1.2811382796192889</v>
          </cell>
          <cell r="R181">
            <v>0.34903426571282781</v>
          </cell>
          <cell r="S181">
            <v>1.0311792930098145</v>
          </cell>
          <cell r="T181">
            <v>0.3793788093557301</v>
          </cell>
          <cell r="U181">
            <v>1.2811382796192889</v>
          </cell>
          <cell r="V181">
            <v>1.3412053340309328E-2</v>
          </cell>
          <cell r="W181" t="str">
            <v/>
          </cell>
        </row>
        <row r="182">
          <cell r="A182">
            <v>50</v>
          </cell>
          <cell r="J182">
            <v>0.62696135347206494</v>
          </cell>
          <cell r="K182">
            <v>0.73066421194615061</v>
          </cell>
          <cell r="L182">
            <v>0.62696135347206494</v>
          </cell>
          <cell r="M182" t="str">
            <v/>
          </cell>
          <cell r="N182" t="str">
            <v/>
          </cell>
          <cell r="O182" t="str">
            <v/>
          </cell>
          <cell r="P182">
            <v>0.31395968254739953</v>
          </cell>
          <cell r="Q182">
            <v>1.2811382796192889</v>
          </cell>
          <cell r="R182">
            <v>0.28928302197261407</v>
          </cell>
          <cell r="S182">
            <v>1.0512648109823906</v>
          </cell>
          <cell r="T182">
            <v>0.31395968254739953</v>
          </cell>
          <cell r="U182">
            <v>1.2811382796192889</v>
          </cell>
          <cell r="V182">
            <v>1.2488718825808284E-2</v>
          </cell>
          <cell r="W182" t="str">
            <v/>
          </cell>
        </row>
        <row r="183">
          <cell r="A183">
            <v>51</v>
          </cell>
          <cell r="J183">
            <v>0.65337105736153889</v>
          </cell>
          <cell r="K183">
            <v>0.75347376784472442</v>
          </cell>
          <cell r="L183">
            <v>0.65337105736153889</v>
          </cell>
          <cell r="M183" t="str">
            <v/>
          </cell>
          <cell r="N183" t="str">
            <v/>
          </cell>
          <cell r="O183" t="str">
            <v/>
          </cell>
          <cell r="P183">
            <v>0.24947103111792185</v>
          </cell>
          <cell r="Q183">
            <v>1.2811382796192889</v>
          </cell>
          <cell r="R183">
            <v>0.23022202714714987</v>
          </cell>
          <cell r="S183">
            <v>1.0717745887172581</v>
          </cell>
          <cell r="T183">
            <v>0.2494710311179219</v>
          </cell>
          <cell r="U183">
            <v>1.2811382796192889</v>
          </cell>
          <cell r="V183">
            <v>1.1516131532760232E-2</v>
          </cell>
          <cell r="W183" t="str">
            <v/>
          </cell>
        </row>
        <row r="184">
          <cell r="A184">
            <v>52</v>
          </cell>
          <cell r="J184">
            <v>0.68169128352785191</v>
          </cell>
          <cell r="K184">
            <v>0.77707344992532645</v>
          </cell>
          <cell r="L184">
            <v>0.68169128352785191</v>
          </cell>
          <cell r="M184" t="str">
            <v/>
          </cell>
          <cell r="N184" t="str">
            <v/>
          </cell>
          <cell r="O184" t="str">
            <v/>
          </cell>
          <cell r="P184">
            <v>0.18587031495957881</v>
          </cell>
          <cell r="Q184">
            <v>1.2811382796192889</v>
          </cell>
          <cell r="R184">
            <v>0.17181099145842613</v>
          </cell>
          <cell r="S184">
            <v>1.0927222511946029</v>
          </cell>
          <cell r="T184">
            <v>0.18587031495957884</v>
          </cell>
          <cell r="U184">
            <v>1.2811382796192889</v>
          </cell>
          <cell r="V184">
            <v>1.0492239173124415E-2</v>
          </cell>
          <cell r="W184" t="str">
            <v/>
          </cell>
        </row>
        <row r="185">
          <cell r="A185">
            <v>53</v>
          </cell>
          <cell r="J185">
            <v>0.71214852569270404</v>
          </cell>
          <cell r="K185">
            <v>0.80150349505136875</v>
          </cell>
          <cell r="L185">
            <v>0.71214852569270404</v>
          </cell>
          <cell r="M185" t="str">
            <v/>
          </cell>
          <cell r="N185" t="str">
            <v/>
          </cell>
          <cell r="O185" t="str">
            <v/>
          </cell>
          <cell r="P185">
            <v>0.1231169779399801</v>
          </cell>
          <cell r="Q185">
            <v>1.2811382796192889</v>
          </cell>
          <cell r="R185">
            <v>0.11400240961173098</v>
          </cell>
          <cell r="S185">
            <v>1.1141216832991971</v>
          </cell>
          <cell r="T185">
            <v>0.12311697793998011</v>
          </cell>
          <cell r="U185">
            <v>1.2811382796192889</v>
          </cell>
          <cell r="V185">
            <v>9.4137772381596985E-3</v>
          </cell>
          <cell r="W185" t="str">
            <v/>
          </cell>
        </row>
        <row r="186">
          <cell r="A186">
            <v>54</v>
          </cell>
          <cell r="J186">
            <v>0.74500630898501052</v>
          </cell>
          <cell r="K186">
            <v>0.82682224320723774</v>
          </cell>
          <cell r="L186">
            <v>0.74500630898501052</v>
          </cell>
          <cell r="M186" t="str">
            <v/>
          </cell>
          <cell r="N186" t="str">
            <v/>
          </cell>
          <cell r="O186" t="str">
            <v/>
          </cell>
          <cell r="P186">
            <v>6.1172455900733204E-2</v>
          </cell>
          <cell r="Q186">
            <v>1.2811382796192889</v>
          </cell>
          <cell r="R186">
            <v>5.674951664531383E-2</v>
          </cell>
          <cell r="S186">
            <v>1.1359905979435265</v>
          </cell>
          <cell r="T186">
            <v>6.1172455900733204E-2</v>
          </cell>
          <cell r="U186">
            <v>1.2811382796192889</v>
          </cell>
          <cell r="V186">
            <v>8.2785606514394153E-3</v>
          </cell>
          <cell r="W186" t="str">
            <v/>
          </cell>
        </row>
        <row r="187">
          <cell r="A187">
            <v>55</v>
          </cell>
          <cell r="J187">
            <v>0.78057311889825931</v>
          </cell>
          <cell r="K187">
            <v>0.85307539563095203</v>
          </cell>
          <cell r="L187">
            <v>0.78057311889825931</v>
          </cell>
          <cell r="M187" t="str">
            <v/>
          </cell>
          <cell r="N187" t="str">
            <v/>
          </cell>
          <cell r="O187" t="str">
            <v/>
          </cell>
          <cell r="P187" t="str">
            <v/>
          </cell>
          <cell r="Q187" t="str">
            <v/>
          </cell>
          <cell r="R187">
            <v>0</v>
          </cell>
          <cell r="S187">
            <v>1.1583453675902111</v>
          </cell>
          <cell r="T187" t="str">
            <v/>
          </cell>
          <cell r="U187">
            <v>1.2811382796192889</v>
          </cell>
          <cell r="V187">
            <v>7.0825844232639129E-3</v>
          </cell>
          <cell r="W187" t="str">
            <v/>
          </cell>
        </row>
        <row r="188">
          <cell r="A188">
            <v>56</v>
          </cell>
          <cell r="J188">
            <v>0.81881716010381</v>
          </cell>
          <cell r="K188">
            <v>0.88030730898619747</v>
          </cell>
          <cell r="L188">
            <v>0.81881716010381</v>
          </cell>
          <cell r="M188" t="str">
            <v/>
          </cell>
          <cell r="N188" t="str">
            <v/>
          </cell>
          <cell r="O188" t="str">
            <v/>
          </cell>
          <cell r="P188" t="str">
            <v/>
          </cell>
          <cell r="Q188" t="str">
            <v/>
          </cell>
          <cell r="R188" t="str">
            <v/>
          </cell>
          <cell r="S188" t="str">
            <v/>
          </cell>
          <cell r="T188" t="str">
            <v/>
          </cell>
          <cell r="U188" t="str">
            <v/>
          </cell>
          <cell r="V188">
            <v>5.821005876534671E-3</v>
          </cell>
          <cell r="W188" t="str">
            <v/>
          </cell>
        </row>
        <row r="189">
          <cell r="A189">
            <v>57</v>
          </cell>
          <cell r="J189">
            <v>0.85962943874710185</v>
          </cell>
          <cell r="K189">
            <v>0.90856429583928477</v>
          </cell>
          <cell r="L189">
            <v>0.85962943874710185</v>
          </cell>
          <cell r="M189" t="str">
            <v/>
          </cell>
          <cell r="N189" t="str">
            <v/>
          </cell>
          <cell r="O189" t="str">
            <v/>
          </cell>
          <cell r="P189" t="str">
            <v/>
          </cell>
          <cell r="Q189" t="str">
            <v/>
          </cell>
          <cell r="R189" t="str">
            <v/>
          </cell>
          <cell r="S189" t="str">
            <v/>
          </cell>
          <cell r="T189" t="str">
            <v/>
          </cell>
          <cell r="U189" t="str">
            <v/>
          </cell>
          <cell r="V189">
            <v>4.4883667445937024E-3</v>
          </cell>
          <cell r="W189" t="str">
            <v/>
          </cell>
        </row>
        <row r="190">
          <cell r="A190">
            <v>58</v>
          </cell>
          <cell r="J190">
            <v>0.9032473682430191</v>
          </cell>
          <cell r="K190">
            <v>0.9378967731709662</v>
          </cell>
          <cell r="L190">
            <v>0.9032473682430191</v>
          </cell>
          <cell r="M190" t="str">
            <v/>
          </cell>
          <cell r="N190" t="str">
            <v/>
          </cell>
          <cell r="O190" t="str">
            <v/>
          </cell>
          <cell r="P190" t="str">
            <v/>
          </cell>
          <cell r="Q190" t="str">
            <v/>
          </cell>
          <cell r="R190" t="str">
            <v/>
          </cell>
          <cell r="S190" t="str">
            <v/>
          </cell>
          <cell r="T190" t="str">
            <v/>
          </cell>
          <cell r="U190" t="str">
            <v/>
          </cell>
          <cell r="V190">
            <v>3.0786815963995493E-3</v>
          </cell>
          <cell r="W190" t="str">
            <v/>
          </cell>
        </row>
        <row r="191">
          <cell r="A191">
            <v>59</v>
          </cell>
          <cell r="J191">
            <v>0.94993744405648828</v>
          </cell>
          <cell r="K191">
            <v>0.96835905991430382</v>
          </cell>
          <cell r="L191">
            <v>0.94993744405648828</v>
          </cell>
          <cell r="M191" t="str">
            <v/>
          </cell>
          <cell r="N191" t="str">
            <v/>
          </cell>
          <cell r="O191" t="str">
            <v/>
          </cell>
          <cell r="P191" t="str">
            <v/>
          </cell>
          <cell r="Q191" t="str">
            <v/>
          </cell>
          <cell r="R191" t="str">
            <v/>
          </cell>
          <cell r="S191" t="str">
            <v/>
          </cell>
          <cell r="T191" t="str">
            <v/>
          </cell>
          <cell r="U191" t="str">
            <v/>
          </cell>
          <cell r="V191">
            <v>1.5853058302360474E-3</v>
          </cell>
          <cell r="W191" t="str">
            <v/>
          </cell>
        </row>
        <row r="192">
          <cell r="A192">
            <v>60</v>
          </cell>
          <cell r="J192">
            <v>1</v>
          </cell>
          <cell r="K192">
            <v>1</v>
          </cell>
          <cell r="L192">
            <v>1</v>
          </cell>
          <cell r="M192">
            <v>1</v>
          </cell>
          <cell r="N192">
            <v>1</v>
          </cell>
          <cell r="O192">
            <v>1</v>
          </cell>
          <cell r="P192" t="str">
            <v/>
          </cell>
          <cell r="Q192" t="str">
            <v/>
          </cell>
          <cell r="R192" t="str">
            <v/>
          </cell>
          <cell r="S192" t="str">
            <v/>
          </cell>
          <cell r="T192" t="str">
            <v/>
          </cell>
          <cell r="U192" t="str">
            <v/>
          </cell>
          <cell r="V192">
            <v>0</v>
          </cell>
          <cell r="W192" t="str">
            <v/>
          </cell>
        </row>
        <row r="193">
          <cell r="A193">
            <v>61</v>
          </cell>
          <cell r="J193" t="str">
            <v/>
          </cell>
          <cell r="K193" t="str">
            <v/>
          </cell>
          <cell r="L193" t="str">
            <v/>
          </cell>
          <cell r="M193">
            <v>1.0537744705877468</v>
          </cell>
          <cell r="N193">
            <v>1.0328896101716685</v>
          </cell>
          <cell r="O193">
            <v>1.0537744705877468</v>
          </cell>
          <cell r="P193" t="str">
            <v/>
          </cell>
          <cell r="Q193" t="str">
            <v/>
          </cell>
          <cell r="R193" t="str">
            <v/>
          </cell>
          <cell r="S193" t="str">
            <v/>
          </cell>
          <cell r="T193" t="str">
            <v/>
          </cell>
          <cell r="U193" t="str">
            <v/>
          </cell>
          <cell r="V193" t="str">
            <v/>
          </cell>
          <cell r="W193">
            <v>2.7409738156285407E-3</v>
          </cell>
        </row>
        <row r="194">
          <cell r="A194">
            <v>62</v>
          </cell>
          <cell r="J194" t="str">
            <v/>
          </cell>
          <cell r="K194" t="str">
            <v/>
          </cell>
          <cell r="L194" t="str">
            <v/>
          </cell>
          <cell r="M194">
            <v>1.1116450444182586</v>
          </cell>
          <cell r="N194">
            <v>1.0671137676522271</v>
          </cell>
          <cell r="O194">
            <v>1.1116450444182586</v>
          </cell>
          <cell r="P194" t="str">
            <v/>
          </cell>
          <cell r="Q194" t="str">
            <v/>
          </cell>
          <cell r="R194" t="str">
            <v/>
          </cell>
          <cell r="S194" t="str">
            <v/>
          </cell>
          <cell r="T194" t="str">
            <v/>
          </cell>
          <cell r="U194" t="str">
            <v/>
          </cell>
          <cell r="V194" t="str">
            <v/>
          </cell>
          <cell r="W194">
            <v>5.6776404771954831E-3</v>
          </cell>
        </row>
        <row r="195">
          <cell r="A195">
            <v>63</v>
          </cell>
          <cell r="J195" t="str">
            <v/>
          </cell>
          <cell r="K195" t="str">
            <v/>
          </cell>
          <cell r="L195" t="str">
            <v/>
          </cell>
          <cell r="M195">
            <v>1.1740474318128369</v>
          </cell>
          <cell r="N195">
            <v>1.102778465941765</v>
          </cell>
          <cell r="O195">
            <v>1.1740474318128369</v>
          </cell>
          <cell r="P195" t="str">
            <v/>
          </cell>
          <cell r="Q195" t="str">
            <v/>
          </cell>
          <cell r="R195" t="str">
            <v/>
          </cell>
          <cell r="S195" t="str">
            <v/>
          </cell>
          <cell r="T195" t="str">
            <v/>
          </cell>
          <cell r="U195" t="str">
            <v/>
          </cell>
          <cell r="V195" t="str">
            <v/>
          </cell>
          <cell r="W195">
            <v>8.828568830968414E-3</v>
          </cell>
        </row>
        <row r="196">
          <cell r="A196">
            <v>64</v>
          </cell>
          <cell r="J196" t="str">
            <v/>
          </cell>
          <cell r="K196" t="str">
            <v/>
          </cell>
          <cell r="L196" t="str">
            <v/>
          </cell>
          <cell r="M196">
            <v>1.2414769461130324</v>
          </cell>
          <cell r="N196">
            <v>1.1400058221026954</v>
          </cell>
          <cell r="O196">
            <v>1.2414769461130324</v>
          </cell>
          <cell r="P196" t="str">
            <v/>
          </cell>
          <cell r="Q196" t="str">
            <v/>
          </cell>
          <cell r="R196" t="str">
            <v/>
          </cell>
          <cell r="S196" t="str">
            <v/>
          </cell>
          <cell r="T196" t="str">
            <v/>
          </cell>
          <cell r="U196" t="str">
            <v/>
          </cell>
          <cell r="V196" t="str">
            <v/>
          </cell>
          <cell r="W196">
            <v>1.2214539358085769E-2</v>
          </cell>
        </row>
        <row r="197">
          <cell r="A197">
            <v>65</v>
          </cell>
          <cell r="J197" t="str">
            <v/>
          </cell>
          <cell r="K197" t="str">
            <v/>
          </cell>
          <cell r="L197" t="str">
            <v/>
          </cell>
          <cell r="M197">
            <v>1.3144972912013604</v>
          </cell>
          <cell r="N197">
            <v>1.1789668890793226</v>
          </cell>
          <cell r="O197">
            <v>1.3144972912013604</v>
          </cell>
          <cell r="P197" t="str">
            <v/>
          </cell>
          <cell r="Q197" t="str">
            <v/>
          </cell>
          <cell r="R197" t="str">
            <v/>
          </cell>
          <cell r="S197" t="str">
            <v/>
          </cell>
          <cell r="T197" t="str">
            <v/>
          </cell>
          <cell r="U197" t="str">
            <v/>
          </cell>
          <cell r="V197" t="str">
            <v/>
          </cell>
          <cell r="W197">
            <v>1.5857298384948586E-2</v>
          </cell>
        </row>
        <row r="198">
          <cell r="A198">
            <v>66</v>
          </cell>
          <cell r="J198" t="str">
            <v/>
          </cell>
          <cell r="K198" t="str">
            <v/>
          </cell>
          <cell r="L198" t="str">
            <v/>
          </cell>
          <cell r="M198">
            <v>1.3937522056842737</v>
          </cell>
          <cell r="N198">
            <v>1.2198122715477786</v>
          </cell>
          <cell r="O198">
            <v>1.3937522056842737</v>
          </cell>
          <cell r="P198" t="str">
            <v/>
          </cell>
          <cell r="Q198" t="str">
            <v/>
          </cell>
          <cell r="R198" t="str">
            <v/>
          </cell>
          <cell r="S198" t="str">
            <v/>
          </cell>
          <cell r="T198" t="str">
            <v/>
          </cell>
          <cell r="U198" t="str">
            <v/>
          </cell>
          <cell r="V198" t="str">
            <v/>
          </cell>
          <cell r="W198">
            <v>1.9783582682075234E-2</v>
          </cell>
        </row>
        <row r="199">
          <cell r="A199">
            <v>67</v>
          </cell>
          <cell r="J199" t="str">
            <v/>
          </cell>
          <cell r="K199" t="str">
            <v/>
          </cell>
          <cell r="L199" t="str">
            <v/>
          </cell>
          <cell r="M199">
            <v>1.4799810125838198</v>
          </cell>
          <cell r="N199">
            <v>1.2627078063967736</v>
          </cell>
          <cell r="O199">
            <v>1.4799810125838198</v>
          </cell>
          <cell r="P199" t="str">
            <v/>
          </cell>
          <cell r="Q199" t="str">
            <v/>
          </cell>
          <cell r="R199" t="str">
            <v/>
          </cell>
          <cell r="S199" t="str">
            <v/>
          </cell>
          <cell r="T199" t="str">
            <v/>
          </cell>
          <cell r="U199" t="str">
            <v/>
          </cell>
          <cell r="V199" t="str">
            <v/>
          </cell>
          <cell r="W199">
            <v>2.4024021051878251E-2</v>
          </cell>
        </row>
        <row r="200">
          <cell r="A200">
            <v>68</v>
          </cell>
          <cell r="J200" t="str">
            <v/>
          </cell>
          <cell r="K200" t="str">
            <v/>
          </cell>
          <cell r="L200" t="str">
            <v/>
          </cell>
          <cell r="M200">
            <v>1.5740360728870433</v>
          </cell>
          <cell r="N200">
            <v>1.307845284656636</v>
          </cell>
          <cell r="O200">
            <v>1.5740360728870433</v>
          </cell>
          <cell r="P200" t="str">
            <v/>
          </cell>
          <cell r="Q200" t="str">
            <v/>
          </cell>
          <cell r="R200" t="str">
            <v/>
          </cell>
          <cell r="S200" t="str">
            <v/>
          </cell>
          <cell r="T200" t="str">
            <v/>
          </cell>
          <cell r="U200" t="str">
            <v/>
          </cell>
          <cell r="V200" t="str">
            <v/>
          </cell>
          <cell r="W200">
            <v>2.8613431810081413E-2</v>
          </cell>
        </row>
        <row r="201">
          <cell r="A201">
            <v>69</v>
          </cell>
          <cell r="J201" t="str">
            <v/>
          </cell>
          <cell r="K201" t="str">
            <v/>
          </cell>
          <cell r="L201" t="str">
            <v/>
          </cell>
          <cell r="M201">
            <v>1.6769049754888772</v>
          </cell>
          <cell r="N201">
            <v>1.355415786844161</v>
          </cell>
          <cell r="O201">
            <v>1.6769049754888772</v>
          </cell>
          <cell r="P201" t="str">
            <v/>
          </cell>
          <cell r="Q201" t="str">
            <v/>
          </cell>
          <cell r="R201" t="str">
            <v/>
          </cell>
          <cell r="S201" t="str">
            <v/>
          </cell>
          <cell r="T201" t="str">
            <v/>
          </cell>
          <cell r="U201" t="str">
            <v/>
          </cell>
          <cell r="V201" t="str">
            <v/>
          </cell>
          <cell r="W201">
            <v>3.3593128890965489E-2</v>
          </cell>
        </row>
        <row r="202">
          <cell r="A202">
            <v>70</v>
          </cell>
          <cell r="J202" t="str">
            <v/>
          </cell>
          <cell r="K202" t="str">
            <v/>
          </cell>
          <cell r="L202" t="str">
            <v/>
          </cell>
          <cell r="M202">
            <v>1.7897360040898107</v>
          </cell>
          <cell r="N202">
            <v>1.4056914734446522</v>
          </cell>
          <cell r="O202">
            <v>1.7897360040898107</v>
          </cell>
          <cell r="P202" t="str">
            <v/>
          </cell>
          <cell r="Q202" t="str">
            <v/>
          </cell>
          <cell r="R202" t="str">
            <v/>
          </cell>
          <cell r="S202" t="str">
            <v/>
          </cell>
          <cell r="T202" t="str">
            <v/>
          </cell>
          <cell r="U202" t="str">
            <v/>
          </cell>
          <cell r="V202" t="str">
            <v/>
          </cell>
          <cell r="W202">
            <v>3.9008095933786395E-2</v>
          </cell>
        </row>
        <row r="203">
          <cell r="A203">
            <v>71</v>
          </cell>
          <cell r="J203" t="str">
            <v/>
          </cell>
          <cell r="K203" t="str">
            <v/>
          </cell>
          <cell r="L203" t="str">
            <v/>
          </cell>
          <cell r="M203">
            <v>1.9138708799878179</v>
          </cell>
          <cell r="N203">
            <v>1.4589126963673533</v>
          </cell>
          <cell r="O203">
            <v>1.9138708799878179</v>
          </cell>
          <cell r="P203" t="str">
            <v/>
          </cell>
          <cell r="Q203" t="str">
            <v/>
          </cell>
          <cell r="R203" t="str">
            <v/>
          </cell>
          <cell r="S203" t="str">
            <v/>
          </cell>
          <cell r="T203" t="str">
            <v/>
          </cell>
          <cell r="U203" t="str">
            <v/>
          </cell>
          <cell r="V203" t="str">
            <v/>
          </cell>
          <cell r="W203">
            <v>4.4913818416501501E-2</v>
          </cell>
        </row>
        <row r="204">
          <cell r="A204">
            <v>72</v>
          </cell>
          <cell r="J204" t="str">
            <v/>
          </cell>
          <cell r="K204" t="str">
            <v/>
          </cell>
          <cell r="L204" t="str">
            <v/>
          </cell>
          <cell r="M204">
            <v>2.0508836752169186</v>
          </cell>
          <cell r="N204">
            <v>1.5154587949032876</v>
          </cell>
          <cell r="O204">
            <v>2.0508836752169186</v>
          </cell>
          <cell r="P204" t="str">
            <v/>
          </cell>
          <cell r="Q204" t="str">
            <v/>
          </cell>
          <cell r="R204" t="str">
            <v/>
          </cell>
          <cell r="S204" t="str">
            <v/>
          </cell>
          <cell r="T204" t="str">
            <v/>
          </cell>
          <cell r="U204" t="str">
            <v/>
          </cell>
          <cell r="V204" t="str">
            <v/>
          </cell>
          <cell r="W204">
            <v>5.1369883717947311E-2</v>
          </cell>
        </row>
        <row r="205">
          <cell r="A205">
            <v>73</v>
          </cell>
          <cell r="J205" t="str">
            <v/>
          </cell>
          <cell r="K205" t="str">
            <v/>
          </cell>
          <cell r="L205" t="str">
            <v/>
          </cell>
          <cell r="M205">
            <v>2.2026280891372298</v>
          </cell>
          <cell r="N205">
            <v>1.5756994730701417</v>
          </cell>
          <cell r="O205">
            <v>2.2026280891372298</v>
          </cell>
          <cell r="P205" t="str">
            <v/>
          </cell>
          <cell r="Q205" t="str">
            <v/>
          </cell>
          <cell r="R205" t="str">
            <v/>
          </cell>
          <cell r="S205" t="str">
            <v/>
          </cell>
          <cell r="T205" t="str">
            <v/>
          </cell>
          <cell r="U205" t="str">
            <v/>
          </cell>
          <cell r="V205" t="str">
            <v/>
          </cell>
          <cell r="W205">
            <v>5.8449029695688388E-2</v>
          </cell>
        </row>
        <row r="206">
          <cell r="A206">
            <v>74</v>
          </cell>
          <cell r="J206" t="str">
            <v/>
          </cell>
          <cell r="K206" t="str">
            <v/>
          </cell>
          <cell r="L206" t="str">
            <v/>
          </cell>
          <cell r="M206">
            <v>2.3712993909852491</v>
          </cell>
          <cell r="N206">
            <v>1.6401154814598424</v>
          </cell>
          <cell r="O206">
            <v>2.3712993909852491</v>
          </cell>
          <cell r="P206" t="str">
            <v/>
          </cell>
          <cell r="Q206" t="str">
            <v/>
          </cell>
          <cell r="R206" t="str">
            <v/>
          </cell>
          <cell r="S206" t="str">
            <v/>
          </cell>
          <cell r="T206" t="str">
            <v/>
          </cell>
          <cell r="U206" t="str">
            <v/>
          </cell>
          <cell r="V206" t="str">
            <v/>
          </cell>
          <cell r="W206">
            <v>6.6234116348220101E-2</v>
          </cell>
        </row>
        <row r="207">
          <cell r="A207">
            <v>75</v>
          </cell>
          <cell r="J207" t="str">
            <v/>
          </cell>
          <cell r="K207" t="str">
            <v/>
          </cell>
          <cell r="L207" t="str">
            <v/>
          </cell>
          <cell r="M207">
            <v>2.5595130430756643</v>
          </cell>
          <cell r="N207">
            <v>1.7091839831330893</v>
          </cell>
          <cell r="O207">
            <v>2.5595130430756643</v>
          </cell>
          <cell r="P207" t="str">
            <v/>
          </cell>
          <cell r="Q207" t="str">
            <v/>
          </cell>
          <cell r="R207" t="str">
            <v/>
          </cell>
          <cell r="S207" t="str">
            <v/>
          </cell>
          <cell r="T207" t="str">
            <v/>
          </cell>
          <cell r="U207" t="str">
            <v/>
          </cell>
          <cell r="V207" t="str">
            <v/>
          </cell>
          <cell r="W207">
            <v>7.4826737423607834E-2</v>
          </cell>
        </row>
      </sheetData>
      <sheetData sheetId="4"/>
      <sheetData sheetId="5"/>
      <sheetData sheetId="6"/>
      <sheetData sheetId="7"/>
      <sheetData sheetId="8"/>
      <sheetData sheetId="9"/>
      <sheetData sheetId="10"/>
      <sheetData sheetId="11">
        <row r="148">
          <cell r="A148">
            <v>16</v>
          </cell>
        </row>
      </sheetData>
      <sheetData sheetId="12"/>
      <sheetData sheetId="13"/>
      <sheetData sheetId="14"/>
      <sheetData sheetId="15"/>
      <sheetData sheetId="16"/>
      <sheetData sheetId="17"/>
      <sheetData sheetId="18">
        <row r="148">
          <cell r="A148">
            <v>16</v>
          </cell>
        </row>
      </sheetData>
      <sheetData sheetId="19"/>
      <sheetData sheetId="20"/>
      <sheetData sheetId="21"/>
      <sheetData sheetId="22"/>
      <sheetData sheetId="23"/>
      <sheetData sheetId="24"/>
      <sheetData sheetId="25">
        <row r="148">
          <cell r="A148">
            <v>16</v>
          </cell>
        </row>
      </sheetData>
      <sheetData sheetId="26"/>
      <sheetData sheetId="27"/>
      <sheetData sheetId="28"/>
      <sheetData sheetId="29"/>
      <sheetData sheetId="30"/>
      <sheetData sheetId="31"/>
      <sheetData sheetId="32">
        <row r="148">
          <cell r="A148">
            <v>16</v>
          </cell>
        </row>
      </sheetData>
      <sheetData sheetId="33"/>
      <sheetData sheetId="34"/>
      <sheetData sheetId="35"/>
      <sheetData sheetId="36"/>
      <sheetData sheetId="37"/>
      <sheetData sheetId="38"/>
      <sheetData sheetId="39">
        <row r="148">
          <cell r="A148">
            <v>16</v>
          </cell>
        </row>
      </sheetData>
      <sheetData sheetId="40"/>
      <sheetData sheetId="41"/>
      <sheetData sheetId="42"/>
      <sheetData sheetId="43"/>
      <sheetData sheetId="44"/>
      <sheetData sheetId="45"/>
      <sheetData sheetId="46">
        <row r="148">
          <cell r="A148">
            <v>16</v>
          </cell>
        </row>
      </sheetData>
      <sheetData sheetId="47"/>
      <sheetData sheetId="48"/>
      <sheetData sheetId="49"/>
      <sheetData sheetId="50"/>
      <sheetData sheetId="51"/>
      <sheetData sheetId="52"/>
      <sheetData sheetId="53">
        <row r="148">
          <cell r="A148">
            <v>16</v>
          </cell>
        </row>
      </sheetData>
      <sheetData sheetId="54"/>
      <sheetData sheetId="55"/>
      <sheetData sheetId="56"/>
      <sheetData sheetId="57"/>
      <sheetData sheetId="58"/>
      <sheetData sheetId="59"/>
      <sheetData sheetId="60">
        <row r="148">
          <cell r="A148">
            <v>16</v>
          </cell>
        </row>
      </sheetData>
      <sheetData sheetId="61"/>
      <sheetData sheetId="62"/>
      <sheetData sheetId="63"/>
      <sheetData sheetId="64"/>
      <sheetData sheetId="65"/>
      <sheetData sheetId="66"/>
      <sheetData sheetId="67">
        <row r="148">
          <cell r="A148">
            <v>16</v>
          </cell>
        </row>
      </sheetData>
      <sheetData sheetId="68"/>
      <sheetData sheetId="69"/>
      <sheetData sheetId="70"/>
      <sheetData sheetId="71"/>
      <sheetData sheetId="72"/>
      <sheetData sheetId="73"/>
      <sheetData sheetId="74">
        <row r="148">
          <cell r="A148">
            <v>16</v>
          </cell>
        </row>
      </sheetData>
      <sheetData sheetId="75"/>
      <sheetData sheetId="76"/>
      <sheetData sheetId="77"/>
      <sheetData sheetId="78"/>
      <sheetData sheetId="79"/>
      <sheetData sheetId="80"/>
      <sheetData sheetId="81">
        <row r="148">
          <cell r="A148">
            <v>16</v>
          </cell>
        </row>
      </sheetData>
      <sheetData sheetId="82"/>
      <sheetData sheetId="83"/>
      <sheetData sheetId="84"/>
      <sheetData sheetId="85"/>
      <sheetData sheetId="86"/>
      <sheetData sheetId="87"/>
      <sheetData sheetId="88">
        <row r="148">
          <cell r="A148">
            <v>16</v>
          </cell>
        </row>
      </sheetData>
      <sheetData sheetId="89"/>
      <sheetData sheetId="90"/>
      <sheetData sheetId="91"/>
      <sheetData sheetId="92"/>
      <sheetData sheetId="93"/>
      <sheetData sheetId="94"/>
      <sheetData sheetId="95">
        <row r="148">
          <cell r="A148">
            <v>16</v>
          </cell>
        </row>
      </sheetData>
      <sheetData sheetId="96"/>
      <sheetData sheetId="97"/>
      <sheetData sheetId="98"/>
      <sheetData sheetId="99"/>
      <sheetData sheetId="100"/>
      <sheetData sheetId="101"/>
      <sheetData sheetId="102">
        <row r="148">
          <cell r="A148">
            <v>16</v>
          </cell>
        </row>
      </sheetData>
      <sheetData sheetId="103"/>
      <sheetData sheetId="104"/>
      <sheetData sheetId="105"/>
      <sheetData sheetId="106"/>
      <sheetData sheetId="107"/>
      <sheetData sheetId="108"/>
      <sheetData sheetId="109">
        <row r="148">
          <cell r="A148">
            <v>16</v>
          </cell>
        </row>
      </sheetData>
      <sheetData sheetId="110"/>
      <sheetData sheetId="111"/>
      <sheetData sheetId="112"/>
      <sheetData sheetId="113"/>
      <sheetData sheetId="114"/>
      <sheetData sheetId="115"/>
      <sheetData sheetId="116">
        <row r="148">
          <cell r="A148">
            <v>16</v>
          </cell>
        </row>
      </sheetData>
      <sheetData sheetId="117"/>
      <sheetData sheetId="118"/>
      <sheetData sheetId="119"/>
      <sheetData sheetId="120"/>
      <sheetData sheetId="121"/>
      <sheetData sheetId="122"/>
      <sheetData sheetId="123">
        <row r="148">
          <cell r="A148">
            <v>16</v>
          </cell>
        </row>
      </sheetData>
      <sheetData sheetId="124"/>
      <sheetData sheetId="125"/>
      <sheetData sheetId="126"/>
      <sheetData sheetId="127"/>
      <sheetData sheetId="128"/>
      <sheetData sheetId="129"/>
      <sheetData sheetId="130">
        <row r="148">
          <cell r="A148">
            <v>16</v>
          </cell>
        </row>
      </sheetData>
      <sheetData sheetId="131"/>
      <sheetData sheetId="132"/>
      <sheetData sheetId="133"/>
      <sheetData sheetId="134"/>
      <sheetData sheetId="135"/>
      <sheetData sheetId="136"/>
      <sheetData sheetId="137">
        <row r="148">
          <cell r="A148">
            <v>16</v>
          </cell>
        </row>
      </sheetData>
      <sheetData sheetId="138"/>
      <sheetData sheetId="139"/>
      <sheetData sheetId="140"/>
      <sheetData sheetId="141"/>
      <sheetData sheetId="142"/>
      <sheetData sheetId="143"/>
      <sheetData sheetId="144">
        <row r="148">
          <cell r="A148">
            <v>16</v>
          </cell>
        </row>
      </sheetData>
      <sheetData sheetId="145"/>
      <sheetData sheetId="146"/>
      <sheetData sheetId="147"/>
      <sheetData sheetId="148"/>
      <sheetData sheetId="149"/>
      <sheetData sheetId="150"/>
      <sheetData sheetId="151">
        <row r="148">
          <cell r="A148">
            <v>16</v>
          </cell>
        </row>
      </sheetData>
      <sheetData sheetId="152"/>
      <sheetData sheetId="153"/>
      <sheetData sheetId="154"/>
      <sheetData sheetId="1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hyperlink" Target="file:///\\Gad-psps\psps\Fire_S\Factors\2018\Main%20Factor%20Review\ERFs\Final%20factors%20on%202.4%25\Fire%20Scotland%20ERFs%20and%20LRFs%20-%20January%202019.xlsm" TargetMode="External"/><Relationship Id="rId2" Type="http://schemas.openxmlformats.org/officeDocument/2006/relationships/hyperlink" Target="file:///\\Gad-psps\psps\Fire_S\Factors\2018\Main%20Factor%20Review\ERFs\Final%20factors%20on%202.4%25\Fire%20Scotland%20ERFs%20and%20LRFs%20-%20January%202019.xlsm" TargetMode="External"/><Relationship Id="rId1" Type="http://schemas.openxmlformats.org/officeDocument/2006/relationships/hyperlink" Target="file:///\\Gad-psps\psps\Fire_S\Factors\2018\Main%20Factor%20Review\ERFs\Final%20factors%20on%202.4%25\Fire%20Scotland%20ERFs%20and%20LRFs%20-%20January%202019.xlsm"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8" Type="http://schemas.openxmlformats.org/officeDocument/2006/relationships/hyperlink" Target="file:///\\gad-Archive\PSPS_ARCHIVE\FPT\NEW%20DATA\FPT%20Clients\Archive\A2%20DATA\a2clients\Police%20Pensions\0140-00972%20Home%20Office%20Police\Cost%20Ceiling\Pension%20estimator\Pension%20calculator%20v0.30.xls" TargetMode="External"/><Relationship Id="rId13" Type="http://schemas.openxmlformats.org/officeDocument/2006/relationships/hyperlink" Target="file:///\\gad-Archive\PSPS_ARCHIVE\FPT\NEW%20DATA\FPT%20Clients\Fire\Police\Scotland\General\Benefits%20Projection%20Calculator\Test%20Cases\Pension%20calculator%20Updated%20v0.8.xls" TargetMode="External"/><Relationship Id="rId18" Type="http://schemas.openxmlformats.org/officeDocument/2006/relationships/hyperlink" Target="file:///\\gad-Archive\PSPS_ARCHIVE\FPT\NEW%20DATA\FPT%20Clients\Fire\Police\Scotland\General\Benefits%20Projection%20Calculator\Pension%20calculator%20Updated%20v0.13.xlsm" TargetMode="External"/><Relationship Id="rId26" Type="http://schemas.openxmlformats.org/officeDocument/2006/relationships/printerSettings" Target="../printerSettings/printerSettings2.bin"/><Relationship Id="rId3" Type="http://schemas.openxmlformats.org/officeDocument/2006/relationships/hyperlink" Target="file:///\\gad-Archive\PSPS_ARCHIVE\FPT\NEW%20DATA\FPT%20Clients\Archive\A2%20DATA\a2clients\Police%20Pensions\0140-00972%20Home%20Office%20Police\Cost%20Ceiling\Pension%20estimator\Pension%20calculator%20v0.18.xls" TargetMode="External"/><Relationship Id="rId21" Type="http://schemas.openxmlformats.org/officeDocument/2006/relationships/hyperlink" Target="file:///\\gad-Archive\PSPS_ARCHIVE\FPT\NEW%20DATA\FPT%20Clients\Fire\Police\Scotland\General\Benefits%20Projection%20Calculator\Pension%20calculator%20Updated%20v1.1.xlsm" TargetMode="External"/><Relationship Id="rId7" Type="http://schemas.openxmlformats.org/officeDocument/2006/relationships/hyperlink" Target="file:///\\gad-Archive\PSPS_ARCHIVE\FPT\NEW%20DATA\FPT%20Clients\Archive\A2%20DATA\a2clients\Police%20Pensions\0140-00972%20Home%20Office%20Police\Cost%20Ceiling\Pension%20estimator\Pension%20calculator%20v0.29.xls" TargetMode="External"/><Relationship Id="rId12" Type="http://schemas.openxmlformats.org/officeDocument/2006/relationships/hyperlink" Target="file:///\\gad-Archive\PSPS_ARCHIVE\FPT\NEW%20DATA\FPT%20Clients\Fire\Police\Scotland\General\Benefits%20Projection%20Calculator\Test%20Cases\Pension%20calculator%20Updated%20v0.7.xls" TargetMode="External"/><Relationship Id="rId17" Type="http://schemas.openxmlformats.org/officeDocument/2006/relationships/hyperlink" Target="file:///\\gad-Archive\PSPS_ARCHIVE\FPT\NEW%20DATA\FPT%20Clients\Fire\Police\Scotland\General\Benefits%20Projection%20Calculator\Pension%20calculator%20Updated%20v0.12.xls" TargetMode="External"/><Relationship Id="rId25" Type="http://schemas.openxmlformats.org/officeDocument/2006/relationships/hyperlink" Target="file:///\\gad-Archive\PSPS_ARCHIVE\FPT\NEW%20DATA\FPT%20Clients\Fire\Police\Scotland\General\Benefits%20Projection%20Calculator\Pension%20calculator%20Updated%20v1.5.xlsx" TargetMode="External"/><Relationship Id="rId2" Type="http://schemas.openxmlformats.org/officeDocument/2006/relationships/hyperlink" Target="file:///\\gad-Archive\PSPS_ARCHIVE\FPT\NEW%20DATA\FPT%20Clients\Archive\A2%20DATA\a2clients\Police%20Pensions\0140-00972%20Home%20Office%20Police\Cost%20Ceiling\Pension%20estimator\Pension%20calculator%20v0.08.xlsm" TargetMode="External"/><Relationship Id="rId16" Type="http://schemas.openxmlformats.org/officeDocument/2006/relationships/hyperlink" Target="file:///\\gad-Archive\PSPS_ARCHIVE\FPT\NEW%20DATA\FPT%20Clients\Fire\Police\Scotland\General\Benefits%20Projection%20Calculator\Pension%20calculator%20Updated%20v0.11.xls" TargetMode="External"/><Relationship Id="rId20" Type="http://schemas.openxmlformats.org/officeDocument/2006/relationships/hyperlink" Target="file:///\\gad-Archive\PSPS_ARCHIVE\FPT\NEW%20DATA\FPT%20Clients\Fire\Police\Scotland\General\Benefits%20Projection%20Calculator\161201SPPACalculatorAgreedChanges.docx" TargetMode="External"/><Relationship Id="rId1" Type="http://schemas.openxmlformats.org/officeDocument/2006/relationships/hyperlink" Target="file:///\\gad-Archive\PSPS_ARCHIVE\FPT\NEW%20DATA\FPT%20Clients\Archive\A2%20DATA\a2clients\Police%20Pensions\0140-00972%20Home%20Office%20Police\Cost%20Ceiling\Pension%20estimator\Pension%20calculator%20v0.07.xlsm" TargetMode="External"/><Relationship Id="rId6" Type="http://schemas.openxmlformats.org/officeDocument/2006/relationships/hyperlink" Target="file:///\\gad-Archive\PSPS_ARCHIVE\FPT\NEW%20DATA\FPT%20Clients\Archive\A2%20DATA\a2clients\Police%20Pensions\0140-00972%20Home%20Office%20Police\Cost%20Ceiling\Pension%20estimator\Pension%20calculator%20v0.27.xls" TargetMode="External"/><Relationship Id="rId11" Type="http://schemas.openxmlformats.org/officeDocument/2006/relationships/hyperlink" Target="file:///\\gad-Archive\PSPS_ARCHIVE\FPT\NEW%20DATA\FPT%20Clients\Fire\Police\Scotland\General\Benefits%20Projection%20Calculator\Test%20Cases\Pension%20calculator%20Updated%20v0.6.xls" TargetMode="External"/><Relationship Id="rId24" Type="http://schemas.openxmlformats.org/officeDocument/2006/relationships/hyperlink" Target="file:///\\gad-Archive\PSPS_ARCHIVE\FPT\NEW%20DATA\FPT%20Clients\Fire\Police\Scotland\General\Benefits%20Projection%20Calculator\Pension%20calculator%20Updated%20v1.4.xlsx" TargetMode="External"/><Relationship Id="rId5" Type="http://schemas.openxmlformats.org/officeDocument/2006/relationships/hyperlink" Target="file:///\\gad-Archive\PSPS_ARCHIVE\FPT\NEW%20DATA\FPT%20Clients\Archive\A2%20DATA\a2clients\Police%20Pensions\0140-00972%20Home%20Office%20Police\Cost%20Ceiling\Pension%20estimator\Pension%20calculator%20v0.26.xls" TargetMode="External"/><Relationship Id="rId15" Type="http://schemas.openxmlformats.org/officeDocument/2006/relationships/hyperlink" Target="file:///\\gad-Archive\PSPS_ARCHIVE\FPT\NEW%20DATA\FPT%20Clients\Fire\Police\Scotland\General\Benefits%20Projection%20Calculator\Test%20Cases\Pension%20calculator%20Updated%20v0.10.xls" TargetMode="External"/><Relationship Id="rId23" Type="http://schemas.openxmlformats.org/officeDocument/2006/relationships/hyperlink" Target="file:///\\gad-Archive\PSPS_ARCHIVE\FPT\NEW%20DATA\FPT%20Clients\Fire\Police\Scotland\General\Benefits%20Projection%20Calculator\Pension%20calculator%20Updated%20v1.3.xlsm" TargetMode="External"/><Relationship Id="rId10" Type="http://schemas.openxmlformats.org/officeDocument/2006/relationships/hyperlink" Target="file:///\\gad-Archive\PSPS_ARCHIVE\FPT\NEW%20DATA\FPT%20Clients\Fire\Police\Scotland\General\Benefits%20Projection%20Calculator\Test%20Cases\Pension%20calculator%20Updated%20v0.5.xls" TargetMode="External"/><Relationship Id="rId19" Type="http://schemas.openxmlformats.org/officeDocument/2006/relationships/hyperlink" Target="file:///\\gad-Archive\PSPS_ARCHIVE\FPT\NEW%20DATA\FPT%20Clients\Fire\Police\Scotland\General\Benefits%20Projection%20Calculator\Pension%20calculator%20Updated%20v1.0.xlsm" TargetMode="External"/><Relationship Id="rId4" Type="http://schemas.openxmlformats.org/officeDocument/2006/relationships/hyperlink" Target="file:///\\gad-Archive\PSPS_ARCHIVE\FPT\NEW%20DATA\FPT%20Clients\Archive\A2%20DATA\a2clients\Police%20Pensions\0140-00972%20Home%20Office%20Police\Cost%20Ceiling\Pension%20estimator\Pension%20calculator%20v0.19.xls" TargetMode="External"/><Relationship Id="rId9" Type="http://schemas.openxmlformats.org/officeDocument/2006/relationships/hyperlink" Target="file:///\\gad-Archive\PSPS_ARCHIVE\FPT\NEW%20DATA\FPT%20Clients\Fire\Police\Scotland\General\Benefits%20Projection%20Calculator\Test%20Cases\Pension%20calculator%20Updated%20v0.1.xls" TargetMode="External"/><Relationship Id="rId14" Type="http://schemas.openxmlformats.org/officeDocument/2006/relationships/hyperlink" Target="file:///\\gad-Archive\PSPS_ARCHIVE\FPT\NEW%20DATA\FPT%20Clients\Fire\Police\Scotland\General\Benefits%20Projection%20Calculator\Test%20Cases\Pension%20calculator%20Updated%20v0.9.xls" TargetMode="External"/><Relationship Id="rId22" Type="http://schemas.openxmlformats.org/officeDocument/2006/relationships/hyperlink" Target="file:///\\gad-Archive\PSPS_ARCHIVE\FPT\NEW%20DATA\FPT%20Clients\Fire\Police\Scotland\General\Benefits%20Projection%20Calculator\Pension%20calculator%20Updated%20v1.2.xls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Firefighters/Firefighters%20Useful%20Resources/Calculators/Firefighter%20Calculator%20FAQ%202017%20v2.pdf" TargetMode="External"/><Relationship Id="rId7" Type="http://schemas.openxmlformats.org/officeDocument/2006/relationships/ctrlProp" Target="../ctrlProps/ctrlProp3.xml"/><Relationship Id="rId2" Type="http://schemas.openxmlformats.org/officeDocument/2006/relationships/hyperlink" Target="http://www.sppa.gov.uk/index.php?option=com_content&amp;view=article&amp;id=263&amp;Itemid=342" TargetMode="External"/><Relationship Id="rId1" Type="http://schemas.openxmlformats.org/officeDocument/2006/relationships/hyperlink" Target="http://2015.sppa.gov.uk/scheme/firefighters"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publications/firefighters-pension-scheme-proposed-final-agreemen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01.2018%20Factor%20Review%20and%20previous/Emails_Fire%201992%20-%20Commutation%20update%20(Oct%202018).pdf" TargetMode="External"/><Relationship Id="rId1" Type="http://schemas.openxmlformats.org/officeDocument/2006/relationships/hyperlink" Target="../../01.2018%20Factor%20Review%20and%20previous/Emails_Fire%201992%20-%20Commutation%20update%20(Oct%202018).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heetViews>
  <sheetFormatPr defaultRowHeight="12.5" x14ac:dyDescent="0.25"/>
  <cols>
    <col min="1" max="1" width="20.453125" style="9" customWidth="1"/>
    <col min="2" max="2" width="130.54296875" style="2" customWidth="1"/>
    <col min="3" max="3" width="9.1796875" style="9" customWidth="1"/>
    <col min="4" max="4" width="10.1796875" style="9" bestFit="1" customWidth="1"/>
    <col min="5" max="7" width="9.1796875" style="9" customWidth="1"/>
    <col min="8" max="8" width="10.1796875" style="9" customWidth="1"/>
    <col min="9" max="9" width="11.453125" style="9" customWidth="1"/>
    <col min="10" max="11" width="9.1796875" style="9" customWidth="1"/>
    <col min="12" max="12" width="15.453125" style="9" bestFit="1" customWidth="1"/>
    <col min="13" max="13" width="21" style="9" bestFit="1" customWidth="1"/>
    <col min="14" max="14" width="9.453125" style="9" customWidth="1"/>
    <col min="15" max="15" width="9.54296875" style="9" customWidth="1"/>
    <col min="16" max="20" width="13.1796875" style="9" customWidth="1"/>
    <col min="21" max="26" width="9.1796875" style="9" customWidth="1"/>
    <col min="27" max="27" width="11.453125" style="9" customWidth="1"/>
    <col min="28" max="28" width="10.1796875" style="9" customWidth="1"/>
    <col min="29" max="30" width="9.1796875" style="9" customWidth="1"/>
    <col min="31" max="31" width="15.453125" style="9" bestFit="1" customWidth="1"/>
    <col min="32" max="32" width="21" style="9" bestFit="1" customWidth="1"/>
    <col min="33" max="34" width="9.54296875" style="9" bestFit="1" customWidth="1"/>
    <col min="35" max="35" width="9.54296875" style="9" customWidth="1"/>
    <col min="36" max="38" width="9.1796875" style="9" customWidth="1"/>
    <col min="39" max="39" width="12.453125" style="9" bestFit="1" customWidth="1"/>
    <col min="40" max="45" width="9.1796875" style="9" customWidth="1"/>
  </cols>
  <sheetData>
    <row r="1" spans="1:45" ht="20" x14ac:dyDescent="0.4">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5" x14ac:dyDescent="0.35">
      <c r="A2" s="5" t="s">
        <v>507</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5" x14ac:dyDescent="0.35">
      <c r="A3" s="77"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C:\Users\u418711\AppData\Local\Microsoft\Windows\INetCache\Content.Outlook\PTLKNQ86\[Copy of Fire Scotland - Benefit Calculator - 22Dec2020.xlsx]Cover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3">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3">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ht="13" x14ac:dyDescent="0.3">
      <c r="A9" s="1" t="s">
        <v>11</v>
      </c>
    </row>
    <row r="10" spans="1:45" x14ac:dyDescent="0.25">
      <c r="A10"/>
    </row>
    <row r="11" spans="1:45" x14ac:dyDescent="0.25">
      <c r="A11"/>
      <c r="B11" s="2" t="s">
        <v>90</v>
      </c>
    </row>
    <row r="12" spans="1:45" x14ac:dyDescent="0.25">
      <c r="A12"/>
    </row>
    <row r="13" spans="1:45" ht="13" x14ac:dyDescent="0.3">
      <c r="A13" s="1" t="s">
        <v>13</v>
      </c>
    </row>
    <row r="14" spans="1:45" x14ac:dyDescent="0.25">
      <c r="A14"/>
    </row>
    <row r="15" spans="1:45" ht="13" x14ac:dyDescent="0.3">
      <c r="A15" s="1" t="s">
        <v>4</v>
      </c>
      <c r="B15" s="15" t="s">
        <v>5</v>
      </c>
    </row>
    <row r="16" spans="1:45" x14ac:dyDescent="0.25">
      <c r="A16" s="3"/>
      <c r="B16" s="2" t="s">
        <v>39</v>
      </c>
    </row>
    <row r="17" spans="1:2" x14ac:dyDescent="0.25">
      <c r="A17" s="3"/>
    </row>
    <row r="18" spans="1:2" x14ac:dyDescent="0.25">
      <c r="A18" s="3"/>
    </row>
    <row r="19" spans="1:2" x14ac:dyDescent="0.25">
      <c r="A19" s="3"/>
    </row>
    <row r="20" spans="1:2" x14ac:dyDescent="0.25">
      <c r="A20" s="3"/>
    </row>
    <row r="21" spans="1:2" x14ac:dyDescent="0.25">
      <c r="A21" s="3"/>
    </row>
    <row r="22" spans="1:2" x14ac:dyDescent="0.25">
      <c r="A22" s="3"/>
    </row>
    <row r="23" spans="1:2" x14ac:dyDescent="0.25">
      <c r="A23" s="3"/>
    </row>
    <row r="24" spans="1:2" x14ac:dyDescent="0.25">
      <c r="A24" s="3"/>
    </row>
    <row r="25" spans="1:2" x14ac:dyDescent="0.25">
      <c r="A25" s="3"/>
    </row>
    <row r="26" spans="1:2" ht="13" x14ac:dyDescent="0.3">
      <c r="A26" s="1" t="s">
        <v>40</v>
      </c>
    </row>
    <row r="27" spans="1:2" ht="13" x14ac:dyDescent="0.3">
      <c r="A27" s="1"/>
      <c r="B27" s="2" t="s">
        <v>56</v>
      </c>
    </row>
    <row r="28" spans="1:2" ht="13" x14ac:dyDescent="0.3">
      <c r="A28" s="1"/>
    </row>
    <row r="29" spans="1:2" ht="13" x14ac:dyDescent="0.3">
      <c r="A29" s="1"/>
    </row>
    <row r="30" spans="1:2" ht="13" x14ac:dyDescent="0.3">
      <c r="A30" s="1"/>
    </row>
    <row r="31" spans="1:2" ht="13" x14ac:dyDescent="0.3">
      <c r="A31" s="1"/>
    </row>
    <row r="32" spans="1:2" ht="13" x14ac:dyDescent="0.3">
      <c r="A32" s="1"/>
    </row>
    <row r="33" spans="1:2" ht="13" x14ac:dyDescent="0.3">
      <c r="A33" s="1"/>
    </row>
    <row r="34" spans="1:2" ht="13" x14ac:dyDescent="0.3">
      <c r="A34" s="1"/>
    </row>
    <row r="35" spans="1:2" x14ac:dyDescent="0.25">
      <c r="A35" s="3"/>
    </row>
    <row r="36" spans="1:2" ht="13" x14ac:dyDescent="0.3">
      <c r="A36" s="1" t="s">
        <v>12</v>
      </c>
    </row>
    <row r="37" spans="1:2" x14ac:dyDescent="0.25">
      <c r="A37"/>
    </row>
    <row r="38" spans="1:2" ht="25" x14ac:dyDescent="0.25">
      <c r="A38"/>
      <c r="B38" s="2" t="s">
        <v>18</v>
      </c>
    </row>
    <row r="39" spans="1:2" x14ac:dyDescent="0.25">
      <c r="A39"/>
    </row>
    <row r="40" spans="1:2" ht="13" x14ac:dyDescent="0.3">
      <c r="A40" s="1" t="s">
        <v>16</v>
      </c>
    </row>
    <row r="41" spans="1:2" x14ac:dyDescent="0.25">
      <c r="A41"/>
    </row>
    <row r="42" spans="1:2" x14ac:dyDescent="0.25">
      <c r="A42" t="s">
        <v>41</v>
      </c>
    </row>
    <row r="43" spans="1:2" x14ac:dyDescent="0.25">
      <c r="A43"/>
      <c r="B43" s="2" t="s">
        <v>17</v>
      </c>
    </row>
    <row r="45" spans="1:2" ht="13" x14ac:dyDescent="0.3">
      <c r="A45" s="16" t="s">
        <v>21</v>
      </c>
    </row>
    <row r="46" spans="1:2" x14ac:dyDescent="0.25">
      <c r="A46" s="78" t="s">
        <v>23</v>
      </c>
      <c r="B46" s="21" t="s">
        <v>30</v>
      </c>
    </row>
    <row r="47" spans="1:2" x14ac:dyDescent="0.25">
      <c r="A47" s="20" t="s">
        <v>27</v>
      </c>
      <c r="B47" s="21" t="s">
        <v>38</v>
      </c>
    </row>
    <row r="48" spans="1:2" x14ac:dyDescent="0.25">
      <c r="A48" s="17" t="s">
        <v>24</v>
      </c>
      <c r="B48" s="21" t="s">
        <v>37</v>
      </c>
    </row>
    <row r="49" spans="1:2" x14ac:dyDescent="0.25">
      <c r="A49" s="19" t="s">
        <v>26</v>
      </c>
      <c r="B49" s="21" t="s">
        <v>31</v>
      </c>
    </row>
    <row r="50" spans="1:2" x14ac:dyDescent="0.25">
      <c r="A50" s="22" t="s">
        <v>22</v>
      </c>
      <c r="B50" s="21" t="s">
        <v>32</v>
      </c>
    </row>
    <row r="51" spans="1:2" x14ac:dyDescent="0.25">
      <c r="A51" s="23" t="s">
        <v>28</v>
      </c>
      <c r="B51" s="21" t="s">
        <v>34</v>
      </c>
    </row>
    <row r="52" spans="1:2" x14ac:dyDescent="0.25">
      <c r="A52" s="24" t="s">
        <v>29</v>
      </c>
      <c r="B52" s="21" t="s">
        <v>35</v>
      </c>
    </row>
    <row r="53" spans="1:2" x14ac:dyDescent="0.25">
      <c r="A53" s="18" t="s">
        <v>25</v>
      </c>
      <c r="B53" s="21" t="s">
        <v>33</v>
      </c>
    </row>
    <row r="54" spans="1:2" hidden="1" x14ac:dyDescent="0.25">
      <c r="A54" s="25" t="s">
        <v>44</v>
      </c>
    </row>
    <row r="55" spans="1:2" hidden="1" x14ac:dyDescent="0.25">
      <c r="A55" s="25" t="s">
        <v>45</v>
      </c>
    </row>
    <row r="56" spans="1:2" hidden="1" x14ac:dyDescent="0.25">
      <c r="A56" s="25" t="s">
        <v>46</v>
      </c>
    </row>
    <row r="57" spans="1:2" hidden="1" x14ac:dyDescent="0.25">
      <c r="A57" s="26" t="s">
        <v>47</v>
      </c>
    </row>
    <row r="58" spans="1:2" hidden="1" x14ac:dyDescent="0.25">
      <c r="A58" s="26" t="s">
        <v>48</v>
      </c>
    </row>
    <row r="59" spans="1:2" hidden="1" x14ac:dyDescent="0.25">
      <c r="A59" s="26" t="s">
        <v>49</v>
      </c>
    </row>
    <row r="60" spans="1:2" hidden="1" x14ac:dyDescent="0.25">
      <c r="A60" s="26" t="s">
        <v>50</v>
      </c>
    </row>
    <row r="61" spans="1:2" hidden="1" x14ac:dyDescent="0.25">
      <c r="A61" s="26" t="s">
        <v>51</v>
      </c>
    </row>
    <row r="62" spans="1:2" hidden="1" x14ac:dyDescent="0.25">
      <c r="A62" s="26" t="s">
        <v>52</v>
      </c>
    </row>
    <row r="63" spans="1:2" hidden="1" x14ac:dyDescent="0.25">
      <c r="A63" s="26" t="s">
        <v>53</v>
      </c>
    </row>
    <row r="64" spans="1:2" hidden="1" x14ac:dyDescent="0.25">
      <c r="A64" s="26" t="s">
        <v>54</v>
      </c>
    </row>
    <row r="65" spans="1:1" hidden="1" x14ac:dyDescent="0.25">
      <c r="A65" s="26" t="s">
        <v>55</v>
      </c>
    </row>
    <row r="66" spans="1:1" hidden="1" x14ac:dyDescent="0.25">
      <c r="A66" s="25">
        <v>2</v>
      </c>
    </row>
    <row r="67" spans="1:1" hidden="1" x14ac:dyDescent="0.25">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12700</xdr:rowOff>
                  </from>
                  <to>
                    <xdr:col>1</xdr:col>
                    <xdr:colOff>1936750</xdr:colOff>
                    <xdr:row>5</xdr:row>
                    <xdr:rowOff>222250</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12700</xdr:rowOff>
                  </from>
                  <to>
                    <xdr:col>1</xdr:col>
                    <xdr:colOff>1936750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P55"/>
  <sheetViews>
    <sheetView workbookViewId="0"/>
  </sheetViews>
  <sheetFormatPr defaultRowHeight="12.5" x14ac:dyDescent="0.25"/>
  <cols>
    <col min="2" max="2" width="15.453125" bestFit="1" customWidth="1"/>
    <col min="3" max="3" width="16.453125" customWidth="1"/>
    <col min="5" max="5" width="10.453125" customWidth="1"/>
  </cols>
  <sheetData>
    <row r="1" spans="1:16" ht="20" x14ac:dyDescent="0.4">
      <c r="A1" s="13" t="s">
        <v>19</v>
      </c>
      <c r="B1" s="12"/>
      <c r="C1" s="12"/>
      <c r="D1" s="12"/>
      <c r="E1" s="12"/>
      <c r="F1" s="12"/>
      <c r="G1" s="12"/>
      <c r="H1" s="12"/>
      <c r="I1" s="12"/>
    </row>
    <row r="2" spans="1:16" ht="15.5" x14ac:dyDescent="0.35">
      <c r="A2" s="27" t="str">
        <f>IF(title="&gt; Enter workbook title here","Enter workbook title in Cover sheet",title)</f>
        <v>Scottish Fire pension  projection calculator</v>
      </c>
      <c r="B2" s="11"/>
      <c r="C2" s="11"/>
      <c r="D2" s="11"/>
      <c r="E2" s="11"/>
      <c r="F2" s="11"/>
      <c r="G2" s="11"/>
      <c r="H2" s="11"/>
      <c r="I2" s="11"/>
    </row>
    <row r="3" spans="1:16" ht="15.5" x14ac:dyDescent="0.35">
      <c r="A3" s="14" t="s">
        <v>261</v>
      </c>
      <c r="B3" s="11"/>
      <c r="C3" s="11"/>
      <c r="D3" s="11"/>
      <c r="E3" s="11"/>
      <c r="F3" s="11"/>
      <c r="G3" s="11"/>
      <c r="H3" s="11"/>
      <c r="I3" s="11"/>
    </row>
    <row r="4" spans="1:16" x14ac:dyDescent="0.25">
      <c r="A4" s="7" t="str">
        <f ca="1">CELL("filename",A1)</f>
        <v>C:\Users\u418711\AppData\Local\Microsoft\Windows\INetCache\Content.Outlook\PTLKNQ86\[Copy of Fire Scotland - Benefit Calculator - 22Dec2020.xlsx]ERF and LRF</v>
      </c>
    </row>
    <row r="6" spans="1:16" ht="13" x14ac:dyDescent="0.3">
      <c r="B6" s="1" t="s">
        <v>425</v>
      </c>
    </row>
    <row r="7" spans="1:16" ht="13" x14ac:dyDescent="0.3">
      <c r="B7" s="1"/>
    </row>
    <row r="8" spans="1:16" ht="13" x14ac:dyDescent="0.3">
      <c r="B8" s="1" t="s">
        <v>521</v>
      </c>
    </row>
    <row r="9" spans="1:16" ht="13" x14ac:dyDescent="0.3">
      <c r="B9" s="1"/>
    </row>
    <row r="10" spans="1:16" ht="13" x14ac:dyDescent="0.3">
      <c r="B10" s="340" t="s">
        <v>522</v>
      </c>
      <c r="C10" s="35" t="s">
        <v>893</v>
      </c>
      <c r="D10" s="35"/>
    </row>
    <row r="11" spans="1:16" x14ac:dyDescent="0.25">
      <c r="A11" s="29"/>
      <c r="B11" s="341" t="s">
        <v>523</v>
      </c>
    </row>
    <row r="12" spans="1:16" ht="13" x14ac:dyDescent="0.3">
      <c r="B12" s="1" t="s">
        <v>894</v>
      </c>
    </row>
    <row r="13" spans="1:16" ht="13" x14ac:dyDescent="0.3">
      <c r="B13" s="342" t="s">
        <v>421</v>
      </c>
      <c r="C13" s="343">
        <v>0</v>
      </c>
      <c r="D13" s="343">
        <v>1</v>
      </c>
      <c r="E13" s="343">
        <v>2</v>
      </c>
      <c r="F13" s="343">
        <v>3</v>
      </c>
      <c r="G13" s="343">
        <v>4</v>
      </c>
      <c r="H13" s="343">
        <v>5</v>
      </c>
      <c r="I13" s="343">
        <v>6</v>
      </c>
      <c r="J13" s="343">
        <v>7</v>
      </c>
      <c r="K13" s="343">
        <v>8</v>
      </c>
      <c r="L13" s="343">
        <v>9</v>
      </c>
      <c r="M13" s="343">
        <v>10</v>
      </c>
      <c r="N13" s="343">
        <v>11</v>
      </c>
    </row>
    <row r="14" spans="1:16" ht="13" x14ac:dyDescent="0.3">
      <c r="B14" s="342">
        <v>55</v>
      </c>
      <c r="C14" s="647">
        <v>0.59</v>
      </c>
      <c r="D14" s="647">
        <v>0.59199999999999997</v>
      </c>
      <c r="E14" s="647">
        <v>0.59399999999999997</v>
      </c>
      <c r="F14" s="647">
        <v>0.59699999999999998</v>
      </c>
      <c r="G14" s="647">
        <v>0.59899999999999998</v>
      </c>
      <c r="H14" s="647">
        <v>0.60099999999999998</v>
      </c>
      <c r="I14" s="647">
        <v>0.60399999999999998</v>
      </c>
      <c r="J14" s="647">
        <v>0.60599999999999998</v>
      </c>
      <c r="K14" s="647">
        <v>0.60799999999999998</v>
      </c>
      <c r="L14" s="647">
        <v>0.61099999999999999</v>
      </c>
      <c r="M14" s="647">
        <v>0.61299999999999999</v>
      </c>
      <c r="N14" s="647">
        <v>0.61499999999999999</v>
      </c>
      <c r="P14" s="29"/>
    </row>
    <row r="15" spans="1:16" ht="13" x14ac:dyDescent="0.3">
      <c r="B15" s="342">
        <v>56</v>
      </c>
      <c r="C15" s="647">
        <v>0.61799999999999999</v>
      </c>
      <c r="D15" s="647">
        <v>0.62</v>
      </c>
      <c r="E15" s="647">
        <v>0.623</v>
      </c>
      <c r="F15" s="647">
        <v>0.625</v>
      </c>
      <c r="G15" s="647">
        <v>0.628</v>
      </c>
      <c r="H15" s="647">
        <v>0.63</v>
      </c>
      <c r="I15" s="647">
        <v>0.63300000000000001</v>
      </c>
      <c r="J15" s="647">
        <v>0.63500000000000001</v>
      </c>
      <c r="K15" s="647">
        <v>0.63800000000000001</v>
      </c>
      <c r="L15" s="647">
        <v>0.64</v>
      </c>
      <c r="M15" s="647">
        <v>0.64200000000000002</v>
      </c>
      <c r="N15" s="647">
        <v>0.64500000000000002</v>
      </c>
    </row>
    <row r="16" spans="1:16" ht="13" x14ac:dyDescent="0.3">
      <c r="B16" s="342">
        <v>57</v>
      </c>
      <c r="C16" s="647">
        <v>0.64700000000000002</v>
      </c>
      <c r="D16" s="647">
        <v>0.65</v>
      </c>
      <c r="E16" s="647">
        <v>0.65300000000000002</v>
      </c>
      <c r="F16" s="647">
        <v>0.65600000000000003</v>
      </c>
      <c r="G16" s="647">
        <v>0.65800000000000003</v>
      </c>
      <c r="H16" s="647">
        <v>0.66100000000000003</v>
      </c>
      <c r="I16" s="647">
        <v>0.66400000000000003</v>
      </c>
      <c r="J16" s="647">
        <v>0.66600000000000004</v>
      </c>
      <c r="K16" s="647">
        <v>0.66900000000000004</v>
      </c>
      <c r="L16" s="647">
        <v>0.67200000000000004</v>
      </c>
      <c r="M16" s="647">
        <v>0.67400000000000004</v>
      </c>
      <c r="N16" s="647">
        <v>0.67700000000000005</v>
      </c>
    </row>
    <row r="17" spans="2:16" ht="13" x14ac:dyDescent="0.3">
      <c r="B17" s="342">
        <v>58</v>
      </c>
      <c r="C17" s="647">
        <v>0.68</v>
      </c>
      <c r="D17" s="647">
        <v>0.68300000000000005</v>
      </c>
      <c r="E17" s="647">
        <v>0.68600000000000005</v>
      </c>
      <c r="F17" s="647">
        <v>0.68799999999999994</v>
      </c>
      <c r="G17" s="647">
        <v>0.69099999999999995</v>
      </c>
      <c r="H17" s="647">
        <v>0.69399999999999995</v>
      </c>
      <c r="I17" s="647">
        <v>0.69699999999999995</v>
      </c>
      <c r="J17" s="647">
        <v>0.7</v>
      </c>
      <c r="K17" s="647">
        <v>0.70299999999999996</v>
      </c>
      <c r="L17" s="647">
        <v>0.70599999999999996</v>
      </c>
      <c r="M17" s="647">
        <v>0.70899999999999996</v>
      </c>
      <c r="N17" s="647">
        <v>0.71199999999999997</v>
      </c>
    </row>
    <row r="18" spans="2:16" ht="13" x14ac:dyDescent="0.3">
      <c r="B18" s="342">
        <v>59</v>
      </c>
      <c r="C18" s="647">
        <v>0.71499999999999997</v>
      </c>
      <c r="D18" s="647">
        <v>0.71799999999999997</v>
      </c>
      <c r="E18" s="647">
        <v>0.72099999999999997</v>
      </c>
      <c r="F18" s="647">
        <v>0.72399999999999998</v>
      </c>
      <c r="G18" s="647">
        <v>0.72699999999999998</v>
      </c>
      <c r="H18" s="647">
        <v>0.73</v>
      </c>
      <c r="I18" s="647">
        <v>0.73399999999999999</v>
      </c>
      <c r="J18" s="647">
        <v>0.73699999999999999</v>
      </c>
      <c r="K18" s="647">
        <v>0.74</v>
      </c>
      <c r="L18" s="647">
        <v>0.74299999999999999</v>
      </c>
      <c r="M18" s="647">
        <v>0.746</v>
      </c>
      <c r="N18" s="647">
        <v>0.749</v>
      </c>
    </row>
    <row r="19" spans="2:16" ht="13" x14ac:dyDescent="0.3">
      <c r="B19" s="342">
        <v>60</v>
      </c>
      <c r="C19" s="647">
        <v>0.753</v>
      </c>
      <c r="D19" s="647">
        <v>0.75600000000000001</v>
      </c>
      <c r="E19" s="647">
        <v>0.75900000000000001</v>
      </c>
      <c r="F19" s="647">
        <v>0.76300000000000001</v>
      </c>
      <c r="G19" s="647">
        <v>0.76600000000000001</v>
      </c>
      <c r="H19" s="647">
        <v>0.77</v>
      </c>
      <c r="I19" s="647">
        <v>0.77300000000000002</v>
      </c>
      <c r="J19" s="647">
        <v>0.77600000000000002</v>
      </c>
      <c r="K19" s="647">
        <v>0.78</v>
      </c>
      <c r="L19" s="647">
        <v>0.78300000000000003</v>
      </c>
      <c r="M19" s="647">
        <v>0.78700000000000003</v>
      </c>
      <c r="N19" s="647">
        <v>0.79</v>
      </c>
    </row>
    <row r="20" spans="2:16" ht="13" x14ac:dyDescent="0.3">
      <c r="B20" s="342">
        <v>61</v>
      </c>
      <c r="C20" s="647">
        <v>0.79400000000000004</v>
      </c>
      <c r="D20" s="647">
        <v>0.79700000000000004</v>
      </c>
      <c r="E20" s="647">
        <v>0.80100000000000005</v>
      </c>
      <c r="F20" s="647">
        <v>0.80500000000000005</v>
      </c>
      <c r="G20" s="647">
        <v>0.80900000000000005</v>
      </c>
      <c r="H20" s="647">
        <v>0.81200000000000006</v>
      </c>
      <c r="I20" s="647">
        <v>0.81599999999999995</v>
      </c>
      <c r="J20" s="647">
        <v>0.82</v>
      </c>
      <c r="K20" s="647">
        <v>0.82299999999999995</v>
      </c>
      <c r="L20" s="647">
        <v>0.82699999999999996</v>
      </c>
      <c r="M20" s="647">
        <v>0.83099999999999996</v>
      </c>
      <c r="N20" s="647">
        <v>0.83499999999999996</v>
      </c>
    </row>
    <row r="21" spans="2:16" ht="13" x14ac:dyDescent="0.3">
      <c r="B21" s="342">
        <v>62</v>
      </c>
      <c r="C21" s="647">
        <v>0.83799999999999997</v>
      </c>
      <c r="D21" s="647">
        <v>0.84199999999999997</v>
      </c>
      <c r="E21" s="647">
        <v>0.84699999999999998</v>
      </c>
      <c r="F21" s="647">
        <v>0.85099999999999998</v>
      </c>
      <c r="G21" s="647">
        <v>0.85499999999999998</v>
      </c>
      <c r="H21" s="647">
        <v>0.85899999999999999</v>
      </c>
      <c r="I21" s="647">
        <v>0.86299999999999999</v>
      </c>
      <c r="J21" s="647">
        <v>0.86699999999999999</v>
      </c>
      <c r="K21" s="647">
        <v>0.871</v>
      </c>
      <c r="L21" s="647">
        <v>0.875</v>
      </c>
      <c r="M21" s="647">
        <v>0.879</v>
      </c>
      <c r="N21" s="647">
        <v>0.88300000000000001</v>
      </c>
    </row>
    <row r="22" spans="2:16" ht="13" x14ac:dyDescent="0.3">
      <c r="B22" s="342">
        <v>63</v>
      </c>
      <c r="C22" s="647">
        <v>0.88700000000000001</v>
      </c>
      <c r="D22" s="647">
        <v>0.89200000000000002</v>
      </c>
      <c r="E22" s="647">
        <v>0.89600000000000002</v>
      </c>
      <c r="F22" s="647">
        <v>0.90100000000000002</v>
      </c>
      <c r="G22" s="647">
        <v>0.90500000000000003</v>
      </c>
      <c r="H22" s="647">
        <v>0.91</v>
      </c>
      <c r="I22" s="647">
        <v>0.91400000000000003</v>
      </c>
      <c r="J22" s="647">
        <v>0.91900000000000004</v>
      </c>
      <c r="K22" s="647">
        <v>0.92300000000000004</v>
      </c>
      <c r="L22" s="647">
        <v>0.92800000000000005</v>
      </c>
      <c r="M22" s="647">
        <v>0.93200000000000005</v>
      </c>
      <c r="N22" s="647">
        <v>0.93700000000000006</v>
      </c>
    </row>
    <row r="23" spans="2:16" ht="13" x14ac:dyDescent="0.3">
      <c r="B23" s="342">
        <v>64</v>
      </c>
      <c r="C23" s="647">
        <v>0.94099999999999995</v>
      </c>
      <c r="D23" s="647">
        <v>0.94599999999999995</v>
      </c>
      <c r="E23" s="647">
        <v>0.95099999999999996</v>
      </c>
      <c r="F23" s="647">
        <v>0.95599999999999996</v>
      </c>
      <c r="G23" s="647">
        <v>0.96099999999999997</v>
      </c>
      <c r="H23" s="647">
        <v>0.96599999999999997</v>
      </c>
      <c r="I23" s="647">
        <v>0.97099999999999997</v>
      </c>
      <c r="J23" s="647">
        <v>0.97499999999999998</v>
      </c>
      <c r="K23" s="647">
        <v>0.98</v>
      </c>
      <c r="L23" s="647">
        <v>0.98499999999999999</v>
      </c>
      <c r="M23" s="647">
        <v>0.99</v>
      </c>
      <c r="N23" s="647">
        <v>0.995</v>
      </c>
    </row>
    <row r="24" spans="2:16" ht="13" x14ac:dyDescent="0.3">
      <c r="B24" s="107"/>
      <c r="C24" s="344"/>
      <c r="D24" s="344"/>
      <c r="E24" s="344"/>
      <c r="F24" s="344"/>
      <c r="G24" s="344"/>
      <c r="H24" s="344"/>
      <c r="I24" s="344"/>
      <c r="J24" s="344"/>
      <c r="K24" s="344"/>
      <c r="L24" s="344"/>
      <c r="M24" s="344"/>
      <c r="N24" s="344"/>
    </row>
    <row r="25" spans="2:16" ht="13" x14ac:dyDescent="0.3">
      <c r="B25" s="107"/>
      <c r="C25" s="344"/>
      <c r="D25" s="344"/>
      <c r="E25" s="344"/>
      <c r="F25" s="344"/>
      <c r="G25" s="344"/>
      <c r="H25" s="344"/>
      <c r="I25" s="344"/>
      <c r="J25" s="344"/>
      <c r="K25" s="344"/>
      <c r="L25" s="344"/>
      <c r="M25" s="344"/>
      <c r="N25" s="344"/>
    </row>
    <row r="26" spans="2:16" ht="13" x14ac:dyDescent="0.3">
      <c r="B26" s="1" t="s">
        <v>895</v>
      </c>
      <c r="D26" s="35"/>
      <c r="E26" s="35" t="s">
        <v>893</v>
      </c>
    </row>
    <row r="27" spans="2:16" ht="13.5" thickBot="1" x14ac:dyDescent="0.35">
      <c r="B27" s="1" t="s">
        <v>896</v>
      </c>
      <c r="D27" s="35"/>
    </row>
    <row r="28" spans="2:16" ht="13.5" thickBot="1" x14ac:dyDescent="0.35">
      <c r="B28" s="345" t="s">
        <v>421</v>
      </c>
      <c r="C28" s="345">
        <v>0</v>
      </c>
      <c r="D28" s="345">
        <v>1</v>
      </c>
      <c r="E28" s="345">
        <v>2</v>
      </c>
      <c r="F28" s="345">
        <v>3</v>
      </c>
      <c r="G28" s="345">
        <v>4</v>
      </c>
      <c r="H28" s="345">
        <v>5</v>
      </c>
      <c r="I28" s="345">
        <v>6</v>
      </c>
      <c r="J28" s="345">
        <v>7</v>
      </c>
      <c r="K28" s="345">
        <v>8</v>
      </c>
      <c r="L28" s="345">
        <v>9</v>
      </c>
      <c r="M28" s="345">
        <v>10</v>
      </c>
      <c r="N28" s="345">
        <v>11</v>
      </c>
    </row>
    <row r="29" spans="2:16" ht="13" x14ac:dyDescent="0.3">
      <c r="B29" s="346" t="s">
        <v>265</v>
      </c>
      <c r="C29" s="347"/>
      <c r="D29" s="347"/>
      <c r="E29" s="347"/>
      <c r="F29" s="347"/>
      <c r="G29" s="347"/>
      <c r="H29" s="347"/>
      <c r="I29" s="347"/>
      <c r="J29" s="347"/>
      <c r="K29" s="347"/>
      <c r="L29" s="347"/>
      <c r="M29" s="347"/>
      <c r="N29" s="347"/>
    </row>
    <row r="30" spans="2:16" ht="13" x14ac:dyDescent="0.3">
      <c r="B30" s="348">
        <v>5</v>
      </c>
      <c r="C30" s="349">
        <v>0.89800000000000002</v>
      </c>
      <c r="D30" s="349"/>
      <c r="E30" s="349"/>
      <c r="F30" s="349"/>
      <c r="G30" s="349"/>
      <c r="H30" s="349"/>
      <c r="I30" s="349"/>
      <c r="J30" s="349"/>
      <c r="K30" s="349"/>
      <c r="L30" s="349"/>
      <c r="M30" s="349"/>
      <c r="N30" s="349"/>
      <c r="P30" s="29"/>
    </row>
    <row r="31" spans="2:16" ht="13" x14ac:dyDescent="0.3">
      <c r="B31" s="350">
        <v>4</v>
      </c>
      <c r="C31" s="351">
        <v>0.91600000000000004</v>
      </c>
      <c r="D31" s="351">
        <v>0.91500000000000004</v>
      </c>
      <c r="E31" s="351">
        <v>0.91300000000000003</v>
      </c>
      <c r="F31" s="351">
        <v>0.91100000000000003</v>
      </c>
      <c r="G31" s="351">
        <v>0.91</v>
      </c>
      <c r="H31" s="351">
        <v>0.90900000000000003</v>
      </c>
      <c r="I31" s="351">
        <v>0.90700000000000003</v>
      </c>
      <c r="J31" s="351">
        <v>0.90600000000000003</v>
      </c>
      <c r="K31" s="351">
        <v>0.90400000000000003</v>
      </c>
      <c r="L31" s="351">
        <v>0.90300000000000002</v>
      </c>
      <c r="M31" s="351">
        <v>0.90100000000000002</v>
      </c>
      <c r="N31" s="351">
        <v>0.9</v>
      </c>
    </row>
    <row r="32" spans="2:16" ht="13" x14ac:dyDescent="0.3">
      <c r="B32" s="350">
        <v>3</v>
      </c>
      <c r="C32" s="351">
        <v>0.93500000000000005</v>
      </c>
      <c r="D32" s="351">
        <v>0.93400000000000005</v>
      </c>
      <c r="E32" s="351">
        <v>0.93200000000000005</v>
      </c>
      <c r="F32" s="351">
        <v>0.93</v>
      </c>
      <c r="G32" s="351">
        <v>0.92900000000000005</v>
      </c>
      <c r="H32" s="351">
        <v>0.92700000000000005</v>
      </c>
      <c r="I32" s="351">
        <v>0.92500000000000004</v>
      </c>
      <c r="J32" s="351">
        <v>0.92400000000000004</v>
      </c>
      <c r="K32" s="351">
        <v>0.92200000000000004</v>
      </c>
      <c r="L32" s="351">
        <v>0.92100000000000004</v>
      </c>
      <c r="M32" s="351">
        <v>0.91900000000000004</v>
      </c>
      <c r="N32" s="351">
        <v>0.91800000000000004</v>
      </c>
    </row>
    <row r="33" spans="2:14" ht="13" x14ac:dyDescent="0.3">
      <c r="B33" s="350">
        <v>2</v>
      </c>
      <c r="C33" s="351">
        <v>0.95499999999999996</v>
      </c>
      <c r="D33" s="351">
        <v>0.95399999999999996</v>
      </c>
      <c r="E33" s="351">
        <v>0.95199999999999996</v>
      </c>
      <c r="F33" s="351">
        <v>0.95</v>
      </c>
      <c r="G33" s="351">
        <v>0.94799999999999995</v>
      </c>
      <c r="H33" s="351">
        <v>0.94699999999999995</v>
      </c>
      <c r="I33" s="351">
        <v>0.94499999999999995</v>
      </c>
      <c r="J33" s="351">
        <v>0.94299999999999995</v>
      </c>
      <c r="K33" s="351">
        <v>0.94199999999999995</v>
      </c>
      <c r="L33" s="351">
        <v>0.94</v>
      </c>
      <c r="M33" s="351">
        <v>0.93799999999999994</v>
      </c>
      <c r="N33" s="351">
        <v>0.93700000000000006</v>
      </c>
    </row>
    <row r="34" spans="2:14" ht="13" x14ac:dyDescent="0.3">
      <c r="B34" s="350">
        <v>1</v>
      </c>
      <c r="C34" s="351">
        <v>0.97699999999999998</v>
      </c>
      <c r="D34" s="351">
        <v>0.97599999999999998</v>
      </c>
      <c r="E34" s="351">
        <v>0.97399999999999998</v>
      </c>
      <c r="F34" s="351">
        <v>0.97199999999999998</v>
      </c>
      <c r="G34" s="351">
        <v>0.97</v>
      </c>
      <c r="H34" s="351">
        <v>0.96799999999999997</v>
      </c>
      <c r="I34" s="351">
        <v>0.96599999999999997</v>
      </c>
      <c r="J34" s="351">
        <v>0.96399999999999997</v>
      </c>
      <c r="K34" s="351">
        <v>0.96299999999999997</v>
      </c>
      <c r="L34" s="351">
        <v>0.96099999999999997</v>
      </c>
      <c r="M34" s="351">
        <v>0.95899999999999996</v>
      </c>
      <c r="N34" s="351">
        <v>0.95699999999999996</v>
      </c>
    </row>
    <row r="35" spans="2:14" ht="13.5" thickBot="1" x14ac:dyDescent="0.35">
      <c r="B35" s="352">
        <v>0</v>
      </c>
      <c r="C35" s="353"/>
      <c r="D35" s="353">
        <v>0.999</v>
      </c>
      <c r="E35" s="353">
        <v>0.997</v>
      </c>
      <c r="F35" s="353">
        <v>0.995</v>
      </c>
      <c r="G35" s="353">
        <v>0.99299999999999999</v>
      </c>
      <c r="H35" s="353">
        <v>0.99099999999999999</v>
      </c>
      <c r="I35" s="353">
        <v>0.98899999999999999</v>
      </c>
      <c r="J35" s="353">
        <v>0.98699999999999999</v>
      </c>
      <c r="K35" s="353">
        <v>0.98499999999999999</v>
      </c>
      <c r="L35" s="353">
        <v>0.98299999999999998</v>
      </c>
      <c r="M35" s="353">
        <v>0.98099999999999998</v>
      </c>
      <c r="N35" s="353">
        <v>0.97899999999999998</v>
      </c>
    </row>
    <row r="36" spans="2:14" ht="13" x14ac:dyDescent="0.3">
      <c r="B36" s="350"/>
      <c r="C36" s="351"/>
      <c r="D36" s="351"/>
      <c r="E36" s="351"/>
      <c r="F36" s="351"/>
      <c r="G36" s="351"/>
      <c r="H36" s="351"/>
      <c r="I36" s="351"/>
      <c r="J36" s="351"/>
      <c r="K36" s="351"/>
      <c r="L36" s="351"/>
      <c r="M36" s="351"/>
      <c r="N36" s="351"/>
    </row>
    <row r="37" spans="2:14" ht="13" x14ac:dyDescent="0.3">
      <c r="B37" s="350"/>
      <c r="C37" s="351"/>
      <c r="D37" s="351"/>
      <c r="E37" s="351"/>
      <c r="F37" s="351"/>
      <c r="G37" s="351"/>
      <c r="H37" s="351"/>
      <c r="I37" s="351"/>
      <c r="J37" s="351"/>
      <c r="K37" s="351"/>
      <c r="L37" s="351"/>
      <c r="M37" s="351"/>
      <c r="N37" s="351"/>
    </row>
    <row r="38" spans="2:14" ht="13" x14ac:dyDescent="0.3">
      <c r="B38" s="1" t="s">
        <v>427</v>
      </c>
      <c r="D38" s="35"/>
      <c r="M38" s="351"/>
      <c r="N38" s="351"/>
    </row>
    <row r="39" spans="2:14" ht="13" x14ac:dyDescent="0.3">
      <c r="B39" s="1"/>
      <c r="D39" s="354"/>
      <c r="M39" s="351"/>
      <c r="N39" s="351"/>
    </row>
    <row r="40" spans="2:14" ht="14.5" x14ac:dyDescent="0.35">
      <c r="B40" s="355" t="s">
        <v>524</v>
      </c>
      <c r="C40" s="355"/>
      <c r="F40" s="35" t="s">
        <v>893</v>
      </c>
      <c r="M40" s="351"/>
      <c r="N40" s="351"/>
    </row>
    <row r="41" spans="2:14" ht="15" thickBot="1" x14ac:dyDescent="0.4">
      <c r="B41" s="648" t="s">
        <v>897</v>
      </c>
      <c r="C41" s="127"/>
      <c r="D41" s="127"/>
      <c r="E41" s="127"/>
      <c r="F41" s="127"/>
      <c r="G41" s="127"/>
      <c r="H41" s="127"/>
      <c r="I41" s="127"/>
      <c r="J41" s="127"/>
      <c r="K41" s="127"/>
      <c r="L41" s="127"/>
      <c r="M41" s="351"/>
      <c r="N41" s="351"/>
    </row>
    <row r="42" spans="2:14" ht="15" thickBot="1" x14ac:dyDescent="0.4">
      <c r="B42" s="127" t="s">
        <v>525</v>
      </c>
      <c r="C42" s="127"/>
      <c r="D42" s="127"/>
      <c r="E42" s="127"/>
      <c r="F42" s="127"/>
      <c r="G42" s="357" t="s">
        <v>265</v>
      </c>
      <c r="H42" s="127"/>
      <c r="I42" s="127"/>
      <c r="J42" s="127"/>
      <c r="K42" s="127"/>
      <c r="L42" s="127"/>
      <c r="M42" s="351"/>
      <c r="N42" s="351"/>
    </row>
    <row r="43" spans="2:14" ht="15" thickBot="1" x14ac:dyDescent="0.4">
      <c r="B43" s="356" t="s">
        <v>421</v>
      </c>
      <c r="C43" s="357">
        <v>60</v>
      </c>
      <c r="D43" s="357">
        <v>61</v>
      </c>
      <c r="E43" s="357">
        <v>62</v>
      </c>
      <c r="F43" s="357">
        <v>63</v>
      </c>
      <c r="G43" s="357">
        <v>64</v>
      </c>
      <c r="H43" s="357">
        <v>65</v>
      </c>
      <c r="I43" s="357">
        <v>66</v>
      </c>
      <c r="J43" s="357">
        <v>67</v>
      </c>
      <c r="K43" s="357">
        <v>68</v>
      </c>
      <c r="L43" s="357">
        <v>69</v>
      </c>
      <c r="M43" s="351"/>
      <c r="N43" s="351"/>
    </row>
    <row r="44" spans="2:14" ht="14.5" x14ac:dyDescent="0.35">
      <c r="B44" s="358">
        <v>0</v>
      </c>
      <c r="C44" s="359">
        <v>1E-3</v>
      </c>
      <c r="D44" s="359">
        <v>2.7E-2</v>
      </c>
      <c r="E44" s="359">
        <v>2.9000000000000001E-2</v>
      </c>
      <c r="F44" s="359">
        <v>0.03</v>
      </c>
      <c r="G44" s="359">
        <v>3.2000000000000001E-2</v>
      </c>
      <c r="H44" s="359">
        <v>3.3000000000000002E-2</v>
      </c>
      <c r="I44" s="359">
        <v>3.5000000000000003E-2</v>
      </c>
      <c r="J44" s="359">
        <v>3.5999999999999997E-2</v>
      </c>
      <c r="K44" s="359">
        <v>3.7999999999999999E-2</v>
      </c>
      <c r="L44" s="359">
        <v>0.04</v>
      </c>
      <c r="M44" s="351"/>
      <c r="N44" s="351"/>
    </row>
    <row r="45" spans="2:14" ht="14.5" x14ac:dyDescent="0.35">
      <c r="B45" s="358">
        <v>1</v>
      </c>
      <c r="C45" s="359">
        <v>3.0000000000000001E-3</v>
      </c>
      <c r="D45" s="359">
        <v>2.7E-2</v>
      </c>
      <c r="E45" s="359">
        <v>2.9000000000000001E-2</v>
      </c>
      <c r="F45" s="359">
        <v>0.03</v>
      </c>
      <c r="G45" s="359">
        <v>3.2000000000000001E-2</v>
      </c>
      <c r="H45" s="359">
        <v>3.4000000000000002E-2</v>
      </c>
      <c r="I45" s="359">
        <v>3.5000000000000003E-2</v>
      </c>
      <c r="J45" s="359">
        <v>3.6999999999999998E-2</v>
      </c>
      <c r="K45" s="359">
        <v>3.7999999999999999E-2</v>
      </c>
      <c r="L45" s="359">
        <v>0.04</v>
      </c>
      <c r="M45" s="351"/>
      <c r="N45" s="351"/>
    </row>
    <row r="46" spans="2:14" ht="14.5" x14ac:dyDescent="0.35">
      <c r="B46" s="358">
        <v>2</v>
      </c>
      <c r="C46" s="359">
        <v>6.0000000000000001E-3</v>
      </c>
      <c r="D46" s="359">
        <v>2.8000000000000001E-2</v>
      </c>
      <c r="E46" s="359">
        <v>2.9000000000000001E-2</v>
      </c>
      <c r="F46" s="359">
        <v>0.03</v>
      </c>
      <c r="G46" s="359">
        <v>3.2000000000000001E-2</v>
      </c>
      <c r="H46" s="359">
        <v>3.4000000000000002E-2</v>
      </c>
      <c r="I46" s="359">
        <v>3.5000000000000003E-2</v>
      </c>
      <c r="J46" s="359">
        <v>3.6999999999999998E-2</v>
      </c>
      <c r="K46" s="359">
        <v>3.7999999999999999E-2</v>
      </c>
      <c r="L46" s="359">
        <v>0.04</v>
      </c>
      <c r="M46" s="351"/>
      <c r="N46" s="351"/>
    </row>
    <row r="47" spans="2:14" ht="14.5" x14ac:dyDescent="0.35">
      <c r="B47" s="358">
        <v>3</v>
      </c>
      <c r="C47" s="359">
        <v>8.0000000000000002E-3</v>
      </c>
      <c r="D47" s="359">
        <v>2.8000000000000001E-2</v>
      </c>
      <c r="E47" s="359">
        <v>2.9000000000000001E-2</v>
      </c>
      <c r="F47" s="359">
        <v>3.1E-2</v>
      </c>
      <c r="G47" s="359">
        <v>3.2000000000000001E-2</v>
      </c>
      <c r="H47" s="359">
        <v>3.4000000000000002E-2</v>
      </c>
      <c r="I47" s="359">
        <v>3.5000000000000003E-2</v>
      </c>
      <c r="J47" s="359">
        <v>3.6999999999999998E-2</v>
      </c>
      <c r="K47" s="359">
        <v>3.7999999999999999E-2</v>
      </c>
      <c r="L47" s="359">
        <v>0.04</v>
      </c>
      <c r="M47" s="351"/>
      <c r="N47" s="351"/>
    </row>
    <row r="48" spans="2:14" ht="14.5" x14ac:dyDescent="0.35">
      <c r="B48" s="358">
        <v>4</v>
      </c>
      <c r="C48" s="359">
        <v>0.01</v>
      </c>
      <c r="D48" s="359">
        <v>2.8000000000000001E-2</v>
      </c>
      <c r="E48" s="359">
        <v>2.9000000000000001E-2</v>
      </c>
      <c r="F48" s="359">
        <v>3.1E-2</v>
      </c>
      <c r="G48" s="359">
        <v>3.2000000000000001E-2</v>
      </c>
      <c r="H48" s="359">
        <v>3.4000000000000002E-2</v>
      </c>
      <c r="I48" s="359">
        <v>3.5000000000000003E-2</v>
      </c>
      <c r="J48" s="359">
        <v>3.6999999999999998E-2</v>
      </c>
      <c r="K48" s="359">
        <v>3.9E-2</v>
      </c>
      <c r="L48" s="359">
        <v>4.1000000000000002E-2</v>
      </c>
      <c r="M48" s="351"/>
      <c r="N48" s="351"/>
    </row>
    <row r="49" spans="2:14" ht="14.5" x14ac:dyDescent="0.35">
      <c r="B49" s="358">
        <v>5</v>
      </c>
      <c r="C49" s="359">
        <v>1.2E-2</v>
      </c>
      <c r="D49" s="359">
        <v>2.8000000000000001E-2</v>
      </c>
      <c r="E49" s="359">
        <v>2.9000000000000001E-2</v>
      </c>
      <c r="F49" s="359">
        <v>3.1E-2</v>
      </c>
      <c r="G49" s="359">
        <v>3.2000000000000001E-2</v>
      </c>
      <c r="H49" s="359">
        <v>3.4000000000000002E-2</v>
      </c>
      <c r="I49" s="359">
        <v>3.5999999999999997E-2</v>
      </c>
      <c r="J49" s="359">
        <v>3.6999999999999998E-2</v>
      </c>
      <c r="K49" s="359">
        <v>3.9E-2</v>
      </c>
      <c r="L49" s="359">
        <v>4.1000000000000002E-2</v>
      </c>
      <c r="M49" s="351"/>
      <c r="N49" s="351"/>
    </row>
    <row r="50" spans="2:14" ht="14.5" x14ac:dyDescent="0.35">
      <c r="B50" s="358">
        <v>6</v>
      </c>
      <c r="C50" s="359">
        <v>1.4999999999999999E-2</v>
      </c>
      <c r="D50" s="359">
        <v>2.8000000000000001E-2</v>
      </c>
      <c r="E50" s="359">
        <v>2.9000000000000001E-2</v>
      </c>
      <c r="F50" s="359">
        <v>3.1E-2</v>
      </c>
      <c r="G50" s="359">
        <v>3.3000000000000002E-2</v>
      </c>
      <c r="H50" s="359">
        <v>3.4000000000000002E-2</v>
      </c>
      <c r="I50" s="359">
        <v>3.5999999999999997E-2</v>
      </c>
      <c r="J50" s="359">
        <v>3.6999999999999998E-2</v>
      </c>
      <c r="K50" s="359">
        <v>3.9E-2</v>
      </c>
      <c r="L50" s="359">
        <v>4.1000000000000002E-2</v>
      </c>
      <c r="M50" s="351"/>
      <c r="N50" s="351"/>
    </row>
    <row r="51" spans="2:14" ht="14.5" x14ac:dyDescent="0.35">
      <c r="B51" s="358">
        <v>7</v>
      </c>
      <c r="C51" s="359">
        <v>1.7000000000000001E-2</v>
      </c>
      <c r="D51" s="359">
        <v>2.8000000000000001E-2</v>
      </c>
      <c r="E51" s="359">
        <v>0.03</v>
      </c>
      <c r="F51" s="359">
        <v>3.1E-2</v>
      </c>
      <c r="G51" s="359">
        <v>3.3000000000000002E-2</v>
      </c>
      <c r="H51" s="359">
        <v>3.4000000000000002E-2</v>
      </c>
      <c r="I51" s="359">
        <v>3.5999999999999997E-2</v>
      </c>
      <c r="J51" s="359">
        <v>3.6999999999999998E-2</v>
      </c>
      <c r="K51" s="359">
        <v>3.9E-2</v>
      </c>
      <c r="L51" s="359">
        <v>4.1000000000000002E-2</v>
      </c>
      <c r="M51" s="351"/>
      <c r="N51" s="351"/>
    </row>
    <row r="52" spans="2:14" ht="14.5" x14ac:dyDescent="0.35">
      <c r="B52" s="358">
        <v>8</v>
      </c>
      <c r="C52" s="359">
        <v>1.9E-2</v>
      </c>
      <c r="D52" s="359">
        <v>2.8000000000000001E-2</v>
      </c>
      <c r="E52" s="359">
        <v>0.03</v>
      </c>
      <c r="F52" s="359">
        <v>3.1E-2</v>
      </c>
      <c r="G52" s="359">
        <v>3.3000000000000002E-2</v>
      </c>
      <c r="H52" s="359">
        <v>3.4000000000000002E-2</v>
      </c>
      <c r="I52" s="359">
        <v>3.5999999999999997E-2</v>
      </c>
      <c r="J52" s="359">
        <v>3.6999999999999998E-2</v>
      </c>
      <c r="K52" s="359">
        <v>3.9E-2</v>
      </c>
      <c r="L52" s="359">
        <v>4.2000000000000003E-2</v>
      </c>
      <c r="M52" s="351"/>
      <c r="N52" s="351"/>
    </row>
    <row r="53" spans="2:14" ht="14.5" x14ac:dyDescent="0.35">
      <c r="B53" s="358">
        <v>9</v>
      </c>
      <c r="C53" s="359">
        <v>2.1999999999999999E-2</v>
      </c>
      <c r="D53" s="359">
        <v>2.8000000000000001E-2</v>
      </c>
      <c r="E53" s="359">
        <v>0.03</v>
      </c>
      <c r="F53" s="359">
        <v>3.1E-2</v>
      </c>
      <c r="G53" s="359">
        <v>3.3000000000000002E-2</v>
      </c>
      <c r="H53" s="359">
        <v>3.5000000000000003E-2</v>
      </c>
      <c r="I53" s="359">
        <v>3.5999999999999997E-2</v>
      </c>
      <c r="J53" s="359">
        <v>3.7999999999999999E-2</v>
      </c>
      <c r="K53" s="359">
        <v>3.9E-2</v>
      </c>
      <c r="L53" s="359">
        <v>4.2000000000000003E-2</v>
      </c>
      <c r="M53" s="351"/>
      <c r="N53" s="351"/>
    </row>
    <row r="54" spans="2:14" ht="14.5" x14ac:dyDescent="0.35">
      <c r="B54" s="358">
        <v>10</v>
      </c>
      <c r="C54" s="359">
        <v>2.4E-2</v>
      </c>
      <c r="D54" s="359">
        <v>2.8000000000000001E-2</v>
      </c>
      <c r="E54" s="359">
        <v>0.03</v>
      </c>
      <c r="F54" s="359">
        <v>3.1E-2</v>
      </c>
      <c r="G54" s="359">
        <v>3.3000000000000002E-2</v>
      </c>
      <c r="H54" s="359">
        <v>3.5000000000000003E-2</v>
      </c>
      <c r="I54" s="359">
        <v>3.5999999999999997E-2</v>
      </c>
      <c r="J54" s="359">
        <v>3.7999999999999999E-2</v>
      </c>
      <c r="K54" s="359">
        <v>3.9E-2</v>
      </c>
      <c r="L54" s="359">
        <v>4.2000000000000003E-2</v>
      </c>
      <c r="M54" s="351"/>
      <c r="N54" s="351"/>
    </row>
    <row r="55" spans="2:14" ht="15" thickBot="1" x14ac:dyDescent="0.4">
      <c r="B55" s="357">
        <v>11</v>
      </c>
      <c r="C55" s="360">
        <v>2.5999999999999999E-2</v>
      </c>
      <c r="D55" s="360">
        <v>2.9000000000000001E-2</v>
      </c>
      <c r="E55" s="360">
        <v>0.03</v>
      </c>
      <c r="F55" s="360">
        <v>3.2000000000000001E-2</v>
      </c>
      <c r="G55" s="360">
        <v>3.3000000000000002E-2</v>
      </c>
      <c r="H55" s="360">
        <v>3.5000000000000003E-2</v>
      </c>
      <c r="I55" s="360">
        <v>3.5999999999999997E-2</v>
      </c>
      <c r="J55" s="360">
        <v>3.7999999999999999E-2</v>
      </c>
      <c r="K55" s="360">
        <v>3.9E-2</v>
      </c>
      <c r="L55" s="360">
        <v>4.2000000000000003E-2</v>
      </c>
      <c r="M55" s="351"/>
      <c r="N55" s="351"/>
    </row>
  </sheetData>
  <hyperlinks>
    <hyperlink ref="C10" r:id="rId1"/>
    <hyperlink ref="E26" r:id="rId2"/>
    <hyperlink ref="F40" r:id="rId3"/>
  </hyperlinks>
  <pageMargins left="0.7" right="0.7" top="0.75" bottom="0.75" header="0.3" footer="0.3"/>
  <pageSetup paperSize="9" orientation="portrait" r:id="rId4"/>
  <headerFooter>
    <oddHeader>&amp;CPROTECT - SCHEME MANAGEMENT&amp;L_x000D_&amp;Z&amp;F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rgb="FF92D050"/>
    <pageSetUpPr fitToPage="1"/>
  </sheetPr>
  <dimension ref="A1:O60"/>
  <sheetViews>
    <sheetView workbookViewId="0"/>
  </sheetViews>
  <sheetFormatPr defaultRowHeight="12.5" x14ac:dyDescent="0.25"/>
  <cols>
    <col min="2" max="2" width="11.1796875" customWidth="1"/>
    <col min="3" max="3" width="47.453125" bestFit="1" customWidth="1"/>
    <col min="4" max="6" width="12.453125" customWidth="1"/>
    <col min="7" max="7" width="11.453125" bestFit="1" customWidth="1"/>
    <col min="8" max="8" width="25.1796875" customWidth="1"/>
    <col min="9" max="9" width="26.1796875" bestFit="1" customWidth="1"/>
    <col min="10" max="10" width="12.453125" bestFit="1" customWidth="1"/>
    <col min="11" max="11" width="12.453125" customWidth="1"/>
    <col min="12" max="12" width="14.453125" bestFit="1" customWidth="1"/>
    <col min="14" max="14" width="10.1796875" bestFit="1" customWidth="1"/>
  </cols>
  <sheetData>
    <row r="1" spans="1:15" ht="20" x14ac:dyDescent="0.4">
      <c r="A1" s="13" t="s">
        <v>19</v>
      </c>
      <c r="B1" s="12"/>
      <c r="C1" s="12"/>
      <c r="D1" s="12"/>
      <c r="E1" s="12"/>
      <c r="F1" s="12"/>
      <c r="G1" s="12"/>
      <c r="H1" s="12"/>
    </row>
    <row r="2" spans="1:15" ht="15.5" x14ac:dyDescent="0.35">
      <c r="A2" s="27" t="str">
        <f>IF(title="&gt; Enter workbook title here","Enter workbook title in Cover sheet",title)</f>
        <v>Scottish Fire pension  projection calculator</v>
      </c>
      <c r="B2" s="11"/>
      <c r="C2" s="11"/>
      <c r="D2" s="11"/>
      <c r="E2" s="11"/>
      <c r="F2" s="11"/>
      <c r="G2" s="11"/>
      <c r="H2" s="11"/>
    </row>
    <row r="3" spans="1:15" ht="15.5" x14ac:dyDescent="0.35">
      <c r="A3" s="76" t="s">
        <v>527</v>
      </c>
      <c r="B3" s="11"/>
      <c r="C3" s="11"/>
      <c r="D3" s="11"/>
      <c r="E3" s="11"/>
      <c r="F3" s="11"/>
      <c r="G3" s="11"/>
      <c r="H3" s="11"/>
    </row>
    <row r="4" spans="1:15" ht="13" thickBot="1" x14ac:dyDescent="0.3">
      <c r="A4" s="7" t="str">
        <f ca="1">CELL("filename",A1)</f>
        <v>C:\Users\u418711\AppData\Local\Microsoft\Windows\INetCache\Content.Outlook\PTLKNQ86\[Copy of Fire Scotland - Benefit Calculator - 22Dec2020.xlsx]FPS and NFPS calcs</v>
      </c>
      <c r="H4" s="540"/>
    </row>
    <row r="5" spans="1:15" ht="13" thickBot="1" x14ac:dyDescent="0.3">
      <c r="I5" s="457" t="s">
        <v>571</v>
      </c>
      <c r="J5" s="128"/>
      <c r="K5" s="128"/>
      <c r="L5" s="128"/>
      <c r="M5" s="128"/>
      <c r="N5" s="209"/>
    </row>
    <row r="6" spans="1:15" x14ac:dyDescent="0.25">
      <c r="C6" s="457" t="s">
        <v>348</v>
      </c>
      <c r="D6" s="459">
        <f>(DoStartSchYear-DoB)/DoY</f>
        <v>0.2518822724161533</v>
      </c>
      <c r="I6" s="484">
        <v>1992</v>
      </c>
      <c r="J6" s="473"/>
      <c r="K6" s="473"/>
      <c r="L6" s="474">
        <v>2006</v>
      </c>
      <c r="M6" s="472"/>
      <c r="N6" s="111"/>
    </row>
    <row r="7" spans="1:15" x14ac:dyDescent="0.25">
      <c r="C7" s="383" t="s">
        <v>349</v>
      </c>
      <c r="D7" s="460">
        <f>INT(D6)</f>
        <v>0</v>
      </c>
      <c r="E7" s="29" t="s">
        <v>66</v>
      </c>
      <c r="I7" s="383" t="s">
        <v>602</v>
      </c>
      <c r="J7" s="9" t="b">
        <f>D9&gt;=45</f>
        <v>1</v>
      </c>
      <c r="K7" s="9"/>
      <c r="L7" s="538" t="s">
        <v>605</v>
      </c>
      <c r="M7" s="465" t="b">
        <f>D9&gt;=50</f>
        <v>1</v>
      </c>
      <c r="N7" s="111"/>
    </row>
    <row r="8" spans="1:15" x14ac:dyDescent="0.25">
      <c r="C8" s="383" t="s">
        <v>305</v>
      </c>
      <c r="D8" s="461">
        <f>INT((D6-INT(D6))*12)</f>
        <v>3</v>
      </c>
      <c r="E8" s="29" t="s">
        <v>71</v>
      </c>
      <c r="I8" s="383" t="s">
        <v>603</v>
      </c>
      <c r="J8" s="9" t="b">
        <f>D9&gt;=40</f>
        <v>1</v>
      </c>
      <c r="K8" s="9"/>
      <c r="L8" s="469"/>
      <c r="M8" s="467"/>
      <c r="N8" s="111"/>
    </row>
    <row r="9" spans="1:15" x14ac:dyDescent="0.25">
      <c r="C9" s="383" t="s">
        <v>86</v>
      </c>
      <c r="D9" s="460">
        <f>(ProtectDate-DoB)/DoY</f>
        <v>112.25188227241615</v>
      </c>
      <c r="E9" s="86"/>
      <c r="I9" s="383" t="s">
        <v>604</v>
      </c>
      <c r="J9" s="9" t="e">
        <f>D18&gt;=20</f>
        <v>#N/A</v>
      </c>
      <c r="K9" s="9"/>
      <c r="L9" s="475"/>
      <c r="M9" s="468"/>
      <c r="N9" s="111"/>
    </row>
    <row r="10" spans="1:15" x14ac:dyDescent="0.25">
      <c r="C10" s="383" t="s">
        <v>561</v>
      </c>
      <c r="D10" s="460">
        <f>INT(D9*12)/12</f>
        <v>112.25</v>
      </c>
      <c r="E10" s="86"/>
      <c r="H10" s="9"/>
      <c r="I10" s="484" t="s">
        <v>557</v>
      </c>
      <c r="J10" s="471" t="e">
        <f>OR(J7,AND(J8,J9))</f>
        <v>#N/A</v>
      </c>
      <c r="K10" s="471"/>
      <c r="L10" s="470" t="s">
        <v>568</v>
      </c>
      <c r="M10" s="472" t="b">
        <f>M7</f>
        <v>1</v>
      </c>
      <c r="N10" s="111"/>
    </row>
    <row r="11" spans="1:15" x14ac:dyDescent="0.25">
      <c r="C11" s="383" t="s">
        <v>526</v>
      </c>
      <c r="D11" s="462">
        <f>(NFPSstart-DJS)/DoY+TVinYears+TVinDays/DoY</f>
        <v>106.26420260095824</v>
      </c>
      <c r="E11" s="86" t="s">
        <v>541</v>
      </c>
      <c r="H11" s="9"/>
      <c r="I11" s="137"/>
      <c r="J11" s="9"/>
      <c r="K11" s="9"/>
      <c r="L11" s="9"/>
      <c r="M11" s="9"/>
      <c r="N11" s="111"/>
    </row>
    <row r="12" spans="1:15" x14ac:dyDescent="0.25">
      <c r="C12" s="383" t="s">
        <v>144</v>
      </c>
      <c r="D12" s="463" t="e">
        <f>IF(DJS&gt;=NewSchDate,"",IF(Calculator!J44="Part-time","N",IF(AND(CurrentScheme=Sch_NFPS,DJS&lt;DATE(2006,4,6)),"Y","N")))</f>
        <v>#N/A</v>
      </c>
      <c r="E12" s="86" t="s">
        <v>541</v>
      </c>
      <c r="H12" s="29" t="s">
        <v>567</v>
      </c>
      <c r="I12" s="485" t="s">
        <v>558</v>
      </c>
      <c r="J12" s="465"/>
      <c r="K12" s="480" t="s">
        <v>565</v>
      </c>
      <c r="L12" s="470" t="s">
        <v>569</v>
      </c>
      <c r="M12" s="472"/>
      <c r="N12" s="486" t="s">
        <v>565</v>
      </c>
    </row>
    <row r="13" spans="1:15" x14ac:dyDescent="0.25">
      <c r="C13" s="458" t="s">
        <v>517</v>
      </c>
      <c r="D13" s="461">
        <f>ROUNDDOWN((NFPSstart-DoB)/DoY,0)</f>
        <v>106</v>
      </c>
      <c r="E13" s="86" t="s">
        <v>541</v>
      </c>
      <c r="I13" s="490" t="s">
        <v>606</v>
      </c>
      <c r="J13" s="465" t="b">
        <f>DoB&gt;=Tapers!B13</f>
        <v>0</v>
      </c>
      <c r="K13" s="481"/>
      <c r="L13" s="466" t="s">
        <v>611</v>
      </c>
      <c r="M13" s="467" t="b">
        <f>DoB&gt;=Tapers!F13</f>
        <v>0</v>
      </c>
      <c r="N13" s="487"/>
    </row>
    <row r="14" spans="1:15" x14ac:dyDescent="0.25">
      <c r="C14" s="458" t="s">
        <v>518</v>
      </c>
      <c r="D14" s="461">
        <f>ROUNDDOWN((DJS-DoB)/DoY,0)</f>
        <v>0</v>
      </c>
      <c r="E14" s="86" t="s">
        <v>541</v>
      </c>
      <c r="I14" s="539" t="s">
        <v>607</v>
      </c>
      <c r="J14" s="468" t="b">
        <f>DoB &lt;=Tapers!C60</f>
        <v>1</v>
      </c>
      <c r="K14" s="481"/>
      <c r="L14" s="466" t="s">
        <v>612</v>
      </c>
      <c r="M14" s="467" t="b">
        <f>DoB&lt;=Tapers!G60</f>
        <v>1</v>
      </c>
      <c r="N14" s="487"/>
    </row>
    <row r="15" spans="1:15" x14ac:dyDescent="0.25">
      <c r="C15" s="458" t="s">
        <v>572</v>
      </c>
      <c r="D15" s="461">
        <f>IF(D13&lt;=55,2,MIN(D13-55+2,60))</f>
        <v>53</v>
      </c>
      <c r="E15" s="86" t="s">
        <v>622</v>
      </c>
      <c r="H15" s="86" t="s">
        <v>616</v>
      </c>
      <c r="I15" s="488" t="s">
        <v>564</v>
      </c>
      <c r="J15" s="468" t="e">
        <f>AND(J13,J14,J10=FALSE)</f>
        <v>#N/A</v>
      </c>
      <c r="K15" s="46">
        <f>IFERROR(VLOOKUP(DoB,tapertab1,3,TRUE),0)</f>
        <v>0</v>
      </c>
      <c r="L15" s="476" t="s">
        <v>547</v>
      </c>
      <c r="M15" s="472" t="b">
        <f>AND(M13,M14)</f>
        <v>0</v>
      </c>
      <c r="N15" s="541">
        <f>IFERROR(VLOOKUP(DoB,tapertab2,3,TRUE),0)</f>
        <v>0</v>
      </c>
      <c r="O15" s="86" t="s">
        <v>620</v>
      </c>
    </row>
    <row r="16" spans="1:15" x14ac:dyDescent="0.25">
      <c r="C16" s="383" t="s">
        <v>145</v>
      </c>
      <c r="D16" s="461" t="e">
        <f>IF(D12="Y",VLOOKUP(D14,Uplift_factors,D15,FALSE),1)</f>
        <v>#N/A</v>
      </c>
      <c r="E16" s="86" t="s">
        <v>622</v>
      </c>
      <c r="I16" s="490" t="s">
        <v>562</v>
      </c>
      <c r="J16" s="465" t="b">
        <f>D9&lt;40</f>
        <v>0</v>
      </c>
      <c r="K16" s="46"/>
      <c r="L16" s="9"/>
      <c r="M16" s="9"/>
      <c r="N16" s="111"/>
    </row>
    <row r="17" spans="2:14" x14ac:dyDescent="0.25">
      <c r="C17" s="383" t="s">
        <v>84</v>
      </c>
      <c r="D17" s="464" t="e">
        <f>D11*D16+NonUplifted</f>
        <v>#N/A</v>
      </c>
      <c r="F17" s="9"/>
      <c r="I17" s="383" t="s">
        <v>604</v>
      </c>
      <c r="J17" s="467" t="e">
        <f>D18&gt;=20</f>
        <v>#N/A</v>
      </c>
      <c r="K17" s="46"/>
      <c r="L17" s="9"/>
      <c r="M17" s="9"/>
      <c r="N17" s="111"/>
    </row>
    <row r="18" spans="2:14" ht="13" thickBot="1" x14ac:dyDescent="0.3">
      <c r="C18" s="455" t="s">
        <v>542</v>
      </c>
      <c r="D18" s="164" t="e">
        <f>D17-Calculator!J55-Calculator!J56/365.25</f>
        <v>#N/A</v>
      </c>
      <c r="H18" s="86" t="s">
        <v>617</v>
      </c>
      <c r="I18" s="489" t="s">
        <v>559</v>
      </c>
      <c r="J18" s="472" t="e">
        <f>AND(J16,J17,J10=FALSE)</f>
        <v>#N/A</v>
      </c>
      <c r="K18" s="46">
        <f>IFERROR(VLOOKUP(DoB,tapertab3,3,TRUE),0)</f>
        <v>0</v>
      </c>
      <c r="L18" s="9"/>
      <c r="M18" s="9"/>
      <c r="N18" s="111"/>
    </row>
    <row r="19" spans="2:14" ht="13" thickBot="1" x14ac:dyDescent="0.3">
      <c r="C19" s="482" t="s">
        <v>566</v>
      </c>
      <c r="D19" s="483" t="e">
        <f>INT(12*D18)/12</f>
        <v>#N/A</v>
      </c>
      <c r="I19" s="490" t="s">
        <v>603</v>
      </c>
      <c r="J19" s="465" t="b">
        <f>J8</f>
        <v>1</v>
      </c>
      <c r="K19" s="46"/>
      <c r="L19" s="9"/>
      <c r="M19" s="9"/>
      <c r="N19" s="111"/>
    </row>
    <row r="20" spans="2:14" ht="12.75" customHeight="1" thickBot="1" x14ac:dyDescent="0.3">
      <c r="C20" s="477"/>
      <c r="D20" s="478"/>
      <c r="I20" s="383" t="s">
        <v>608</v>
      </c>
      <c r="J20" s="467" t="e">
        <f>D18&gt;=16</f>
        <v>#N/A</v>
      </c>
      <c r="K20" s="46"/>
      <c r="L20" s="9"/>
      <c r="M20" s="9"/>
      <c r="N20" s="111"/>
    </row>
    <row r="21" spans="2:14" ht="13.5" thickBot="1" x14ac:dyDescent="0.35">
      <c r="C21" s="1"/>
      <c r="D21" s="124" t="str">
        <f>Sch_FPS</f>
        <v>FPS</v>
      </c>
      <c r="E21" s="118" t="str">
        <f>Sch_NFPS</f>
        <v>NFPS</v>
      </c>
      <c r="F21" s="494" t="s">
        <v>87</v>
      </c>
      <c r="H21" s="29"/>
      <c r="I21" s="383" t="s">
        <v>609</v>
      </c>
      <c r="J21" s="467" t="e">
        <f>D18 &lt; 20</f>
        <v>#N/A</v>
      </c>
      <c r="K21" s="46"/>
      <c r="L21" s="9"/>
      <c r="M21" s="9"/>
      <c r="N21" s="111"/>
    </row>
    <row r="22" spans="2:14" ht="13.5" thickBot="1" x14ac:dyDescent="0.35">
      <c r="B22" s="117"/>
      <c r="C22" s="118" t="s">
        <v>83</v>
      </c>
      <c r="D22" s="135">
        <f>DoR</f>
        <v>0</v>
      </c>
      <c r="E22" s="133">
        <f>DoR</f>
        <v>0</v>
      </c>
      <c r="F22" s="134" t="e">
        <f>IF(CurrentScheme=Sch_FPS,D22,E22)</f>
        <v>#N/A</v>
      </c>
      <c r="H22" s="86" t="s">
        <v>618</v>
      </c>
      <c r="I22" s="489" t="s">
        <v>560</v>
      </c>
      <c r="J22" s="472" t="e">
        <f>AND(J19,J20,J21,J10=FALSE)</f>
        <v>#N/A</v>
      </c>
      <c r="K22" s="46">
        <f>IFERROR(VLOOKUP(D18,tapertab4,3,TRUE),0)</f>
        <v>0</v>
      </c>
      <c r="L22" s="9"/>
      <c r="M22" s="9"/>
      <c r="N22" s="111"/>
    </row>
    <row r="23" spans="2:14" ht="13" x14ac:dyDescent="0.3">
      <c r="B23" s="728" t="s">
        <v>298</v>
      </c>
      <c r="C23" s="108" t="s">
        <v>194</v>
      </c>
      <c r="D23" s="136">
        <f>(DATE(YEAR(DJS)-TVinYears+Calculator!J55,MONTH(DJS),DAY(DJS))-TVinDays+Calculator!J56)</f>
        <v>0</v>
      </c>
      <c r="E23" s="175">
        <f>D23</f>
        <v>0</v>
      </c>
      <c r="F23" s="131" t="e">
        <f>IF(CurrentScheme=Sch_FPS,D23,E23)</f>
        <v>#N/A</v>
      </c>
      <c r="G23" s="86"/>
      <c r="H23" s="29"/>
      <c r="I23" s="491" t="s">
        <v>562</v>
      </c>
      <c r="J23" s="465" t="b">
        <f>J16</f>
        <v>0</v>
      </c>
      <c r="K23" s="46"/>
      <c r="L23" s="9"/>
      <c r="M23" s="9"/>
      <c r="N23" s="111"/>
    </row>
    <row r="24" spans="2:14" ht="13" x14ac:dyDescent="0.3">
      <c r="B24" s="729"/>
      <c r="C24" s="16" t="s">
        <v>72</v>
      </c>
      <c r="D24" s="137" t="e">
        <f>IF(J10=TRUE,"Full",IF(J28=0,"None","Tapered"))</f>
        <v>#N/A</v>
      </c>
      <c r="E24" s="9" t="str">
        <f>IF(M10=TRUE,"Full",IF(M15=FALSE,"None","Tapered"))</f>
        <v>Full</v>
      </c>
      <c r="F24" s="111" t="e">
        <f>IF(CurrentScheme=Sch_FPS,D24,E24)</f>
        <v>#N/A</v>
      </c>
      <c r="G24" s="86"/>
      <c r="H24" s="86" t="s">
        <v>615</v>
      </c>
      <c r="I24" s="458" t="s">
        <v>610</v>
      </c>
      <c r="J24" s="467" t="b">
        <f>D10&gt;=(36+1/12)</f>
        <v>1</v>
      </c>
      <c r="K24" s="46"/>
      <c r="L24" s="9"/>
      <c r="M24" s="9"/>
      <c r="N24" s="111"/>
    </row>
    <row r="25" spans="2:14" ht="13.5" thickBot="1" x14ac:dyDescent="0.35">
      <c r="B25" s="730"/>
      <c r="C25" s="104" t="s">
        <v>80</v>
      </c>
      <c r="D25" s="307" t="e">
        <f>IF(D24="None",NewSchDate-1,IF(D24="Tapered",J28,"N/A"))</f>
        <v>#N/A</v>
      </c>
      <c r="E25" s="176" t="str">
        <f>IF(E24="None",NewSchDate-1,IF(E24="Tapered",N15,"N/A"))</f>
        <v>N/A</v>
      </c>
      <c r="F25" s="177" t="e">
        <f>IF(CurrentScheme=Sch_FPS,D25,E25)</f>
        <v>#N/A</v>
      </c>
      <c r="G25" s="86"/>
      <c r="H25" s="86"/>
      <c r="I25" s="458" t="s">
        <v>609</v>
      </c>
      <c r="J25" s="467" t="e">
        <f>J21</f>
        <v>#N/A</v>
      </c>
      <c r="K25" s="46"/>
      <c r="L25" s="9"/>
      <c r="M25" s="9"/>
      <c r="N25" s="111"/>
    </row>
    <row r="26" spans="2:14" ht="13" x14ac:dyDescent="0.3">
      <c r="B26" s="728" t="s">
        <v>300</v>
      </c>
      <c r="C26" s="109" t="s">
        <v>309</v>
      </c>
      <c r="D26" s="138" t="e">
        <f>IF(OR(D24="Full",D22&lt;D25),"",IF(PT_Status="Part-Time",Reck_Years+Reck_Days/DoY+MAX(0,(D25-DoStartSchYear)/DoY*future_PTP),MAX($D$17+((D25-ProtectDate)/DoY),0)))</f>
        <v>#N/A</v>
      </c>
      <c r="E26" s="139" t="str">
        <f>IF(OR(E24="Full",E22&lt;E25),"",IF(PT_Status="Part-Time",Reck_Years+Reck_Days/DoY+MAX(0,(E25-DoStartSchYear)/DoY*future_PTP),MAX($D$17+((E25-ProtectDate)/DoY),0)))</f>
        <v/>
      </c>
      <c r="F26" s="140" t="e">
        <f>IF(DJS&gt;=NewSchDate,0,IF(CurrentScheme=Sch_FPS,D26,E26))</f>
        <v>#N/A</v>
      </c>
      <c r="H26" s="86" t="s">
        <v>614</v>
      </c>
      <c r="I26" s="458" t="s">
        <v>613</v>
      </c>
      <c r="J26" s="467" t="e">
        <f>D10+D18&gt;=56</f>
        <v>#N/A</v>
      </c>
      <c r="K26" s="46"/>
      <c r="L26" s="9"/>
      <c r="M26" s="9"/>
      <c r="N26" s="111"/>
    </row>
    <row r="27" spans="2:14" ht="13" x14ac:dyDescent="0.3">
      <c r="B27" s="729"/>
      <c r="C27" s="145" t="s">
        <v>308</v>
      </c>
      <c r="D27" s="138" t="e">
        <f>IF(D24="Full",IF(PT_Status="Part-Time",Reck_Years+Reck_Days/DoY+MAX(0,(D22-DoStartSchYear)/DoY*future_PTP),ChosenRA-$D$9+$D$17),IF(D22&lt;D25,IF(PT_Status="Part-Time",Reck_Years+Reck_Days/DoY+MAX(0,(D22-DoStartSchYear)/DoY*future_PTP),(D22-ProtectDate)/DoY+$D$17),""))</f>
        <v>#N/A</v>
      </c>
      <c r="E27" s="139" t="e">
        <f>IF(E24="Full",IF(PT_Status="Part-Time",Reck_Years+Reck_Days/DoY+MAX(0,(E22-DoStartSchYear)/DoY*future_PTP),ChosenRA-$D$9+$D$17),IF(E22&lt;E25,IF(PT_Status="Part-Time",Reck_Years+Reck_Days/DoY+MAX(0,(E22-DoStartSchYear)/DoY*future_PTP),(E22-ProtectDate)/DoY+$D$17),""))</f>
        <v>#N/A</v>
      </c>
      <c r="F27" s="140" t="e">
        <f>IF(DJS&gt;=NewSchDate,0,IF(CurrentScheme=Sch_FPS,D27,E27))</f>
        <v>#N/A</v>
      </c>
      <c r="H27" s="86" t="s">
        <v>619</v>
      </c>
      <c r="I27" s="492" t="s">
        <v>563</v>
      </c>
      <c r="J27" s="472" t="e">
        <f>AND(J23,J24,J25,J26,J10=FALSE)</f>
        <v>#N/A</v>
      </c>
      <c r="K27" s="46">
        <f>IFERROR(VLOOKUP(D19+D10,tapertab5,3,TRUE),0)</f>
        <v>0</v>
      </c>
      <c r="L27" s="9"/>
      <c r="M27" s="9"/>
      <c r="N27" s="111"/>
    </row>
    <row r="28" spans="2:14" ht="13" x14ac:dyDescent="0.3">
      <c r="B28" s="729"/>
      <c r="C28" s="145" t="s">
        <v>306</v>
      </c>
      <c r="D28" s="138" t="e">
        <f>MIN(IF(D26="",D27,D26),30)</f>
        <v>#N/A</v>
      </c>
      <c r="E28" s="139" t="e">
        <f>MIN(IF(E26="",E27,E26),35)</f>
        <v>#N/A</v>
      </c>
      <c r="F28" s="140" t="e">
        <f>IF(DJS&gt;=NewSchDate,0,IF(CurrentScheme=Sch_FPS,D28,E28))</f>
        <v>#N/A</v>
      </c>
      <c r="H28" s="29"/>
      <c r="I28" s="484" t="s">
        <v>80</v>
      </c>
      <c r="J28" s="479" t="e">
        <f>MAX(J15*K15,J18*K18,J22*K22,J27*K27)</f>
        <v>#N/A</v>
      </c>
      <c r="K28" s="47"/>
      <c r="L28" s="9"/>
      <c r="M28" s="9"/>
      <c r="N28" s="111"/>
    </row>
    <row r="29" spans="2:14" ht="13.5" thickBot="1" x14ac:dyDescent="0.35">
      <c r="B29" s="729"/>
      <c r="C29" s="145" t="s">
        <v>339</v>
      </c>
      <c r="D29" s="138">
        <f>ChosenRA-age_exact</f>
        <v>-0.2518822724161533</v>
      </c>
      <c r="E29" s="139">
        <f>ChosenRA-age_exact</f>
        <v>-0.2518822724161533</v>
      </c>
      <c r="F29" s="140" t="e">
        <f t="shared" ref="F29:F37" si="0">IF(CurrentScheme=Sch_FPS,D29,E29)</f>
        <v>#N/A</v>
      </c>
      <c r="H29" s="86"/>
      <c r="I29" s="493"/>
      <c r="J29" s="127" t="e">
        <f>J15+J18+J22+J27</f>
        <v>#N/A</v>
      </c>
      <c r="K29" s="127"/>
      <c r="L29" s="127"/>
      <c r="M29" s="127"/>
      <c r="N29" s="456"/>
    </row>
    <row r="30" spans="2:14" ht="13.5" thickBot="1" x14ac:dyDescent="0.35">
      <c r="B30" s="730"/>
      <c r="C30" s="146" t="s">
        <v>307</v>
      </c>
      <c r="D30" s="651" t="e">
        <f>MIN(ChosenRA-$D$9+$D$18,30)</f>
        <v>#N/A</v>
      </c>
      <c r="E30" s="147" t="e">
        <f>MIN(IF(PT_Status="Part-Time",Reck_Years+Reck_Days/DoY+(DoR-DoStartSchYear)/DoY*future_PTP,ChosenRA-$D$9+$D$17),35)</f>
        <v>#N/A</v>
      </c>
      <c r="F30" s="148" t="e">
        <f t="shared" si="0"/>
        <v>#N/A</v>
      </c>
      <c r="G30" s="86"/>
      <c r="I30" s="86"/>
    </row>
    <row r="31" spans="2:14" ht="13" x14ac:dyDescent="0.3">
      <c r="B31" s="728" t="s">
        <v>302</v>
      </c>
      <c r="C31" s="109" t="s">
        <v>301</v>
      </c>
      <c r="D31" s="149">
        <f>CurrentSal</f>
        <v>0</v>
      </c>
      <c r="E31" s="150">
        <f>CurrentSal</f>
        <v>0</v>
      </c>
      <c r="F31" s="151" t="e">
        <f t="shared" si="0"/>
        <v>#N/A</v>
      </c>
      <c r="G31" s="29"/>
      <c r="H31" s="69"/>
    </row>
    <row r="32" spans="2:14" ht="13" x14ac:dyDescent="0.3">
      <c r="B32" s="729"/>
      <c r="C32" s="153" t="str">
        <f>"Project Salary - "&amp;basis1</f>
        <v>Project Salary - CPI + 0%</v>
      </c>
      <c r="D32" s="154">
        <f>D$31*(1+cpi_1)^D$29</f>
        <v>0</v>
      </c>
      <c r="E32" s="155">
        <f>E$31*(1+cpi_1)^E$29</f>
        <v>0</v>
      </c>
      <c r="F32" s="156" t="e">
        <f t="shared" si="0"/>
        <v>#N/A</v>
      </c>
      <c r="G32" s="29"/>
    </row>
    <row r="33" spans="2:9" ht="13" x14ac:dyDescent="0.3">
      <c r="B33" s="729"/>
      <c r="C33" s="103" t="str">
        <f>"Project Salary - "&amp;basis2</f>
        <v>Project Salary - CPI + 1%</v>
      </c>
      <c r="D33" s="143">
        <f>D$31*(1+cpi_2)^D$29</f>
        <v>0</v>
      </c>
      <c r="E33" s="144">
        <f>E$31*(1+cpi_2)^E$29</f>
        <v>0</v>
      </c>
      <c r="F33" s="100" t="e">
        <f t="shared" si="0"/>
        <v>#N/A</v>
      </c>
      <c r="G33" s="29"/>
      <c r="I33" s="86"/>
    </row>
    <row r="34" spans="2:9" ht="13" x14ac:dyDescent="0.3">
      <c r="B34" s="729"/>
      <c r="C34" s="157" t="str">
        <f>"Project Salary - "&amp;basis3</f>
        <v>Project Salary - CPI + 2%</v>
      </c>
      <c r="D34" s="158">
        <f>D$31*(1+cpi_3)^D$29</f>
        <v>0</v>
      </c>
      <c r="E34" s="159">
        <f>E$31*(1+cpi_3)^E$29</f>
        <v>0</v>
      </c>
      <c r="F34" s="160" t="e">
        <f t="shared" si="0"/>
        <v>#N/A</v>
      </c>
      <c r="G34" s="29"/>
      <c r="H34" s="29"/>
      <c r="I34" s="86"/>
    </row>
    <row r="35" spans="2:9" ht="13" x14ac:dyDescent="0.3">
      <c r="B35" s="729"/>
      <c r="C35" s="145" t="str">
        <f>"Discount Projected Salary - "&amp;basis1</f>
        <v>Discount Projected Salary - CPI + 0%</v>
      </c>
      <c r="D35" s="143">
        <f ca="1">D32/((1+cpi)^D$29)*(1+cpi)^((Date_curr-DoStartSchYear)/DoY)</f>
        <v>0</v>
      </c>
      <c r="E35" s="144">
        <f t="shared" ref="E35:E37" ca="1" si="1">E32/((1+cpi)^E$29)*(1+cpi)^((Date_curr-DoStartSchYear)/DoY)</f>
        <v>0</v>
      </c>
      <c r="F35" s="100" t="e">
        <f t="shared" si="0"/>
        <v>#N/A</v>
      </c>
      <c r="G35" s="29"/>
      <c r="H35" s="29"/>
      <c r="I35" s="86"/>
    </row>
    <row r="36" spans="2:9" ht="13" x14ac:dyDescent="0.3">
      <c r="B36" s="729"/>
      <c r="C36" s="145" t="str">
        <f>"Discount Projected Salary - "&amp;basis2</f>
        <v>Discount Projected Salary - CPI + 1%</v>
      </c>
      <c r="D36" s="143">
        <f ca="1">D33/((1+cpi)^D$29)*(1+cpi)^((Date_curr-DoStartSchYear)/DoY)</f>
        <v>0</v>
      </c>
      <c r="E36" s="144">
        <f t="shared" ca="1" si="1"/>
        <v>0</v>
      </c>
      <c r="F36" s="100" t="e">
        <f t="shared" si="0"/>
        <v>#N/A</v>
      </c>
      <c r="G36" s="29"/>
      <c r="H36" s="29"/>
      <c r="I36" s="86"/>
    </row>
    <row r="37" spans="2:9" ht="13.5" thickBot="1" x14ac:dyDescent="0.35">
      <c r="B37" s="730"/>
      <c r="C37" s="146" t="str">
        <f>"Discount Projected Salary - "&amp;basis3</f>
        <v>Discount Projected Salary - CPI + 2%</v>
      </c>
      <c r="D37" s="122">
        <f ca="1">D34/((1+cpi)^D$29)*(1+cpi)^((Date_curr-DoStartSchYear)/DoY)</f>
        <v>0</v>
      </c>
      <c r="E37" s="152">
        <f t="shared" ca="1" si="1"/>
        <v>0</v>
      </c>
      <c r="F37" s="101" t="e">
        <f t="shared" si="0"/>
        <v>#N/A</v>
      </c>
      <c r="G37" s="29"/>
      <c r="H37" s="29"/>
      <c r="I37" s="86"/>
    </row>
    <row r="38" spans="2:9" ht="13" x14ac:dyDescent="0.3">
      <c r="B38" s="729" t="s">
        <v>299</v>
      </c>
      <c r="C38" s="102" t="str">
        <f>"Pension - "&amp;basis1</f>
        <v>Pension - CPI + 0%</v>
      </c>
      <c r="D38" s="161" t="e">
        <f>IF(D28="",0,IF(D30&lt;20,Acc_FPS,IF(D30&lt;30,(20+2*(D30-20))/D30*Acc_FPS,1/45))*D35*D28)</f>
        <v>#N/A</v>
      </c>
      <c r="E38" s="392" t="e">
        <f>IF($E$28="",0,$E$28*E35*Acc_NFPS*IF(ChosenRA&lt;60,IFERROR(VLOOKUP(RA_Year,NFPS_ERFs,RA_month+2,FALSE),1),1))</f>
        <v>#N/A</v>
      </c>
      <c r="F38" s="151" t="e">
        <f>IF(DJS&gt;=NewSchDate,0,IF(CurrentScheme=Sch_FPS,D38,E38))</f>
        <v>#N/A</v>
      </c>
      <c r="G38" s="495" t="s">
        <v>573</v>
      </c>
      <c r="H38" s="29"/>
      <c r="I38" s="86"/>
    </row>
    <row r="39" spans="2:9" ht="13" x14ac:dyDescent="0.3">
      <c r="B39" s="729"/>
      <c r="C39" s="103" t="str">
        <f>"Pension - "&amp;basis2</f>
        <v>Pension - CPI + 1%</v>
      </c>
      <c r="D39" s="141" t="e">
        <f>IF(D28="",0,IF(D30&lt;20,Acc_FPS,IF(D30&lt;30,(20+2*(D30-20))/D30*Acc_FPS,1/45))*D36*D28)</f>
        <v>#N/A</v>
      </c>
      <c r="E39" s="393" t="e">
        <f>IF($E$28="",0,$E$28*E36*Acc_NFPS*IF(ChosenRA&lt;65,IFERROR(VLOOKUP(RA_Year,NFPS_ERFs,RA_month+2,FALSE),1),1))</f>
        <v>#N/A</v>
      </c>
      <c r="F39" s="100" t="e">
        <f>IF(DJS&gt;=NewSchDate,0,IF(CurrentScheme=Sch_FPS,D39,E39))</f>
        <v>#N/A</v>
      </c>
      <c r="G39" s="97"/>
      <c r="H39" s="29"/>
      <c r="I39" s="86"/>
    </row>
    <row r="40" spans="2:9" ht="13" x14ac:dyDescent="0.3">
      <c r="B40" s="729"/>
      <c r="C40" s="103" t="str">
        <f>"Pension - "&amp;basis3</f>
        <v>Pension - CPI + 2%</v>
      </c>
      <c r="D40" s="141" t="e">
        <f>IF(D28="",0,IF(D30&lt;20,Acc_FPS,IF(D30&lt;30,(20+2*(D30-20))/D30*Acc_FPS,1/45))*D37*D28)</f>
        <v>#N/A</v>
      </c>
      <c r="E40" s="393" t="e">
        <f>IF($E$28="",0,$E$28*E37*Acc_NFPS*IF(ChosenRA&lt;65,IFERROR(VLOOKUP(RA_Year,NFPS_ERFs,RA_month+2,FALSE),1),1))</f>
        <v>#N/A</v>
      </c>
      <c r="F40" s="100" t="e">
        <f>IF(DJS&gt;=NewSchDate,0,IF(CurrentScheme=Sch_FPS,D40,E40))</f>
        <v>#N/A</v>
      </c>
      <c r="G40" s="97"/>
      <c r="H40" s="29"/>
      <c r="I40" s="86"/>
    </row>
    <row r="41" spans="2:9" ht="13" x14ac:dyDescent="0.3">
      <c r="B41" s="729"/>
      <c r="C41" s="361" t="str">
        <f>"Lump Sum - "&amp;basis1</f>
        <v>Lump Sum - CPI + 0%</v>
      </c>
      <c r="D41" s="362"/>
      <c r="E41" s="363"/>
      <c r="F41" s="364"/>
      <c r="G41" s="97"/>
      <c r="H41" s="29"/>
      <c r="I41" s="86"/>
    </row>
    <row r="42" spans="2:9" ht="13" x14ac:dyDescent="0.3">
      <c r="B42" s="729"/>
      <c r="C42" s="365" t="str">
        <f>"Lump Sum - "&amp;basis2</f>
        <v>Lump Sum - CPI + 1%</v>
      </c>
      <c r="D42" s="366"/>
      <c r="E42" s="367"/>
      <c r="F42" s="368"/>
      <c r="G42" s="97"/>
      <c r="H42" s="29"/>
      <c r="I42" s="86"/>
    </row>
    <row r="43" spans="2:9" ht="13.5" thickBot="1" x14ac:dyDescent="0.35">
      <c r="B43" s="730"/>
      <c r="C43" s="336" t="str">
        <f>"Lump Sum - "&amp;basis3</f>
        <v>Lump Sum - CPI + 2%</v>
      </c>
      <c r="D43" s="337"/>
      <c r="E43" s="338"/>
      <c r="F43" s="339"/>
      <c r="G43" s="29"/>
      <c r="I43" s="86"/>
    </row>
    <row r="44" spans="2:9" ht="13" x14ac:dyDescent="0.3">
      <c r="B44" s="10"/>
      <c r="C44" s="1"/>
      <c r="D44" s="95"/>
      <c r="E44" s="96"/>
      <c r="F44" s="95"/>
      <c r="I44" s="86"/>
    </row>
    <row r="45" spans="2:9" ht="13" x14ac:dyDescent="0.3">
      <c r="B45" s="10"/>
      <c r="C45" s="1" t="s">
        <v>627</v>
      </c>
      <c r="D45" s="95" t="e">
        <f>D28</f>
        <v>#N/A</v>
      </c>
      <c r="E45" s="96" t="e">
        <f>E28</f>
        <v>#N/A</v>
      </c>
      <c r="F45" s="95" t="e">
        <f>IF(Scheme_Full="2015 Scheme",0,IF(CurrentScheme=Sch_FPS,D45,E45))</f>
        <v>#N/A</v>
      </c>
    </row>
    <row r="48" spans="2:9" ht="12.75" customHeight="1" thickBot="1" x14ac:dyDescent="0.35">
      <c r="B48" s="308" t="s">
        <v>411</v>
      </c>
      <c r="C48" s="309"/>
      <c r="D48" s="309"/>
      <c r="E48" s="309"/>
      <c r="F48" s="309"/>
    </row>
    <row r="49" spans="2:6" ht="13.5" thickBot="1" x14ac:dyDescent="0.35">
      <c r="B49" s="309"/>
      <c r="C49" s="308"/>
      <c r="D49" s="310" t="s">
        <v>511</v>
      </c>
      <c r="E49" s="311" t="s">
        <v>510</v>
      </c>
      <c r="F49" s="312" t="s">
        <v>87</v>
      </c>
    </row>
    <row r="50" spans="2:6" ht="13.5" thickBot="1" x14ac:dyDescent="0.35">
      <c r="B50" s="313"/>
      <c r="C50" s="314" t="s">
        <v>83</v>
      </c>
      <c r="D50" s="315">
        <f>DATE(YEAR(DoB)+60,MONTH(DoB),DAY(DoB))</f>
        <v>21915</v>
      </c>
      <c r="E50" s="316">
        <f>D50</f>
        <v>21915</v>
      </c>
      <c r="F50" s="317" t="e">
        <f>IF(CurrentScheme=Sch_FPS,D50,E50)</f>
        <v>#N/A</v>
      </c>
    </row>
    <row r="51" spans="2:6" ht="13" x14ac:dyDescent="0.3">
      <c r="B51" s="731" t="s">
        <v>298</v>
      </c>
      <c r="C51" s="311" t="s">
        <v>194</v>
      </c>
      <c r="D51" s="318">
        <f>(DATE(YEAR(DJS)-TVinYears,MONTH(DJS),DAY(DJS))-TVinDays)</f>
        <v>0</v>
      </c>
      <c r="E51" s="378">
        <f>DJS</f>
        <v>0</v>
      </c>
      <c r="F51" s="319" t="e">
        <f>IF(CurrentScheme=Sch_FPS,D51,E51)</f>
        <v>#N/A</v>
      </c>
    </row>
    <row r="52" spans="2:6" ht="13" x14ac:dyDescent="0.3">
      <c r="B52" s="733"/>
      <c r="C52" s="320" t="s">
        <v>72</v>
      </c>
      <c r="D52" s="321" t="str">
        <f>IF($D$9&gt;=45,"Full",IF($D$9&lt;41,"None","Tapered"))</f>
        <v>Full</v>
      </c>
      <c r="E52" s="322" t="str">
        <f>IF($D$9&gt;=50,"Full",IF($D$9&lt;46,"None","Tapered"))</f>
        <v>Full</v>
      </c>
      <c r="F52" s="323" t="e">
        <f>IF(CurrentScheme=Sch_FPS,D52,E52)</f>
        <v>#N/A</v>
      </c>
    </row>
    <row r="53" spans="2:6" ht="13.5" thickBot="1" x14ac:dyDescent="0.35">
      <c r="B53" s="732"/>
      <c r="C53" s="336" t="s">
        <v>80</v>
      </c>
      <c r="D53" s="379" t="str">
        <f ca="1">IF(D52="None",NewSchDate-1,IF(D52="Tapered",VLOOKUP(DoB,INDIRECT(D$49&amp;"Taper"),10,TRUE),"N/A"))</f>
        <v>N/A</v>
      </c>
      <c r="E53" s="380" t="str">
        <f ca="1">IF(E52="None",NewSchDate-1,IF(E52="Tapered",VLOOKUP(DoB,INDIRECT(E$49&amp;"Taper"),10,TRUE),"N/A"))</f>
        <v>N/A</v>
      </c>
      <c r="F53" s="381" t="e">
        <f>IF(CurrentScheme=Sch_FPS,D53,E53)</f>
        <v>#N/A</v>
      </c>
    </row>
    <row r="54" spans="2:6" ht="13" x14ac:dyDescent="0.3">
      <c r="B54" s="731" t="s">
        <v>300</v>
      </c>
      <c r="C54" s="324" t="s">
        <v>309</v>
      </c>
      <c r="D54" s="325" t="str">
        <f ca="1">IF(OR(D52="Full",D50&lt;D53),"",IF(PT_Status="Part-Time",Reck_Years+Reck_Days/DoY+MAX(0,(D53-DoStartSchYear)/DoY*future_PTP),MAX($D$17+((D53-ProtectDate)/DoY),0)))</f>
        <v/>
      </c>
      <c r="E54" s="326" t="str">
        <f ca="1">IF(OR(E52="Full",E50&lt;E53),"",IF(PT_Status="Part-Time",Reck_Years+Reck_Days/DoY+MAX(0,(E53-DoStartSchYear)/DoY*future_PTP),MAX($D$17+((E53-ProtectDate)/DoY),0)))</f>
        <v/>
      </c>
      <c r="F54" s="327" t="e">
        <f>IF(DJS&gt;=NewSchDate,0,IF(CurrentScheme=Sch_FPS,D54,E54))</f>
        <v>#N/A</v>
      </c>
    </row>
    <row r="55" spans="2:6" ht="13" x14ac:dyDescent="0.3">
      <c r="B55" s="733"/>
      <c r="C55" s="328" t="s">
        <v>308</v>
      </c>
      <c r="D55" s="325" t="e">
        <f>IF(D52="Full",IF(PT_Status="Part-Time",Reck_Years+Reck_Days/DoY+MAX(0,(D50-DoStartSchYear)/DoY*future_PTP),60-$D$9+$D$17),IF(D50&lt;D53,IF(PT_Status="Part-Time",Reck_Years+Reck_Days/DoY+MAX(0,(D50-DoStartSchYear)/DoY*future_PTP),(D50-ProtectDate)/DoY+$D$17),""))</f>
        <v>#N/A</v>
      </c>
      <c r="E55" s="326" t="e">
        <f>IF(E52="Full",IF(PT_Status="Part-Time",Reck_Years+Reck_Days/DoY+MAX(0,(E50-DoStartSchYear)/DoY*future_PTP),60-$D$9+$D$17),IF(E50&lt;E53,IF(PT_Status="Part-Time",Reck_Years+Reck_Days/DoY+MAX(0,(E50-DoStartSchYear)/DoY*future_PTP),(E50-ProtectDate)/DoY+$D$17),""))</f>
        <v>#N/A</v>
      </c>
      <c r="F55" s="327" t="e">
        <f>IF(DJS&gt;=NewSchDate,0,IF(CurrentScheme=Sch_FPS,D55,E55))</f>
        <v>#N/A</v>
      </c>
    </row>
    <row r="56" spans="2:6" ht="12.75" customHeight="1" x14ac:dyDescent="0.3">
      <c r="B56" s="733"/>
      <c r="C56" s="328" t="s">
        <v>306</v>
      </c>
      <c r="D56" s="325" t="e">
        <f ca="1">MIN(IF(D54="",D55,D54),30)</f>
        <v>#N/A</v>
      </c>
      <c r="E56" s="326" t="e">
        <f ca="1">MIN(IF(E54="",E55,E54),35)</f>
        <v>#N/A</v>
      </c>
      <c r="F56" s="327" t="e">
        <f>IF(DJS&gt;=NewSchDate,0,IF(CurrentScheme=Sch_FPS,D56,E56))</f>
        <v>#N/A</v>
      </c>
    </row>
    <row r="57" spans="2:6" ht="13" x14ac:dyDescent="0.3">
      <c r="B57" s="733"/>
      <c r="C57" s="328" t="s">
        <v>339</v>
      </c>
      <c r="D57" s="325">
        <f>60-age_exact</f>
        <v>59.748117727583846</v>
      </c>
      <c r="E57" s="326">
        <f>60-age_exact</f>
        <v>59.748117727583846</v>
      </c>
      <c r="F57" s="327" t="e">
        <f>IF(CurrentScheme=Sch_FPS,D57,E57)</f>
        <v>#N/A</v>
      </c>
    </row>
    <row r="58" spans="2:6" ht="13.5" thickBot="1" x14ac:dyDescent="0.35">
      <c r="B58" s="732"/>
      <c r="C58" s="329" t="s">
        <v>307</v>
      </c>
      <c r="D58" s="330" t="e">
        <f>MIN(IF(PT_Status="Part-Time",Reck_Years+Reck_Days/DoY+(D50-DoStartSchYear)/DoY*future_PTP,60-$D$9+$D$17),30)</f>
        <v>#N/A</v>
      </c>
      <c r="E58" s="331" t="e">
        <f>MIN(IF(PT_Status="Part-Time",Reck_Years+Reck_Days/DoY+(E50-DoStartSchYear)/DoY*future_PTP,60-$D$9+$D$17),35)</f>
        <v>#N/A</v>
      </c>
      <c r="F58" s="332" t="e">
        <f>IF(CurrentScheme=Sch_FPS,D58,E58)</f>
        <v>#N/A</v>
      </c>
    </row>
    <row r="59" spans="2:6" ht="13" x14ac:dyDescent="0.3">
      <c r="B59" s="731" t="s">
        <v>409</v>
      </c>
      <c r="C59" s="324" t="s">
        <v>301</v>
      </c>
      <c r="D59" s="333">
        <f>CurrentSal</f>
        <v>0</v>
      </c>
      <c r="E59" s="334">
        <f>CurrentSal</f>
        <v>0</v>
      </c>
      <c r="F59" s="335" t="e">
        <f>IF(CurrentScheme=Sch_FPS,D59,E59)</f>
        <v>#N/A</v>
      </c>
    </row>
    <row r="60" spans="2:6" ht="13.5" thickBot="1" x14ac:dyDescent="0.35">
      <c r="B60" s="732"/>
      <c r="C60" s="336" t="str">
        <f>"Pension - "&amp;basis1</f>
        <v>Pension - CPI + 0%</v>
      </c>
      <c r="D60" s="337" t="e">
        <f ca="1">IF(D56="",0,IF(D58&lt;20,Acc_FPS,IF(D58&lt;30,(20+2*(D58-20))/D58*Acc_FPS,1/45))*D59*D56)</f>
        <v>#N/A</v>
      </c>
      <c r="E60" s="338" t="e">
        <f ca="1">IF($E$56="",0,$E$56*E59*Acc_NFPS)</f>
        <v>#N/A</v>
      </c>
      <c r="F60" s="339" t="e">
        <f>IF(DJS&gt;=NewSchDate,0,IF(CurrentScheme=Sch_FPS,D60,E60))</f>
        <v>#N/A</v>
      </c>
    </row>
  </sheetData>
  <mergeCells count="7">
    <mergeCell ref="B23:B25"/>
    <mergeCell ref="B59:B60"/>
    <mergeCell ref="B51:B53"/>
    <mergeCell ref="B54:B58"/>
    <mergeCell ref="B26:B30"/>
    <mergeCell ref="B38:B43"/>
    <mergeCell ref="B31:B37"/>
  </mergeCells>
  <phoneticPr fontId="30" type="noConversion"/>
  <pageMargins left="0.70866141732283472" right="0.70866141732283472" top="0.74803149606299213" bottom="0.74803149606299213" header="0.31496062992125984" footer="0.31496062992125984"/>
  <pageSetup paperSize="9" scale="56" orientation="portrait" r:id="rId1"/>
  <headerFooter>
    <oddHeader>&amp;CPROTECT - SCHEME MANAGEMENT&amp;L_x000D_&amp;Z&amp;F  [&amp;A]</oddHeader>
    <oddFooter>&amp;LPage &amp;P of &amp;N&amp;R&amp;T &amp;D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IV35"/>
  <sheetViews>
    <sheetView workbookViewId="0"/>
  </sheetViews>
  <sheetFormatPr defaultRowHeight="12.5" x14ac:dyDescent="0.25"/>
  <cols>
    <col min="2" max="20" width="25" customWidth="1"/>
  </cols>
  <sheetData>
    <row r="1" spans="1:9" ht="20" x14ac:dyDescent="0.4">
      <c r="A1" s="13" t="s">
        <v>19</v>
      </c>
      <c r="B1" s="12"/>
      <c r="C1" s="12"/>
      <c r="D1" s="12"/>
      <c r="E1" s="12"/>
      <c r="F1" s="12"/>
      <c r="G1" s="12"/>
      <c r="H1" s="12"/>
      <c r="I1" s="12"/>
    </row>
    <row r="2" spans="1:9" ht="15.5" x14ac:dyDescent="0.35">
      <c r="A2" s="27" t="str">
        <f>IF(title="&gt; Enter workbook title here","Enter workbook title in Cover sheet",title)</f>
        <v>Scottish Fire pension  projection calculator</v>
      </c>
      <c r="B2" s="11"/>
      <c r="C2" s="11"/>
      <c r="D2" s="11"/>
      <c r="E2" s="11"/>
      <c r="F2" s="11"/>
      <c r="G2" s="11"/>
      <c r="H2" s="11"/>
      <c r="I2" s="11"/>
    </row>
    <row r="3" spans="1:9" ht="15.5" x14ac:dyDescent="0.35">
      <c r="A3" s="76" t="s">
        <v>260</v>
      </c>
      <c r="B3" s="11"/>
      <c r="C3" s="11"/>
      <c r="D3" s="11"/>
      <c r="E3" s="11"/>
      <c r="F3" s="11"/>
      <c r="G3" s="11"/>
      <c r="H3" s="11"/>
      <c r="I3" s="11"/>
    </row>
    <row r="4" spans="1:9" x14ac:dyDescent="0.25">
      <c r="A4" s="7" t="str">
        <f ca="1">CELL("filename",A1)</f>
        <v>C:\Users\u418711\AppData\Local\Microsoft\Windows\INetCache\Content.Outlook\PTLKNQ86\[Copy of Fire Scotland - Benefit Calculator - 22Dec2020.xlsx]Past Service CARE Calcs</v>
      </c>
    </row>
    <row r="6" spans="1:9" x14ac:dyDescent="0.25">
      <c r="B6" t="s">
        <v>681</v>
      </c>
      <c r="C6" t="e">
        <f>DoProtEnd</f>
        <v>#N/A</v>
      </c>
    </row>
    <row r="7" spans="1:9" x14ac:dyDescent="0.25">
      <c r="B7" s="29" t="s">
        <v>682</v>
      </c>
      <c r="C7">
        <f>DJS</f>
        <v>0</v>
      </c>
    </row>
    <row r="8" spans="1:9" x14ac:dyDescent="0.25">
      <c r="B8" s="29" t="s">
        <v>683</v>
      </c>
      <c r="C8" t="e">
        <f>MAX(C6,C7)</f>
        <v>#N/A</v>
      </c>
    </row>
    <row r="13" spans="1:9" ht="13" thickBot="1" x14ac:dyDescent="0.3"/>
    <row r="14" spans="1:9" x14ac:dyDescent="0.25">
      <c r="B14" s="165"/>
      <c r="C14" s="166"/>
      <c r="D14" s="8"/>
      <c r="E14" s="8"/>
      <c r="F14" s="8"/>
    </row>
    <row r="15" spans="1:9" x14ac:dyDescent="0.25">
      <c r="A15" s="29"/>
      <c r="B15" s="163" t="s">
        <v>256</v>
      </c>
      <c r="C15" s="167">
        <f>cpi</f>
        <v>0.02</v>
      </c>
      <c r="D15" s="8"/>
      <c r="E15" s="8"/>
      <c r="F15" s="8"/>
    </row>
    <row r="16" spans="1:9" ht="13" thickBot="1" x14ac:dyDescent="0.3">
      <c r="A16" s="29"/>
      <c r="B16" s="164" t="s">
        <v>684</v>
      </c>
      <c r="C16" s="168">
        <f>care_rev</f>
        <v>3.0000000001000001E-2</v>
      </c>
      <c r="D16" s="8"/>
      <c r="E16" s="8"/>
      <c r="F16" s="8"/>
    </row>
    <row r="17" spans="1:256" ht="13" thickBot="1" x14ac:dyDescent="0.3">
      <c r="B17" s="546" t="s">
        <v>635</v>
      </c>
      <c r="C17" s="547" t="e">
        <f>MAX(DJS,'CARE calcs'!D7)</f>
        <v>#N/A</v>
      </c>
    </row>
    <row r="18" spans="1:256" x14ac:dyDescent="0.25">
      <c r="B18" s="480"/>
      <c r="C18" s="128">
        <v>2015</v>
      </c>
      <c r="D18" s="128">
        <v>2016</v>
      </c>
      <c r="E18" s="128">
        <v>2017</v>
      </c>
      <c r="F18" s="128">
        <v>2018</v>
      </c>
      <c r="G18" s="128">
        <v>2019</v>
      </c>
      <c r="H18" s="128">
        <v>2020</v>
      </c>
      <c r="I18" s="128">
        <v>2021</v>
      </c>
      <c r="J18" s="128">
        <v>2022</v>
      </c>
      <c r="K18" s="128">
        <v>2023</v>
      </c>
      <c r="L18" s="128">
        <v>2024</v>
      </c>
      <c r="M18" s="128">
        <v>2025</v>
      </c>
      <c r="N18" s="128">
        <v>2026</v>
      </c>
      <c r="O18" s="128">
        <v>2027</v>
      </c>
      <c r="P18" s="128">
        <v>2028</v>
      </c>
      <c r="Q18" s="128">
        <v>2029</v>
      </c>
      <c r="R18" s="128">
        <v>2030</v>
      </c>
      <c r="S18" s="128">
        <v>2031</v>
      </c>
      <c r="T18" s="128">
        <v>2032</v>
      </c>
    </row>
    <row r="19" spans="1:256" x14ac:dyDescent="0.25">
      <c r="B19" s="480" t="s">
        <v>253</v>
      </c>
      <c r="C19" s="74">
        <f>DATE(C18,4,1)</f>
        <v>42095</v>
      </c>
      <c r="D19" s="74">
        <f>DATE(D18,4,1)</f>
        <v>42461</v>
      </c>
      <c r="E19" s="74">
        <f t="shared" ref="E19:T19" si="0">DATE(E18,4,1)</f>
        <v>42826</v>
      </c>
      <c r="F19" s="74">
        <f t="shared" si="0"/>
        <v>43191</v>
      </c>
      <c r="G19" s="74">
        <f t="shared" si="0"/>
        <v>43556</v>
      </c>
      <c r="H19" s="74">
        <f t="shared" si="0"/>
        <v>43922</v>
      </c>
      <c r="I19" s="74">
        <f t="shared" si="0"/>
        <v>44287</v>
      </c>
      <c r="J19" s="74">
        <f t="shared" si="0"/>
        <v>44652</v>
      </c>
      <c r="K19" s="74">
        <f t="shared" si="0"/>
        <v>45017</v>
      </c>
      <c r="L19" s="74">
        <f t="shared" si="0"/>
        <v>45383</v>
      </c>
      <c r="M19" s="74">
        <f t="shared" si="0"/>
        <v>45748</v>
      </c>
      <c r="N19" s="74">
        <f t="shared" si="0"/>
        <v>46113</v>
      </c>
      <c r="O19" s="74">
        <f t="shared" si="0"/>
        <v>46478</v>
      </c>
      <c r="P19" s="74">
        <f t="shared" si="0"/>
        <v>46844</v>
      </c>
      <c r="Q19" s="74">
        <f t="shared" si="0"/>
        <v>47209</v>
      </c>
      <c r="R19" s="74">
        <f t="shared" si="0"/>
        <v>47574</v>
      </c>
      <c r="S19" s="74">
        <f t="shared" si="0"/>
        <v>47939</v>
      </c>
      <c r="T19" s="568">
        <f t="shared" si="0"/>
        <v>48305</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x14ac:dyDescent="0.25">
      <c r="B20" s="481" t="s">
        <v>254</v>
      </c>
      <c r="C20" s="169">
        <f>DATE(C18+1,3,31)</f>
        <v>42460</v>
      </c>
      <c r="D20" s="169">
        <f t="shared" ref="D20:T20" si="1">DATE(D18+1,3,31)</f>
        <v>42825</v>
      </c>
      <c r="E20" s="169">
        <f t="shared" si="1"/>
        <v>43190</v>
      </c>
      <c r="F20" s="169">
        <f t="shared" si="1"/>
        <v>43555</v>
      </c>
      <c r="G20" s="169">
        <f t="shared" si="1"/>
        <v>43921</v>
      </c>
      <c r="H20" s="169">
        <f t="shared" si="1"/>
        <v>44286</v>
      </c>
      <c r="I20" s="169">
        <f t="shared" si="1"/>
        <v>44651</v>
      </c>
      <c r="J20" s="169">
        <f t="shared" si="1"/>
        <v>45016</v>
      </c>
      <c r="K20" s="169">
        <f t="shared" si="1"/>
        <v>45382</v>
      </c>
      <c r="L20" s="169">
        <f t="shared" si="1"/>
        <v>45747</v>
      </c>
      <c r="M20" s="169">
        <f t="shared" si="1"/>
        <v>46112</v>
      </c>
      <c r="N20" s="169">
        <f t="shared" si="1"/>
        <v>46477</v>
      </c>
      <c r="O20" s="169">
        <f t="shared" si="1"/>
        <v>46843</v>
      </c>
      <c r="P20" s="169">
        <f t="shared" si="1"/>
        <v>47208</v>
      </c>
      <c r="Q20" s="169">
        <f t="shared" si="1"/>
        <v>47573</v>
      </c>
      <c r="R20" s="169">
        <f t="shared" si="1"/>
        <v>47938</v>
      </c>
      <c r="S20" s="169">
        <f t="shared" si="1"/>
        <v>48304</v>
      </c>
      <c r="T20" s="569">
        <f t="shared" si="1"/>
        <v>48669</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x14ac:dyDescent="0.25">
      <c r="B21" s="570" t="s">
        <v>631</v>
      </c>
      <c r="C21" s="9" t="b">
        <f t="shared" ref="C21:T21" ca="1" si="2">Date_curr&gt;C20</f>
        <v>1</v>
      </c>
      <c r="D21" s="9" t="b">
        <f t="shared" ca="1" si="2"/>
        <v>1</v>
      </c>
      <c r="E21" s="9" t="b">
        <f t="shared" ca="1" si="2"/>
        <v>1</v>
      </c>
      <c r="F21" s="9" t="b">
        <f t="shared" ca="1" si="2"/>
        <v>1</v>
      </c>
      <c r="G21" s="9" t="b">
        <f t="shared" ca="1" si="2"/>
        <v>1</v>
      </c>
      <c r="H21" s="9" t="b">
        <f t="shared" ca="1" si="2"/>
        <v>0</v>
      </c>
      <c r="I21" s="9" t="b">
        <f t="shared" ca="1" si="2"/>
        <v>0</v>
      </c>
      <c r="J21" s="9" t="b">
        <f t="shared" ca="1" si="2"/>
        <v>0</v>
      </c>
      <c r="K21" s="9" t="b">
        <f t="shared" ca="1" si="2"/>
        <v>0</v>
      </c>
      <c r="L21" s="9" t="b">
        <f t="shared" ca="1" si="2"/>
        <v>0</v>
      </c>
      <c r="M21" s="9" t="b">
        <f t="shared" ca="1" si="2"/>
        <v>0</v>
      </c>
      <c r="N21" s="9" t="b">
        <f t="shared" ca="1" si="2"/>
        <v>0</v>
      </c>
      <c r="O21" s="9" t="b">
        <f t="shared" ca="1" si="2"/>
        <v>0</v>
      </c>
      <c r="P21" s="9" t="b">
        <f t="shared" ca="1" si="2"/>
        <v>0</v>
      </c>
      <c r="Q21" s="9" t="b">
        <f t="shared" ca="1" si="2"/>
        <v>0</v>
      </c>
      <c r="R21" s="9" t="b">
        <f t="shared" ca="1" si="2"/>
        <v>0</v>
      </c>
      <c r="S21" s="9" t="b">
        <f t="shared" ca="1" si="2"/>
        <v>0</v>
      </c>
      <c r="T21" s="467" t="b">
        <f t="shared" ca="1" si="2"/>
        <v>0</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ht="37.5" x14ac:dyDescent="0.25">
      <c r="B22" s="571" t="s">
        <v>632</v>
      </c>
      <c r="C22" s="9" t="e">
        <f>$C17&lt;D19</f>
        <v>#N/A</v>
      </c>
      <c r="D22" s="9" t="e">
        <f t="shared" ref="D22:T22" si="3">$C17&lt;E19</f>
        <v>#N/A</v>
      </c>
      <c r="E22" s="9" t="e">
        <f t="shared" si="3"/>
        <v>#N/A</v>
      </c>
      <c r="F22" s="9" t="e">
        <f t="shared" si="3"/>
        <v>#N/A</v>
      </c>
      <c r="G22" s="9" t="e">
        <f t="shared" si="3"/>
        <v>#N/A</v>
      </c>
      <c r="H22" s="9" t="e">
        <f t="shared" si="3"/>
        <v>#N/A</v>
      </c>
      <c r="I22" s="9" t="e">
        <f t="shared" si="3"/>
        <v>#N/A</v>
      </c>
      <c r="J22" s="9" t="e">
        <f t="shared" si="3"/>
        <v>#N/A</v>
      </c>
      <c r="K22" s="9" t="e">
        <f t="shared" si="3"/>
        <v>#N/A</v>
      </c>
      <c r="L22" s="9" t="e">
        <f t="shared" si="3"/>
        <v>#N/A</v>
      </c>
      <c r="M22" s="9" t="e">
        <f t="shared" si="3"/>
        <v>#N/A</v>
      </c>
      <c r="N22" s="9" t="e">
        <f t="shared" si="3"/>
        <v>#N/A</v>
      </c>
      <c r="O22" s="9" t="e">
        <f t="shared" si="3"/>
        <v>#N/A</v>
      </c>
      <c r="P22" s="9" t="e">
        <f t="shared" si="3"/>
        <v>#N/A</v>
      </c>
      <c r="Q22" s="9" t="e">
        <f t="shared" si="3"/>
        <v>#N/A</v>
      </c>
      <c r="R22" s="9" t="e">
        <f t="shared" si="3"/>
        <v>#N/A</v>
      </c>
      <c r="S22" s="9" t="e">
        <f t="shared" si="3"/>
        <v>#N/A</v>
      </c>
      <c r="T22" s="467" t="e">
        <f t="shared" si="3"/>
        <v>#N/A</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x14ac:dyDescent="0.25">
      <c r="B23" s="570" t="s">
        <v>633</v>
      </c>
      <c r="C23" s="139" t="e">
        <f>MAX(0,MIN(C20,DoR)-$C17)/365.25</f>
        <v>#N/A</v>
      </c>
      <c r="D23" s="139" t="e">
        <f t="shared" ref="D23:T23" si="4">MAX(0,MIN(D20,DoR)-MAX(C20,$C17))/365.25</f>
        <v>#N/A</v>
      </c>
      <c r="E23" s="139" t="e">
        <f t="shared" si="4"/>
        <v>#N/A</v>
      </c>
      <c r="F23" s="139" t="e">
        <f t="shared" si="4"/>
        <v>#N/A</v>
      </c>
      <c r="G23" s="139" t="e">
        <f t="shared" si="4"/>
        <v>#N/A</v>
      </c>
      <c r="H23" s="139" t="e">
        <f t="shared" si="4"/>
        <v>#N/A</v>
      </c>
      <c r="I23" s="139" t="e">
        <f t="shared" si="4"/>
        <v>#N/A</v>
      </c>
      <c r="J23" s="139" t="e">
        <f t="shared" si="4"/>
        <v>#N/A</v>
      </c>
      <c r="K23" s="139" t="e">
        <f t="shared" si="4"/>
        <v>#N/A</v>
      </c>
      <c r="L23" s="139" t="e">
        <f t="shared" si="4"/>
        <v>#N/A</v>
      </c>
      <c r="M23" s="139" t="e">
        <f t="shared" si="4"/>
        <v>#N/A</v>
      </c>
      <c r="N23" s="139" t="e">
        <f t="shared" si="4"/>
        <v>#N/A</v>
      </c>
      <c r="O23" s="139" t="e">
        <f t="shared" si="4"/>
        <v>#N/A</v>
      </c>
      <c r="P23" s="139" t="e">
        <f t="shared" si="4"/>
        <v>#N/A</v>
      </c>
      <c r="Q23" s="139" t="e">
        <f t="shared" si="4"/>
        <v>#N/A</v>
      </c>
      <c r="R23" s="139" t="e">
        <f t="shared" si="4"/>
        <v>#N/A</v>
      </c>
      <c r="S23" s="139" t="e">
        <f t="shared" si="4"/>
        <v>#N/A</v>
      </c>
      <c r="T23" s="572" t="e">
        <f t="shared" si="4"/>
        <v>#N/A</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x14ac:dyDescent="0.25">
      <c r="B24" s="573" t="s">
        <v>634</v>
      </c>
      <c r="C24" s="574" t="e">
        <f ca="1">IF(AND(C21,C22),C23,0)</f>
        <v>#N/A</v>
      </c>
      <c r="D24" s="574" t="e">
        <f ca="1">IF(AND(D21,D22),D23,0)</f>
        <v>#N/A</v>
      </c>
      <c r="E24" s="574" t="e">
        <f ca="1">IF(AND(E21,E22),E23,0)</f>
        <v>#N/A</v>
      </c>
      <c r="F24" s="574" t="e">
        <f ca="1">IF(AND(F21,F22),F23,0)</f>
        <v>#N/A</v>
      </c>
      <c r="G24" s="574" t="e">
        <f t="shared" ref="G24:T24" ca="1" si="5">IF(AND(G21,G22),G23,0)</f>
        <v>#N/A</v>
      </c>
      <c r="H24" s="574" t="e">
        <f t="shared" ca="1" si="5"/>
        <v>#N/A</v>
      </c>
      <c r="I24" s="574" t="e">
        <f t="shared" ca="1" si="5"/>
        <v>#N/A</v>
      </c>
      <c r="J24" s="574" t="e">
        <f t="shared" ca="1" si="5"/>
        <v>#N/A</v>
      </c>
      <c r="K24" s="574" t="e">
        <f t="shared" ca="1" si="5"/>
        <v>#N/A</v>
      </c>
      <c r="L24" s="574" t="e">
        <f t="shared" ca="1" si="5"/>
        <v>#N/A</v>
      </c>
      <c r="M24" s="574" t="e">
        <f t="shared" ca="1" si="5"/>
        <v>#N/A</v>
      </c>
      <c r="N24" s="574" t="e">
        <f t="shared" ca="1" si="5"/>
        <v>#N/A</v>
      </c>
      <c r="O24" s="574" t="e">
        <f t="shared" ca="1" si="5"/>
        <v>#N/A</v>
      </c>
      <c r="P24" s="574" t="e">
        <f t="shared" ca="1" si="5"/>
        <v>#N/A</v>
      </c>
      <c r="Q24" s="574" t="e">
        <f t="shared" ca="1" si="5"/>
        <v>#N/A</v>
      </c>
      <c r="R24" s="574" t="e">
        <f t="shared" ca="1" si="5"/>
        <v>#N/A</v>
      </c>
      <c r="S24" s="574" t="e">
        <f t="shared" ca="1" si="5"/>
        <v>#N/A</v>
      </c>
      <c r="T24" s="575" t="e">
        <f t="shared" ca="1" si="5"/>
        <v>#N/A</v>
      </c>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x14ac:dyDescent="0.25">
      <c r="A25" s="86"/>
      <c r="B25" s="294" t="s">
        <v>685</v>
      </c>
      <c r="C25" s="576">
        <f t="shared" ref="C25:T25" si="6">MAX(0,(DoStartSchYear-C19)/DoY)</f>
        <v>0</v>
      </c>
      <c r="D25" s="576">
        <f t="shared" si="6"/>
        <v>0</v>
      </c>
      <c r="E25" s="576">
        <f t="shared" si="6"/>
        <v>0</v>
      </c>
      <c r="F25" s="576">
        <f t="shared" si="6"/>
        <v>0</v>
      </c>
      <c r="G25" s="576">
        <f t="shared" si="6"/>
        <v>0</v>
      </c>
      <c r="H25" s="576">
        <f t="shared" si="6"/>
        <v>0</v>
      </c>
      <c r="I25" s="576">
        <f t="shared" si="6"/>
        <v>0</v>
      </c>
      <c r="J25" s="576">
        <f t="shared" si="6"/>
        <v>0</v>
      </c>
      <c r="K25" s="576">
        <f t="shared" si="6"/>
        <v>0</v>
      </c>
      <c r="L25" s="576">
        <f t="shared" si="6"/>
        <v>0</v>
      </c>
      <c r="M25" s="576">
        <f t="shared" si="6"/>
        <v>0</v>
      </c>
      <c r="N25" s="576">
        <f t="shared" si="6"/>
        <v>0</v>
      </c>
      <c r="O25" s="576">
        <f t="shared" si="6"/>
        <v>0</v>
      </c>
      <c r="P25" s="576">
        <f t="shared" si="6"/>
        <v>0</v>
      </c>
      <c r="Q25" s="576">
        <f t="shared" si="6"/>
        <v>0</v>
      </c>
      <c r="R25" s="576">
        <f t="shared" si="6"/>
        <v>0</v>
      </c>
      <c r="S25" s="576">
        <f t="shared" si="6"/>
        <v>0</v>
      </c>
      <c r="T25" s="576">
        <f t="shared" si="6"/>
        <v>0</v>
      </c>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ht="13" thickBot="1" x14ac:dyDescent="0.3">
      <c r="B26" s="294" t="s">
        <v>686</v>
      </c>
      <c r="C26" s="576">
        <f t="shared" ref="C26:T26" si="7">CurrentSal/(1+cpi_2)^C25</f>
        <v>0</v>
      </c>
      <c r="D26" s="576">
        <f t="shared" si="7"/>
        <v>0</v>
      </c>
      <c r="E26" s="576">
        <f t="shared" si="7"/>
        <v>0</v>
      </c>
      <c r="F26" s="576">
        <f t="shared" si="7"/>
        <v>0</v>
      </c>
      <c r="G26" s="576">
        <f t="shared" si="7"/>
        <v>0</v>
      </c>
      <c r="H26" s="576">
        <f t="shared" si="7"/>
        <v>0</v>
      </c>
      <c r="I26" s="576">
        <f t="shared" si="7"/>
        <v>0</v>
      </c>
      <c r="J26" s="576">
        <f t="shared" si="7"/>
        <v>0</v>
      </c>
      <c r="K26" s="576">
        <f t="shared" si="7"/>
        <v>0</v>
      </c>
      <c r="L26" s="576">
        <f t="shared" si="7"/>
        <v>0</v>
      </c>
      <c r="M26" s="576">
        <f t="shared" si="7"/>
        <v>0</v>
      </c>
      <c r="N26" s="576">
        <f t="shared" si="7"/>
        <v>0</v>
      </c>
      <c r="O26" s="576">
        <f t="shared" si="7"/>
        <v>0</v>
      </c>
      <c r="P26" s="576">
        <f t="shared" si="7"/>
        <v>0</v>
      </c>
      <c r="Q26" s="576">
        <f t="shared" si="7"/>
        <v>0</v>
      </c>
      <c r="R26" s="576">
        <f t="shared" si="7"/>
        <v>0</v>
      </c>
      <c r="S26" s="576">
        <f t="shared" si="7"/>
        <v>0</v>
      </c>
      <c r="T26" s="576">
        <f t="shared" si="7"/>
        <v>0</v>
      </c>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7" spans="1:256" x14ac:dyDescent="0.25">
      <c r="B27" s="165" t="s">
        <v>255</v>
      </c>
      <c r="C27" s="577" t="e">
        <f t="shared" ref="C27:T27" ca="1" si="8">C26*Acc_CARE*C24</f>
        <v>#N/A</v>
      </c>
      <c r="D27" s="577" t="e">
        <f t="shared" ca="1" si="8"/>
        <v>#N/A</v>
      </c>
      <c r="E27" s="577" t="e">
        <f t="shared" ca="1" si="8"/>
        <v>#N/A</v>
      </c>
      <c r="F27" s="577" t="e">
        <f t="shared" ca="1" si="8"/>
        <v>#N/A</v>
      </c>
      <c r="G27" s="577" t="e">
        <f t="shared" ca="1" si="8"/>
        <v>#N/A</v>
      </c>
      <c r="H27" s="577" t="e">
        <f t="shared" ca="1" si="8"/>
        <v>#N/A</v>
      </c>
      <c r="I27" s="577" t="e">
        <f t="shared" ca="1" si="8"/>
        <v>#N/A</v>
      </c>
      <c r="J27" s="577" t="e">
        <f t="shared" ca="1" si="8"/>
        <v>#N/A</v>
      </c>
      <c r="K27" s="577" t="e">
        <f t="shared" ca="1" si="8"/>
        <v>#N/A</v>
      </c>
      <c r="L27" s="577" t="e">
        <f t="shared" ca="1" si="8"/>
        <v>#N/A</v>
      </c>
      <c r="M27" s="577" t="e">
        <f t="shared" ca="1" si="8"/>
        <v>#N/A</v>
      </c>
      <c r="N27" s="577" t="e">
        <f t="shared" ca="1" si="8"/>
        <v>#N/A</v>
      </c>
      <c r="O27" s="577" t="e">
        <f t="shared" ca="1" si="8"/>
        <v>#N/A</v>
      </c>
      <c r="P27" s="577" t="e">
        <f t="shared" ca="1" si="8"/>
        <v>#N/A</v>
      </c>
      <c r="Q27" s="577" t="e">
        <f t="shared" ca="1" si="8"/>
        <v>#N/A</v>
      </c>
      <c r="R27" s="577" t="e">
        <f t="shared" ca="1" si="8"/>
        <v>#N/A</v>
      </c>
      <c r="S27" s="577" t="e">
        <f t="shared" ca="1" si="8"/>
        <v>#N/A</v>
      </c>
      <c r="T27" s="577" t="e">
        <f t="shared" ca="1" si="8"/>
        <v>#N/A</v>
      </c>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row>
    <row r="28" spans="1:256" ht="13" thickBot="1" x14ac:dyDescent="0.3">
      <c r="B28" s="218" t="s">
        <v>363</v>
      </c>
      <c r="C28" s="173" t="e">
        <f t="shared" ref="C28:T28" ca="1" si="9">C27*(1+care_rev)^((DoR-C20)/DoY)</f>
        <v>#N/A</v>
      </c>
      <c r="D28" s="173" t="e">
        <f t="shared" ca="1" si="9"/>
        <v>#N/A</v>
      </c>
      <c r="E28" s="173" t="e">
        <f t="shared" ca="1" si="9"/>
        <v>#N/A</v>
      </c>
      <c r="F28" s="173" t="e">
        <f t="shared" ca="1" si="9"/>
        <v>#N/A</v>
      </c>
      <c r="G28" s="173" t="e">
        <f t="shared" ca="1" si="9"/>
        <v>#N/A</v>
      </c>
      <c r="H28" s="173" t="e">
        <f t="shared" ca="1" si="9"/>
        <v>#N/A</v>
      </c>
      <c r="I28" s="173" t="e">
        <f t="shared" ca="1" si="9"/>
        <v>#N/A</v>
      </c>
      <c r="J28" s="173" t="e">
        <f t="shared" ca="1" si="9"/>
        <v>#N/A</v>
      </c>
      <c r="K28" s="173" t="e">
        <f t="shared" ca="1" si="9"/>
        <v>#N/A</v>
      </c>
      <c r="L28" s="173" t="e">
        <f t="shared" ca="1" si="9"/>
        <v>#N/A</v>
      </c>
      <c r="M28" s="173" t="e">
        <f t="shared" ca="1" si="9"/>
        <v>#N/A</v>
      </c>
      <c r="N28" s="173" t="e">
        <f t="shared" ca="1" si="9"/>
        <v>#N/A</v>
      </c>
      <c r="O28" s="173" t="e">
        <f t="shared" ca="1" si="9"/>
        <v>#N/A</v>
      </c>
      <c r="P28" s="173" t="e">
        <f t="shared" ca="1" si="9"/>
        <v>#N/A</v>
      </c>
      <c r="Q28" s="173" t="e">
        <f t="shared" ca="1" si="9"/>
        <v>#N/A</v>
      </c>
      <c r="R28" s="173" t="e">
        <f t="shared" ca="1" si="9"/>
        <v>#N/A</v>
      </c>
      <c r="S28" s="173" t="e">
        <f t="shared" ca="1" si="9"/>
        <v>#N/A</v>
      </c>
      <c r="T28" s="173" t="e">
        <f t="shared" ca="1" si="9"/>
        <v>#N/A</v>
      </c>
    </row>
    <row r="29" spans="1:256" x14ac:dyDescent="0.25">
      <c r="B29" s="294" t="s">
        <v>687</v>
      </c>
      <c r="C29" s="37" t="e">
        <f ca="1">SUM(C28:T28)</f>
        <v>#N/A</v>
      </c>
      <c r="D29" s="29" t="s">
        <v>688</v>
      </c>
    </row>
    <row r="30" spans="1:256" x14ac:dyDescent="0.25">
      <c r="B30" s="26"/>
    </row>
    <row r="31" spans="1:256" x14ac:dyDescent="0.25">
      <c r="B31" s="26" t="s">
        <v>689</v>
      </c>
      <c r="C31" s="37">
        <f>Calculator!M42</f>
        <v>0</v>
      </c>
    </row>
    <row r="32" spans="1:256" x14ac:dyDescent="0.25">
      <c r="B32" s="26" t="s">
        <v>690</v>
      </c>
      <c r="C32" s="8">
        <f>DATE(ABSEndDate1,4,1)</f>
        <v>92</v>
      </c>
    </row>
    <row r="33" spans="2:3" x14ac:dyDescent="0.25">
      <c r="B33" s="26" t="s">
        <v>691</v>
      </c>
      <c r="C33" s="69">
        <f>C31*(1+care_rev)^((DoR-C32)/DoY)</f>
        <v>0</v>
      </c>
    </row>
    <row r="34" spans="2:3" x14ac:dyDescent="0.25">
      <c r="B34" s="26" t="s">
        <v>692</v>
      </c>
      <c r="C34" t="b">
        <f>Parameters!B126</f>
        <v>1</v>
      </c>
    </row>
    <row r="35" spans="2:3" x14ac:dyDescent="0.25">
      <c r="B35" s="26" t="s">
        <v>693</v>
      </c>
      <c r="C35" t="e">
        <f>IF(OR(ProtStatus="full",DoStartSchYear&lt;=DoProtEnd),0,IF(C34,C33,C29))</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P43"/>
  <sheetViews>
    <sheetView workbookViewId="0"/>
  </sheetViews>
  <sheetFormatPr defaultRowHeight="12.5" x14ac:dyDescent="0.25"/>
  <cols>
    <col min="2" max="2" width="30.453125" customWidth="1"/>
    <col min="3" max="3" width="53" bestFit="1" customWidth="1"/>
    <col min="4" max="4" width="12" bestFit="1" customWidth="1"/>
    <col min="5" max="5" width="16.1796875" customWidth="1"/>
    <col min="6" max="6" width="12" customWidth="1"/>
    <col min="7" max="7" width="13.54296875" customWidth="1"/>
    <col min="8" max="8" width="10.453125" bestFit="1" customWidth="1"/>
    <col min="9" max="9" width="9.54296875" bestFit="1" customWidth="1"/>
  </cols>
  <sheetData>
    <row r="1" spans="1:16" ht="20" x14ac:dyDescent="0.4">
      <c r="A1" s="13" t="s">
        <v>19</v>
      </c>
      <c r="B1" s="12"/>
      <c r="C1" s="12"/>
      <c r="D1" s="12"/>
      <c r="E1" s="12"/>
      <c r="F1" s="12"/>
      <c r="G1" s="12"/>
      <c r="H1" s="12"/>
      <c r="I1" s="12"/>
    </row>
    <row r="2" spans="1:16" ht="15.5" x14ac:dyDescent="0.35">
      <c r="A2" s="27" t="str">
        <f>IF(title="&gt; Enter workbook title here","Enter workbook title in Cover sheet",title)</f>
        <v>Scottish Fire pension  projection calculator</v>
      </c>
      <c r="B2" s="11"/>
      <c r="C2" s="11"/>
      <c r="D2" s="11"/>
      <c r="E2" s="11"/>
      <c r="F2" s="11"/>
      <c r="G2" s="11"/>
      <c r="H2" s="11"/>
      <c r="I2" s="11"/>
    </row>
    <row r="3" spans="1:16" ht="15.5" x14ac:dyDescent="0.35">
      <c r="A3" s="76" t="s">
        <v>79</v>
      </c>
      <c r="B3" s="11"/>
      <c r="C3" s="11"/>
      <c r="D3" s="11"/>
      <c r="E3" s="11"/>
      <c r="F3" s="11"/>
      <c r="G3" s="11"/>
      <c r="H3" s="11"/>
      <c r="I3" s="11"/>
    </row>
    <row r="4" spans="1:16" x14ac:dyDescent="0.25">
      <c r="A4" s="7" t="str">
        <f ca="1">CELL("filename",A1)</f>
        <v>C:\Users\u418711\AppData\Local\Microsoft\Windows\INetCache\Content.Outlook\PTLKNQ86\[Copy of Fire Scotland - Benefit Calculator - 22Dec2020.xlsx]CARE calcs</v>
      </c>
    </row>
    <row r="5" spans="1:16" ht="13" thickBot="1" x14ac:dyDescent="0.3">
      <c r="A5" s="7"/>
      <c r="G5" s="29"/>
    </row>
    <row r="6" spans="1:16" ht="13" x14ac:dyDescent="0.3">
      <c r="A6" s="7"/>
      <c r="C6" s="102" t="s">
        <v>343</v>
      </c>
      <c r="D6" s="114" t="e">
        <f>'FPS and NFPS calcs'!F24</f>
        <v>#N/A</v>
      </c>
      <c r="G6" s="29"/>
      <c r="H6" s="229"/>
      <c r="N6" s="95"/>
      <c r="O6" s="95"/>
      <c r="P6" s="95"/>
    </row>
    <row r="7" spans="1:16" ht="13.5" thickBot="1" x14ac:dyDescent="0.35">
      <c r="C7" s="104" t="s">
        <v>344</v>
      </c>
      <c r="D7" s="212" t="e">
        <f>IF(D6="Full",DoR,DoProtEnd)</f>
        <v>#N/A</v>
      </c>
      <c r="I7" s="95"/>
      <c r="J7" s="95"/>
      <c r="N7" s="95"/>
      <c r="O7" s="95"/>
      <c r="P7" s="95"/>
    </row>
    <row r="8" spans="1:16" ht="13" thickBot="1" x14ac:dyDescent="0.3">
      <c r="I8" s="95"/>
      <c r="J8" s="95"/>
      <c r="N8" s="95"/>
      <c r="O8" s="95"/>
    </row>
    <row r="9" spans="1:16" ht="13" x14ac:dyDescent="0.3">
      <c r="C9" s="102" t="s">
        <v>73</v>
      </c>
      <c r="D9" s="208" t="e">
        <f>VLOOKUP(DoB,Parameters!D27:F30,3,TRUE)</f>
        <v>#N/A</v>
      </c>
      <c r="E9" s="128" t="e">
        <f>D9</f>
        <v>#N/A</v>
      </c>
      <c r="F9" s="209" t="e">
        <f>E9</f>
        <v>#N/A</v>
      </c>
      <c r="I9" s="95"/>
      <c r="J9" s="95"/>
      <c r="N9" s="95"/>
      <c r="O9" s="95"/>
    </row>
    <row r="10" spans="1:16" ht="13" x14ac:dyDescent="0.3">
      <c r="C10" s="103" t="s">
        <v>310</v>
      </c>
      <c r="D10" s="83">
        <f>ChosenRA</f>
        <v>0</v>
      </c>
      <c r="E10" s="254">
        <f>D10</f>
        <v>0</v>
      </c>
      <c r="F10" s="255">
        <f>E10</f>
        <v>0</v>
      </c>
      <c r="I10" s="95"/>
      <c r="J10" s="95"/>
      <c r="N10" s="95"/>
      <c r="O10" s="95"/>
    </row>
    <row r="11" spans="1:16" ht="13" x14ac:dyDescent="0.3">
      <c r="C11" s="103" t="s">
        <v>354</v>
      </c>
      <c r="D11" s="25">
        <f>1+cpi_1</f>
        <v>1.01</v>
      </c>
      <c r="E11" s="25">
        <f>1+cpi_2</f>
        <v>1.03</v>
      </c>
      <c r="F11" s="210">
        <f>1+cpi_3</f>
        <v>1.04</v>
      </c>
      <c r="G11" s="86"/>
      <c r="I11" s="95"/>
      <c r="J11" s="95"/>
      <c r="N11" s="95"/>
      <c r="O11" s="95"/>
    </row>
    <row r="12" spans="1:16" ht="13" x14ac:dyDescent="0.3">
      <c r="C12" s="103" t="s">
        <v>318</v>
      </c>
      <c r="D12" s="25">
        <f>((1+care_rev)/D11)</f>
        <v>1.0198019801990097</v>
      </c>
      <c r="E12" s="25">
        <f>((1+care_rev)/E11)</f>
        <v>1.0000000000009708</v>
      </c>
      <c r="F12" s="210">
        <f>((1+care_rev)/F11)</f>
        <v>0.99038461538557676</v>
      </c>
      <c r="G12" s="86"/>
      <c r="I12" s="95"/>
      <c r="J12" s="95"/>
      <c r="N12" s="95"/>
      <c r="O12" s="95"/>
    </row>
    <row r="13" spans="1:16" ht="13.5" thickBot="1" x14ac:dyDescent="0.35">
      <c r="C13" s="104" t="s">
        <v>342</v>
      </c>
      <c r="D13" s="132">
        <f>(1+cpi_1)/(1+cpi)</f>
        <v>0.99019607843137258</v>
      </c>
      <c r="E13" s="132">
        <f>(1+cpi_2)/(1+cpi)</f>
        <v>1.0098039215686274</v>
      </c>
      <c r="F13" s="211">
        <f>(1+cpi_3)/(1+cpi)</f>
        <v>1.0196078431372548</v>
      </c>
      <c r="I13" s="205"/>
      <c r="J13" s="95"/>
      <c r="N13" s="95"/>
      <c r="O13" s="95"/>
    </row>
    <row r="14" spans="1:16" ht="13.5" thickBot="1" x14ac:dyDescent="0.35">
      <c r="C14" s="1"/>
      <c r="G14" s="190"/>
      <c r="H14" s="9"/>
      <c r="I14" s="144"/>
      <c r="K14" s="9"/>
      <c r="L14" s="9"/>
      <c r="N14" s="95"/>
      <c r="O14" s="95"/>
    </row>
    <row r="15" spans="1:16" ht="13" x14ac:dyDescent="0.3">
      <c r="B15" s="728" t="s">
        <v>312</v>
      </c>
      <c r="C15" s="102" t="s">
        <v>311</v>
      </c>
      <c r="D15" s="193" t="e">
        <f>MAX(0,(DoR-MAX(DoStartSchYear,D7)))/DoY</f>
        <v>#N/A</v>
      </c>
      <c r="E15" s="213"/>
      <c r="H15" s="16"/>
      <c r="I15" s="178"/>
      <c r="J15" s="178"/>
      <c r="K15" s="178"/>
      <c r="L15" s="9"/>
      <c r="N15" s="95"/>
      <c r="O15" s="95"/>
    </row>
    <row r="16" spans="1:16" ht="13" x14ac:dyDescent="0.3">
      <c r="B16" s="729"/>
      <c r="C16" s="103" t="s">
        <v>73</v>
      </c>
      <c r="D16" s="202">
        <f>IFERROR(MAX((DATE(YEAR(DoB)+$D$9,MONTH(DoB),DAY(DoB))-MAX(DoStartSchYear,D7))/DoY,0),0)</f>
        <v>0</v>
      </c>
      <c r="E16" s="213"/>
      <c r="F16" s="29"/>
      <c r="H16" s="16"/>
      <c r="I16" s="206"/>
      <c r="J16" s="142"/>
      <c r="K16" s="142"/>
      <c r="L16" s="9"/>
      <c r="N16" s="95"/>
      <c r="O16" s="95"/>
    </row>
    <row r="17" spans="1:15" ht="13.5" thickBot="1" x14ac:dyDescent="0.35">
      <c r="B17" s="730"/>
      <c r="C17" s="203" t="s">
        <v>337</v>
      </c>
      <c r="D17" s="194" t="e">
        <f>D16-D15</f>
        <v>#N/A</v>
      </c>
      <c r="H17" s="9"/>
      <c r="I17" s="144"/>
      <c r="J17" s="144"/>
      <c r="K17" s="144"/>
      <c r="L17" s="9"/>
      <c r="N17" s="95"/>
      <c r="O17" s="95"/>
    </row>
    <row r="18" spans="1:15" ht="13" x14ac:dyDescent="0.3">
      <c r="B18" s="728" t="s">
        <v>384</v>
      </c>
      <c r="C18" s="231" t="s">
        <v>362</v>
      </c>
      <c r="D18" s="230">
        <f ca="1">(DoR-Date_curr)/DoY</f>
        <v>-121.05133470225873</v>
      </c>
      <c r="H18" s="9"/>
      <c r="I18" s="144"/>
      <c r="J18" s="144"/>
      <c r="K18" s="144"/>
      <c r="L18" s="9"/>
      <c r="N18" s="95"/>
      <c r="O18" s="95"/>
    </row>
    <row r="19" spans="1:15" ht="13.5" thickBot="1" x14ac:dyDescent="0.35">
      <c r="B19" s="730"/>
      <c r="C19" s="203" t="s">
        <v>385</v>
      </c>
      <c r="D19" s="194">
        <f>IFERROR(MAX((DoProtEnd-DoStartSchYear)/DoY,0),0)</f>
        <v>0</v>
      </c>
      <c r="G19" s="29"/>
      <c r="H19" s="9"/>
      <c r="I19" s="144"/>
      <c r="J19" s="144"/>
      <c r="K19" s="144"/>
      <c r="L19" s="9"/>
      <c r="N19" s="95"/>
      <c r="O19" s="95"/>
    </row>
    <row r="20" spans="1:15" ht="13.5" thickBot="1" x14ac:dyDescent="0.35">
      <c r="B20" s="256"/>
      <c r="C20" s="257"/>
      <c r="D20" s="139"/>
      <c r="H20" s="9"/>
      <c r="I20" s="144"/>
      <c r="J20" s="144"/>
      <c r="K20" s="144"/>
      <c r="L20" s="9"/>
      <c r="N20" s="95"/>
      <c r="O20" s="95"/>
    </row>
    <row r="21" spans="1:15" ht="13" x14ac:dyDescent="0.3">
      <c r="B21" s="728" t="s">
        <v>435</v>
      </c>
      <c r="C21" s="391" t="s">
        <v>537</v>
      </c>
      <c r="D21" s="394">
        <f>IF(ChosenRA&lt;=60,1,1+VLOOKUP(RA_month,CARE_LRF,RA_Year-60+2,0))</f>
        <v>1</v>
      </c>
      <c r="F21" s="258"/>
      <c r="H21" s="9"/>
      <c r="I21" s="144"/>
      <c r="J21" s="144"/>
      <c r="K21" s="144"/>
      <c r="L21" s="9"/>
      <c r="N21" s="95"/>
      <c r="O21" s="95"/>
    </row>
    <row r="22" spans="1:15" ht="13.5" thickBot="1" x14ac:dyDescent="0.35">
      <c r="B22" s="730"/>
      <c r="C22" s="390" t="s">
        <v>434</v>
      </c>
      <c r="D22" s="395">
        <f>IF(ChosenRA&lt;55,1,IF(ChosenRA&lt;60,VLOOKUP(Parameters!H117,CARE_ERFs,MOD(12-RA_month_roundup,12)+2,0),1))</f>
        <v>1</v>
      </c>
      <c r="H22" s="9"/>
      <c r="I22" s="144"/>
      <c r="J22" s="144"/>
      <c r="K22" s="144"/>
      <c r="L22" s="9"/>
      <c r="N22" s="95"/>
      <c r="O22" s="95"/>
    </row>
    <row r="23" spans="1:15" ht="13.5" thickBot="1" x14ac:dyDescent="0.35">
      <c r="A23" s="9"/>
      <c r="B23" s="217"/>
      <c r="C23" s="16"/>
      <c r="D23" s="139"/>
      <c r="E23" s="139"/>
      <c r="F23" s="139"/>
      <c r="G23" s="9"/>
      <c r="H23" s="9"/>
      <c r="I23" s="144"/>
      <c r="J23" s="144"/>
      <c r="K23" s="144"/>
      <c r="L23" s="9"/>
      <c r="N23" s="95"/>
      <c r="O23" s="95"/>
    </row>
    <row r="24" spans="1:15" ht="12.75" customHeight="1" x14ac:dyDescent="0.3">
      <c r="B24" s="723" t="s">
        <v>357</v>
      </c>
      <c r="C24" s="102" t="s">
        <v>379</v>
      </c>
      <c r="D24" s="220" t="e">
        <f>IF(D15=0,0,INT(D15))</f>
        <v>#N/A</v>
      </c>
      <c r="E24" s="199" t="e">
        <f t="shared" ref="E24:F26" si="0">$D24</f>
        <v>#N/A</v>
      </c>
      <c r="F24" s="200" t="e">
        <f t="shared" si="0"/>
        <v>#N/A</v>
      </c>
      <c r="H24" s="95"/>
    </row>
    <row r="25" spans="1:15" ht="12.75" customHeight="1" x14ac:dyDescent="0.3">
      <c r="B25" s="734"/>
      <c r="C25" s="103" t="s">
        <v>380</v>
      </c>
      <c r="D25" s="192" t="e">
        <f>D15-INT(D15)</f>
        <v>#N/A</v>
      </c>
      <c r="E25" s="139" t="e">
        <f t="shared" si="0"/>
        <v>#N/A</v>
      </c>
      <c r="F25" s="140" t="e">
        <f t="shared" si="0"/>
        <v>#N/A</v>
      </c>
    </row>
    <row r="26" spans="1:15" ht="13.5" thickBot="1" x14ac:dyDescent="0.35">
      <c r="B26" s="724"/>
      <c r="C26" s="103" t="s">
        <v>250</v>
      </c>
      <c r="D26" s="204" t="e">
        <f>'Past Service CARE Calcs'!C35</f>
        <v>#N/A</v>
      </c>
      <c r="E26" s="206" t="e">
        <f t="shared" si="0"/>
        <v>#N/A</v>
      </c>
      <c r="F26" s="207" t="e">
        <f t="shared" si="0"/>
        <v>#N/A</v>
      </c>
      <c r="H26" s="95"/>
    </row>
    <row r="27" spans="1:15" ht="12.75" customHeight="1" x14ac:dyDescent="0.3">
      <c r="B27" s="728" t="s">
        <v>358</v>
      </c>
      <c r="C27" s="231" t="s">
        <v>251</v>
      </c>
      <c r="D27" s="655" t="e">
        <f>IF($D$6="Tapered",0,CurrentSal*Acc_CARE*D$11^(D24)*((1-D$12^D24)/(1-D$12)*(1+care_rev)^D25+D25*D11^D25))</f>
        <v>#N/A</v>
      </c>
      <c r="E27" s="656" t="e">
        <f>IF($D$6="Tapered",0,CurrentSal*Acc_CARE*E$11^(E24)*((1-E$12^E24)/(1-E$12)*(1+care_rev)^E25+E25*E11^E25))</f>
        <v>#N/A</v>
      </c>
      <c r="F27" s="657" t="e">
        <f>IF($D$6="Tapered",0,CurrentSal*Acc_CARE*F$11^(F24)*((1-F$12^F24)/(1-F$12)*(1+care_rev)^F25+F25*F11^F25))</f>
        <v>#N/A</v>
      </c>
    </row>
    <row r="28" spans="1:15" s="629" customFormat="1" ht="12.75" customHeight="1" thickBot="1" x14ac:dyDescent="0.35">
      <c r="B28" s="730"/>
      <c r="C28" s="103" t="s">
        <v>910</v>
      </c>
      <c r="D28" s="652" t="e">
        <f>IF(PT_Status="Part-Time",D27*future_PTP,D27)</f>
        <v>#N/A</v>
      </c>
      <c r="E28" s="653" t="e">
        <f>IF(PT_Status="Part-Time",E27*future_PTP,E27)</f>
        <v>#N/A</v>
      </c>
      <c r="F28" s="654" t="e">
        <f>IF(PT_Status="Part-Time",F27*future_PTP,F27)</f>
        <v>#N/A</v>
      </c>
      <c r="G28" s="629" t="s">
        <v>916</v>
      </c>
    </row>
    <row r="29" spans="1:15" ht="12.75" customHeight="1" x14ac:dyDescent="0.3">
      <c r="A29" s="111"/>
      <c r="B29" s="728" t="s">
        <v>359</v>
      </c>
      <c r="C29" s="102" t="s">
        <v>377</v>
      </c>
      <c r="D29" s="221">
        <f>INT((DoR-DoStartSchYear)/DoY)</f>
        <v>-1</v>
      </c>
      <c r="E29" s="219">
        <f>$D29</f>
        <v>-1</v>
      </c>
      <c r="F29" s="222">
        <f>$D29</f>
        <v>-1</v>
      </c>
      <c r="H29" s="227"/>
    </row>
    <row r="30" spans="1:15" ht="12.75" customHeight="1" x14ac:dyDescent="0.3">
      <c r="A30" s="111"/>
      <c r="B30" s="729"/>
      <c r="C30" s="103" t="s">
        <v>378</v>
      </c>
      <c r="D30" s="228">
        <f>(DoR-DoStartSchYear)/DoY-D29</f>
        <v>0.74811772758384665</v>
      </c>
      <c r="E30" s="139">
        <f>$D30</f>
        <v>0.74811772758384665</v>
      </c>
      <c r="F30" s="140">
        <f>$D30</f>
        <v>0.74811772758384665</v>
      </c>
      <c r="H30" s="227"/>
    </row>
    <row r="31" spans="1:15" ht="13" x14ac:dyDescent="0.3">
      <c r="A31" s="111"/>
      <c r="B31" s="729"/>
      <c r="C31" s="103" t="s">
        <v>381</v>
      </c>
      <c r="D31" s="204" t="e">
        <f>IF($D$6="Tapered",CurrentSal*Acc_CARE*D$11^(D29)*((1-D$12^D29)/(1-D$12)*(1+care_rev)^D30+D30*D11^D30),0)</f>
        <v>#N/A</v>
      </c>
      <c r="E31" s="206" t="e">
        <f>IF($D$6="Tapered",CurrentSal*Acc_CARE*E$11^(E29)*((1-E$12^E29)/(1-E$12)*(1+care_rev)^E30+E30*E11^E30),0)</f>
        <v>#N/A</v>
      </c>
      <c r="F31" s="207" t="e">
        <f>IF($D$6="Tapered",CurrentSal*Acc_CARE*F$11^(F29)*((1-F$12^F29)/(1-F$12)*(1+care_rev)^F30+F30*F11^F30),0)</f>
        <v>#N/A</v>
      </c>
      <c r="H31" s="95"/>
    </row>
    <row r="32" spans="1:15" ht="13" x14ac:dyDescent="0.3">
      <c r="A32" s="111"/>
      <c r="B32" s="729"/>
      <c r="C32" s="103" t="s">
        <v>382</v>
      </c>
      <c r="D32" s="204" t="e">
        <f>IF($D$6="Tapered",INT($D$19),0)</f>
        <v>#N/A</v>
      </c>
      <c r="E32" s="206" t="e">
        <f>$D32</f>
        <v>#N/A</v>
      </c>
      <c r="F32" s="207" t="e">
        <f>$D32</f>
        <v>#N/A</v>
      </c>
      <c r="G32" s="95"/>
      <c r="H32" s="95"/>
    </row>
    <row r="33" spans="1:8" ht="13" x14ac:dyDescent="0.3">
      <c r="A33" s="111"/>
      <c r="B33" s="729"/>
      <c r="C33" s="103" t="s">
        <v>383</v>
      </c>
      <c r="D33" s="204" t="e">
        <f>IF($D$6="Tapered",CurrentSal*Acc_CARE*D$11^(D32)*((1-D$12^D32)/(1-D$12)+D$11*($D$19-INT($D$19))/(1+care_rev))*(1+care_rev)^(D24+D30),0)</f>
        <v>#N/A</v>
      </c>
      <c r="E33" s="206" t="e">
        <f>IF($D$6="Tapered",CurrentSal*Acc_CARE*E$11^(E32)*((1-E$12^E32)/(1-E$12)+E$11*($D$19-INT($D$19))/(1+care_rev))*(1+care_rev)^(E24+E30),0)</f>
        <v>#N/A</v>
      </c>
      <c r="F33" s="207" t="e">
        <f>IF($D$6="Tapered",CurrentSal*Acc_CARE*F$11^(F32)*((1-F$12^F32)/(1-F$12)+F$11*($D$19-INT($D$19))/(1+care_rev))*(1+care_rev)^(F24+F30),0)</f>
        <v>#N/A</v>
      </c>
      <c r="G33" s="95"/>
      <c r="H33" s="95"/>
    </row>
    <row r="34" spans="1:8" ht="13" x14ac:dyDescent="0.3">
      <c r="A34" s="111"/>
      <c r="B34" s="729"/>
      <c r="C34" s="103" t="s">
        <v>251</v>
      </c>
      <c r="D34" s="204" t="e">
        <f>IF(DoProtEnd&gt;DoR,0,D31-D33)</f>
        <v>#N/A</v>
      </c>
      <c r="E34" s="206" t="e">
        <f>IF(DoProtEnd&gt;DoR,0,E31-E33)</f>
        <v>#N/A</v>
      </c>
      <c r="F34" s="207" t="e">
        <f>IF(DoProtEnd&gt;DoR,0,F31-F33)</f>
        <v>#N/A</v>
      </c>
      <c r="H34" s="95"/>
    </row>
    <row r="35" spans="1:8" ht="13.5" thickBot="1" x14ac:dyDescent="0.35">
      <c r="A35" s="111"/>
      <c r="B35" s="730"/>
      <c r="C35" s="103" t="s">
        <v>915</v>
      </c>
      <c r="D35" s="204" t="e">
        <f>IF(PT_Status="Part-Time",D34*future_PTP,D34)</f>
        <v>#N/A</v>
      </c>
      <c r="E35" s="206" t="e">
        <f>IF(PT_Status="Part-Time",E34*future_PTP,E34)</f>
        <v>#N/A</v>
      </c>
      <c r="F35" s="207" t="e">
        <f>IF(PT_Status="Part-Time",F34*future_PTP,F34)</f>
        <v>#N/A</v>
      </c>
      <c r="G35" s="629" t="s">
        <v>916</v>
      </c>
    </row>
    <row r="36" spans="1:8" ht="13" x14ac:dyDescent="0.3">
      <c r="C36" s="197" t="s">
        <v>355</v>
      </c>
      <c r="D36" s="149" t="e">
        <f ca="1">SUM(D26,D28,D35)/(1+cpi)^$D$18</f>
        <v>#N/A</v>
      </c>
      <c r="E36" s="150" t="e">
        <f ca="1">SUM(E26,E28,E35)/(1+cpi)^$D$18</f>
        <v>#N/A</v>
      </c>
      <c r="F36" s="151" t="e">
        <f ca="1">SUM(F26,F28,F35)/(1+cpi)^$D$18</f>
        <v>#N/A</v>
      </c>
      <c r="G36" s="629" t="s">
        <v>914</v>
      </c>
    </row>
    <row r="37" spans="1:8" ht="13" x14ac:dyDescent="0.3">
      <c r="C37" s="112" t="s">
        <v>365</v>
      </c>
      <c r="D37" s="204" t="e">
        <f ca="1">+D36*IF(D$10&lt;55,1,IF(D$10&lt;60,$D$22,$D$21))</f>
        <v>#N/A</v>
      </c>
      <c r="E37" s="206" t="e">
        <f ca="1">+E36*IF(E$10&lt;55,1,IF(E$10&lt;60,$D$22,$D$21))</f>
        <v>#N/A</v>
      </c>
      <c r="F37" s="207" t="e">
        <f ca="1">+F36*IF(F$10&lt;55,1,IF(F$10&lt;60,$D$22,$D$21))</f>
        <v>#N/A</v>
      </c>
      <c r="G37" s="629" t="s">
        <v>911</v>
      </c>
    </row>
    <row r="38" spans="1:8" ht="13.5" thickBot="1" x14ac:dyDescent="0.35">
      <c r="C38" s="104" t="s">
        <v>366</v>
      </c>
      <c r="D38" s="122" t="e">
        <f ca="1">D37</f>
        <v>#N/A</v>
      </c>
      <c r="E38" s="152" t="e">
        <f t="shared" ref="E38:F38" ca="1" si="1">E37</f>
        <v>#N/A</v>
      </c>
      <c r="F38" s="654" t="e">
        <f t="shared" ca="1" si="1"/>
        <v>#N/A</v>
      </c>
    </row>
    <row r="43" spans="1:8" x14ac:dyDescent="0.25">
      <c r="B43" s="658"/>
    </row>
  </sheetData>
  <mergeCells count="6">
    <mergeCell ref="B29:B35"/>
    <mergeCell ref="B24:B26"/>
    <mergeCell ref="B15:B17"/>
    <mergeCell ref="B18:B19"/>
    <mergeCell ref="B21:B22"/>
    <mergeCell ref="B27:B28"/>
  </mergeCells>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N37"/>
  <sheetViews>
    <sheetView workbookViewId="0"/>
  </sheetViews>
  <sheetFormatPr defaultRowHeight="12.5" x14ac:dyDescent="0.25"/>
  <cols>
    <col min="2" max="2" width="30.453125" customWidth="1"/>
    <col min="3" max="3" width="53" bestFit="1" customWidth="1"/>
    <col min="4" max="4" width="10.54296875" bestFit="1" customWidth="1"/>
    <col min="5" max="5" width="13.54296875" customWidth="1"/>
    <col min="6" max="6" width="10.453125" bestFit="1" customWidth="1"/>
    <col min="7" max="7" width="9.54296875" bestFit="1" customWidth="1"/>
  </cols>
  <sheetData>
    <row r="1" spans="1:14" ht="20" x14ac:dyDescent="0.4">
      <c r="A1" s="13" t="s">
        <v>19</v>
      </c>
      <c r="B1" s="12"/>
      <c r="C1" s="12"/>
      <c r="D1" s="12"/>
      <c r="E1" s="12"/>
      <c r="F1" s="12"/>
      <c r="G1" s="12"/>
    </row>
    <row r="2" spans="1:14" ht="15.5" x14ac:dyDescent="0.35">
      <c r="A2" s="27" t="str">
        <f>IF(title="&gt; Enter workbook title here","Enter workbook title in Cover sheet",title)</f>
        <v>Scottish Fire pension  projection calculator</v>
      </c>
      <c r="B2" s="11"/>
      <c r="C2" s="11"/>
      <c r="D2" s="11"/>
      <c r="E2" s="11"/>
      <c r="F2" s="11"/>
      <c r="G2" s="11"/>
    </row>
    <row r="3" spans="1:14" ht="15.5" x14ac:dyDescent="0.35">
      <c r="A3" s="76" t="s">
        <v>79</v>
      </c>
      <c r="B3" s="11"/>
      <c r="C3" s="11"/>
      <c r="D3" s="11"/>
      <c r="E3" s="11"/>
      <c r="F3" s="11"/>
      <c r="G3" s="11"/>
    </row>
    <row r="4" spans="1:14" x14ac:dyDescent="0.25">
      <c r="A4" s="7" t="str">
        <f ca="1">CELL("filename",A1)</f>
        <v>C:\Users\u418711\AppData\Local\Microsoft\Windows\INetCache\Content.Outlook\PTLKNQ86\[Copy of Fire Scotland - Benefit Calculator - 22Dec2020.xlsx]CARE calcs ABS</v>
      </c>
    </row>
    <row r="5" spans="1:14" ht="13" thickBot="1" x14ac:dyDescent="0.3">
      <c r="A5" s="7"/>
      <c r="E5" s="29"/>
    </row>
    <row r="6" spans="1:14" ht="13" x14ac:dyDescent="0.3">
      <c r="A6" s="7"/>
      <c r="B6" s="1" t="s">
        <v>411</v>
      </c>
      <c r="C6" s="102" t="s">
        <v>343</v>
      </c>
      <c r="D6" s="114" t="e">
        <f>'FPS and NFPS calcs'!F24</f>
        <v>#N/A</v>
      </c>
      <c r="E6" s="29"/>
      <c r="F6" s="229"/>
      <c r="L6" s="95"/>
      <c r="M6" s="95"/>
      <c r="N6" s="95"/>
    </row>
    <row r="7" spans="1:14" ht="13.5" thickBot="1" x14ac:dyDescent="0.35">
      <c r="C7" s="104" t="s">
        <v>344</v>
      </c>
      <c r="D7" s="212" t="e">
        <f>IF(D6="Full",date60,DoProtEnd)</f>
        <v>#N/A</v>
      </c>
      <c r="G7" s="95"/>
      <c r="H7" s="95"/>
      <c r="L7" s="95"/>
      <c r="M7" s="95"/>
      <c r="N7" s="95"/>
    </row>
    <row r="8" spans="1:14" ht="13" thickBot="1" x14ac:dyDescent="0.3">
      <c r="G8" s="95"/>
      <c r="H8" s="95"/>
      <c r="L8" s="95"/>
      <c r="M8" s="95"/>
    </row>
    <row r="9" spans="1:14" ht="13" x14ac:dyDescent="0.3">
      <c r="C9" s="102" t="s">
        <v>73</v>
      </c>
      <c r="D9" s="251" t="e">
        <f>VLOOKUP(DoB,Parameters!D27:F30,3,TRUE)</f>
        <v>#N/A</v>
      </c>
      <c r="G9" s="95"/>
      <c r="H9" s="95"/>
      <c r="L9" s="95"/>
      <c r="M9" s="95"/>
    </row>
    <row r="10" spans="1:14" ht="13.5" thickBot="1" x14ac:dyDescent="0.35">
      <c r="C10" s="104" t="s">
        <v>310</v>
      </c>
      <c r="D10" s="252">
        <f>60</f>
        <v>60</v>
      </c>
      <c r="G10" s="95"/>
      <c r="H10" s="95"/>
      <c r="L10" s="95"/>
      <c r="M10" s="95"/>
    </row>
    <row r="11" spans="1:14" ht="13.5" thickBot="1" x14ac:dyDescent="0.35">
      <c r="C11" s="1"/>
      <c r="E11" s="190"/>
      <c r="F11" s="9"/>
      <c r="G11" s="144"/>
      <c r="I11" s="9"/>
      <c r="J11" s="9"/>
      <c r="L11" s="95"/>
      <c r="M11" s="95"/>
    </row>
    <row r="12" spans="1:14" ht="13" x14ac:dyDescent="0.3">
      <c r="B12" s="728" t="s">
        <v>312</v>
      </c>
      <c r="C12" s="102" t="s">
        <v>311</v>
      </c>
      <c r="D12" s="193" t="e">
        <f>MAX((date60-MAX(DoStartSchYear,D7))/DoY,0)</f>
        <v>#N/A</v>
      </c>
      <c r="F12" s="16"/>
      <c r="G12" s="178"/>
      <c r="H12" s="178"/>
      <c r="I12" s="178"/>
      <c r="J12" s="9"/>
      <c r="L12" s="95"/>
      <c r="M12" s="95"/>
    </row>
    <row r="13" spans="1:14" ht="13" x14ac:dyDescent="0.3">
      <c r="B13" s="729"/>
      <c r="C13" s="103" t="s">
        <v>73</v>
      </c>
      <c r="D13" s="202">
        <f>IFERROR((DATE(YEAR(DoB)+$D$9,MONTH(DoB),DAY(DoB))-MAX(DoStartSchYear,D7))/DoY,0)</f>
        <v>0</v>
      </c>
      <c r="F13" s="16"/>
      <c r="G13" s="206"/>
      <c r="H13" s="142"/>
      <c r="I13" s="142"/>
      <c r="J13" s="9"/>
      <c r="L13" s="95"/>
      <c r="M13" s="95"/>
    </row>
    <row r="14" spans="1:14" ht="13.5" thickBot="1" x14ac:dyDescent="0.35">
      <c r="B14" s="730"/>
      <c r="C14" s="203" t="s">
        <v>337</v>
      </c>
      <c r="D14" s="194" t="e">
        <f>D13-D12</f>
        <v>#N/A</v>
      </c>
      <c r="F14" s="9"/>
      <c r="G14" s="144"/>
      <c r="H14" s="144"/>
      <c r="I14" s="144"/>
      <c r="J14" s="9"/>
      <c r="L14" s="95"/>
      <c r="M14" s="95"/>
    </row>
    <row r="15" spans="1:14" ht="13" x14ac:dyDescent="0.3">
      <c r="B15" s="728" t="s">
        <v>384</v>
      </c>
      <c r="C15" s="231" t="s">
        <v>362</v>
      </c>
      <c r="D15" s="230">
        <f ca="1">(DoR-Date_curr)/DoY</f>
        <v>-121.05133470225873</v>
      </c>
      <c r="F15" s="9"/>
      <c r="G15" s="144"/>
      <c r="H15" s="144"/>
      <c r="I15" s="144"/>
      <c r="J15" s="9"/>
      <c r="L15" s="95"/>
      <c r="M15" s="95"/>
    </row>
    <row r="16" spans="1:14" ht="13.5" thickBot="1" x14ac:dyDescent="0.35">
      <c r="B16" s="730"/>
      <c r="C16" s="203" t="s">
        <v>385</v>
      </c>
      <c r="D16" s="194" t="e">
        <f>MAX((DoProtEnd-DoStartSchYear)/DoY,0)</f>
        <v>#N/A</v>
      </c>
      <c r="F16" s="9"/>
      <c r="G16" s="144"/>
      <c r="H16" s="144"/>
      <c r="I16" s="144"/>
      <c r="J16" s="9"/>
      <c r="L16" s="95"/>
      <c r="M16" s="95"/>
    </row>
    <row r="17" spans="1:13" ht="13.5" thickBot="1" x14ac:dyDescent="0.35">
      <c r="A17" s="9"/>
      <c r="B17" s="239"/>
      <c r="C17" s="16"/>
      <c r="D17" s="191"/>
      <c r="E17" s="9"/>
      <c r="F17" s="9"/>
      <c r="G17" s="144"/>
      <c r="H17" s="144"/>
      <c r="I17" s="144"/>
      <c r="J17" s="9"/>
      <c r="L17" s="95"/>
      <c r="M17" s="95"/>
    </row>
    <row r="18" spans="1:13" ht="12.75" customHeight="1" x14ac:dyDescent="0.3">
      <c r="B18" s="723" t="s">
        <v>357</v>
      </c>
      <c r="C18" s="102" t="s">
        <v>379</v>
      </c>
      <c r="D18" s="114" t="e">
        <f>IF(D12=0,0,INT(D12))</f>
        <v>#N/A</v>
      </c>
      <c r="F18" s="95"/>
    </row>
    <row r="19" spans="1:13" ht="12.75" customHeight="1" x14ac:dyDescent="0.3">
      <c r="B19" s="734"/>
      <c r="C19" s="103" t="s">
        <v>380</v>
      </c>
      <c r="D19" s="244" t="e">
        <f>D12-INT(D12)</f>
        <v>#N/A</v>
      </c>
    </row>
    <row r="20" spans="1:13" ht="13.5" thickBot="1" x14ac:dyDescent="0.35">
      <c r="B20" s="724"/>
      <c r="C20" s="103" t="s">
        <v>250</v>
      </c>
      <c r="D20" s="245">
        <f>SUM('Past Service CARE Calcs'!C25:F25)/IF(PT_Status="Part-Time",future_PTP,1)</f>
        <v>0</v>
      </c>
      <c r="F20" s="95"/>
    </row>
    <row r="21" spans="1:13" ht="12.75" customHeight="1" thickBot="1" x14ac:dyDescent="0.35">
      <c r="B21" s="238" t="s">
        <v>358</v>
      </c>
      <c r="C21" s="102" t="s">
        <v>251</v>
      </c>
      <c r="D21" s="246" t="e">
        <f>IF($D$6="Tapered",0,CurrentSal*Acc_CARE*(D18+D19))</f>
        <v>#N/A</v>
      </c>
    </row>
    <row r="22" spans="1:13" ht="12.75" customHeight="1" x14ac:dyDescent="0.3">
      <c r="B22" s="728" t="s">
        <v>359</v>
      </c>
      <c r="C22" s="102" t="s">
        <v>377</v>
      </c>
      <c r="D22" s="247">
        <f>INT((DATE(YEAR(DoB)+60,MONTH(DoB),DAY(DoB))-DoStartSchYear)/DoY)</f>
        <v>59</v>
      </c>
      <c r="F22" s="227"/>
    </row>
    <row r="23" spans="1:13" ht="12.75" customHeight="1" x14ac:dyDescent="0.3">
      <c r="B23" s="729"/>
      <c r="C23" s="103" t="s">
        <v>378</v>
      </c>
      <c r="D23" s="248">
        <f>(DATE(YEAR(DoB)+60,MONTH(DoB),DAY(DoB))-DoStartSchYear)/DoY-D22</f>
        <v>0.7481177275838462</v>
      </c>
      <c r="F23" s="227"/>
    </row>
    <row r="24" spans="1:13" ht="13" x14ac:dyDescent="0.3">
      <c r="B24" s="729"/>
      <c r="C24" s="103" t="s">
        <v>381</v>
      </c>
      <c r="D24" s="245" t="e">
        <f>IF($D$6="Tapered",CurrentSal*Acc_CARE*(D22+D23),0)</f>
        <v>#N/A</v>
      </c>
      <c r="F24" s="95"/>
    </row>
    <row r="25" spans="1:13" ht="13" x14ac:dyDescent="0.3">
      <c r="B25" s="729"/>
      <c r="C25" s="103" t="s">
        <v>382</v>
      </c>
      <c r="D25" s="245" t="e">
        <f>IF($D$6="Tapered",INT($D$16),0)</f>
        <v>#N/A</v>
      </c>
      <c r="E25" s="95"/>
      <c r="F25" s="95"/>
    </row>
    <row r="26" spans="1:13" ht="13" x14ac:dyDescent="0.3">
      <c r="B26" s="729"/>
      <c r="C26" s="103" t="s">
        <v>383</v>
      </c>
      <c r="D26" s="245" t="e">
        <f>IF($D$6="Tapered",CurrentSal*Acc_CARE*(D25+($D$16-INT($D$16))),0)</f>
        <v>#N/A</v>
      </c>
      <c r="E26" s="95"/>
      <c r="F26" s="95"/>
    </row>
    <row r="27" spans="1:13" ht="13.5" thickBot="1" x14ac:dyDescent="0.35">
      <c r="B27" s="730"/>
      <c r="C27" s="103" t="s">
        <v>251</v>
      </c>
      <c r="D27" s="245" t="e">
        <f>D24-D26</f>
        <v>#N/A</v>
      </c>
      <c r="F27" s="95"/>
    </row>
    <row r="28" spans="1:13" ht="13" x14ac:dyDescent="0.3">
      <c r="C28" s="197" t="s">
        <v>412</v>
      </c>
      <c r="D28" s="249" t="e">
        <f>SUM(D20,D21,D27)</f>
        <v>#N/A</v>
      </c>
    </row>
    <row r="29" spans="1:13" ht="13.5" thickBot="1" x14ac:dyDescent="0.35">
      <c r="C29" s="104" t="s">
        <v>366</v>
      </c>
      <c r="D29" s="250" t="e">
        <f>IF(PT_Status="Part-Time",D28*future_PTP,D28)</f>
        <v>#N/A</v>
      </c>
    </row>
    <row r="30" spans="1:13" x14ac:dyDescent="0.25">
      <c r="D30" s="95"/>
    </row>
    <row r="31" spans="1:13" x14ac:dyDescent="0.25">
      <c r="D31" s="95"/>
    </row>
    <row r="32" spans="1:13" x14ac:dyDescent="0.25">
      <c r="D32" s="70"/>
    </row>
    <row r="34" spans="4:4" x14ac:dyDescent="0.25">
      <c r="D34" s="70"/>
    </row>
    <row r="35" spans="4:4" x14ac:dyDescent="0.25">
      <c r="D35" s="95"/>
    </row>
    <row r="36" spans="4:4" x14ac:dyDescent="0.25">
      <c r="D36" s="95"/>
    </row>
    <row r="37" spans="4:4" x14ac:dyDescent="0.25">
      <c r="D37" s="95"/>
    </row>
  </sheetData>
  <mergeCells count="4">
    <mergeCell ref="B12:B14"/>
    <mergeCell ref="B15:B16"/>
    <mergeCell ref="B18:B20"/>
    <mergeCell ref="B22:B27"/>
  </mergeCells>
  <pageMargins left="0.70866141732283472" right="0.70866141732283472" top="0.74803149606299213" bottom="0.74803149606299213" header="0.31496062992125984" footer="0.31496062992125984"/>
  <pageSetup paperSize="9" scale="65"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M52"/>
  <sheetViews>
    <sheetView workbookViewId="0"/>
  </sheetViews>
  <sheetFormatPr defaultRowHeight="12.5" x14ac:dyDescent="0.25"/>
  <cols>
    <col min="2" max="2" width="12.453125" customWidth="1"/>
    <col min="3" max="3" width="28.81640625" bestFit="1" customWidth="1"/>
    <col min="4" max="6" width="17.54296875" customWidth="1"/>
    <col min="7" max="7" width="11.453125" customWidth="1"/>
    <col min="8" max="8" width="21.81640625" customWidth="1"/>
    <col min="9" max="9" width="10.1796875" bestFit="1" customWidth="1"/>
  </cols>
  <sheetData>
    <row r="1" spans="1:13" ht="20" x14ac:dyDescent="0.4">
      <c r="A1" s="13" t="s">
        <v>19</v>
      </c>
      <c r="B1" s="12"/>
      <c r="C1" s="12"/>
      <c r="D1" s="12"/>
      <c r="E1" s="12"/>
      <c r="F1" s="12"/>
      <c r="G1" s="12"/>
      <c r="H1" s="12"/>
      <c r="I1" s="12"/>
    </row>
    <row r="2" spans="1:13" ht="15.5" x14ac:dyDescent="0.35">
      <c r="A2" s="27" t="str">
        <f>IF(title="&gt; Enter workbook title here","Enter workbook title in Cover sheet",title)</f>
        <v>Scottish Fire pension  projection calculator</v>
      </c>
      <c r="B2" s="11"/>
      <c r="C2" s="11"/>
      <c r="D2" s="11"/>
      <c r="E2" s="11"/>
      <c r="F2" s="11"/>
      <c r="G2" s="11"/>
      <c r="H2" s="11"/>
      <c r="I2" s="11"/>
    </row>
    <row r="3" spans="1:13" ht="15.5" x14ac:dyDescent="0.35">
      <c r="A3" s="76" t="s">
        <v>263</v>
      </c>
      <c r="B3" s="11"/>
      <c r="C3" s="11"/>
      <c r="D3" s="11"/>
      <c r="E3" s="11"/>
      <c r="F3" s="11"/>
      <c r="G3" s="11"/>
      <c r="H3" s="11"/>
      <c r="I3" s="11"/>
    </row>
    <row r="4" spans="1:13" x14ac:dyDescent="0.25">
      <c r="A4" s="7" t="str">
        <f ca="1">CELL("filename",A1)</f>
        <v>C:\Users\u418711\AppData\Local\Microsoft\Windows\INetCache\Content.Outlook\PTLKNQ86\[Copy of Fire Scotland - Benefit Calculator - 22Dec2020.xlsx]Lump Sum</v>
      </c>
      <c r="K4" s="29"/>
    </row>
    <row r="5" spans="1:13" ht="13" thickBot="1" x14ac:dyDescent="0.3"/>
    <row r="6" spans="1:13" ht="13.5" thickBot="1" x14ac:dyDescent="0.35">
      <c r="C6" s="735" t="s">
        <v>270</v>
      </c>
      <c r="D6" s="736"/>
      <c r="G6" s="29"/>
      <c r="M6" s="29"/>
    </row>
    <row r="7" spans="1:13" ht="13" x14ac:dyDescent="0.3">
      <c r="C7" s="102" t="s">
        <v>267</v>
      </c>
      <c r="D7" s="105">
        <f>ChosenRA</f>
        <v>0</v>
      </c>
      <c r="G7" s="29"/>
      <c r="I7" s="29"/>
    </row>
    <row r="8" spans="1:13" ht="13" x14ac:dyDescent="0.3">
      <c r="C8" s="103" t="s">
        <v>265</v>
      </c>
      <c r="D8" s="371">
        <f>INT(D7)</f>
        <v>0</v>
      </c>
      <c r="G8" s="29"/>
      <c r="I8" s="29"/>
    </row>
    <row r="9" spans="1:13" ht="13.5" thickBot="1" x14ac:dyDescent="0.35">
      <c r="C9" s="104" t="s">
        <v>266</v>
      </c>
      <c r="D9" s="106">
        <f>INT((D7-D8)*12)</f>
        <v>0</v>
      </c>
    </row>
    <row r="10" spans="1:13" ht="13" x14ac:dyDescent="0.3">
      <c r="C10" s="16"/>
      <c r="D10" s="9"/>
    </row>
    <row r="11" spans="1:13" ht="13.5" thickBot="1" x14ac:dyDescent="0.35">
      <c r="C11" s="16" t="s">
        <v>534</v>
      </c>
      <c r="D11" s="9"/>
    </row>
    <row r="12" spans="1:13" ht="13" x14ac:dyDescent="0.3">
      <c r="C12" s="102" t="s">
        <v>460</v>
      </c>
      <c r="D12" s="387" t="e">
        <f>IF(CurrentScheme=Sch_FPS,IF(D8&lt;50,'Commutation Factors'!C13,VLOOKUP(D8,Comm_92_S,D9+2)),NFPS_Comm)</f>
        <v>#N/A</v>
      </c>
    </row>
    <row r="13" spans="1:13" ht="13" x14ac:dyDescent="0.3">
      <c r="C13" s="103" t="s">
        <v>461</v>
      </c>
      <c r="D13" s="388" t="e">
        <f>IF(CurrentScheme=Sch_FPS,IF(D8&lt;50,'Commutation Factors'!C45,VLOOKUP(D8,Comm_92_E,D9+2)),NFPS_Comm)</f>
        <v>#N/A</v>
      </c>
      <c r="E13" s="86"/>
    </row>
    <row r="14" spans="1:13" ht="13" x14ac:dyDescent="0.3">
      <c r="C14" s="103" t="s">
        <v>462</v>
      </c>
      <c r="D14" s="388" t="b">
        <f>DoR&lt;=DoUnderpin</f>
        <v>1</v>
      </c>
    </row>
    <row r="15" spans="1:13" ht="13.5" thickBot="1" x14ac:dyDescent="0.35">
      <c r="C15" s="104" t="s">
        <v>288</v>
      </c>
      <c r="D15" s="389" t="e">
        <f>IF(D14=TRUE,MAX(D12,D13),D12)</f>
        <v>#N/A</v>
      </c>
      <c r="F15" s="25"/>
    </row>
    <row r="16" spans="1:13" ht="13.5" thickBot="1" x14ac:dyDescent="0.35">
      <c r="C16" s="16"/>
      <c r="D16" s="9"/>
      <c r="F16" s="9"/>
      <c r="H16" s="29" t="s">
        <v>469</v>
      </c>
    </row>
    <row r="17" spans="1:11" ht="13.5" thickBot="1" x14ac:dyDescent="0.35">
      <c r="C17" s="102"/>
      <c r="D17" s="98" t="s">
        <v>286</v>
      </c>
      <c r="E17" s="109" t="s">
        <v>321</v>
      </c>
      <c r="H17" s="26" t="s">
        <v>470</v>
      </c>
    </row>
    <row r="18" spans="1:11" ht="13" x14ac:dyDescent="0.3">
      <c r="C18" s="102" t="s">
        <v>277</v>
      </c>
      <c r="D18" s="386" t="e">
        <f>ROUND(MAX(0,YEARFRAC(DJS,DoR-1)+TVinYears+TVinDays/DoY),4)</f>
        <v>#NUM!</v>
      </c>
      <c r="E18" s="382"/>
      <c r="F18" s="69"/>
      <c r="H18" s="535" t="s">
        <v>590</v>
      </c>
    </row>
    <row r="19" spans="1:11" ht="13" x14ac:dyDescent="0.3">
      <c r="C19" s="103" t="s">
        <v>278</v>
      </c>
      <c r="D19" s="496">
        <f>Parameters!C103</f>
        <v>55</v>
      </c>
      <c r="E19" s="110"/>
      <c r="H19" s="86"/>
    </row>
    <row r="20" spans="1:11" ht="13" x14ac:dyDescent="0.3">
      <c r="C20" s="112" t="s">
        <v>288</v>
      </c>
      <c r="D20" s="384" t="e">
        <f>D15</f>
        <v>#N/A</v>
      </c>
      <c r="E20" s="225">
        <v>12</v>
      </c>
      <c r="G20" s="69"/>
      <c r="H20" s="26" t="s">
        <v>576</v>
      </c>
      <c r="I20" t="e">
        <f>Reckonable_service&gt;=30</f>
        <v>#NUM!</v>
      </c>
      <c r="K20" t="s">
        <v>579</v>
      </c>
    </row>
    <row r="21" spans="1:11" ht="13.5" thickBot="1" x14ac:dyDescent="0.35">
      <c r="A21" s="189"/>
      <c r="C21" s="113" t="s">
        <v>268</v>
      </c>
      <c r="D21" s="385" t="e">
        <f>IF(OR(CurrentScheme=Sch_NFPS,I20,ChosenRA&gt;=VRA),0.25*Comm_Factor,2.25)</f>
        <v>#N/A</v>
      </c>
      <c r="E21" s="224">
        <v>0.25</v>
      </c>
      <c r="G21" s="69"/>
      <c r="H21" s="26" t="s">
        <v>577</v>
      </c>
      <c r="I21" t="e">
        <f>AND(Reckonable_service&lt;30,Reckonable_service&gt;=25)</f>
        <v>#NUM!</v>
      </c>
    </row>
    <row r="22" spans="1:11" ht="13.5" thickBot="1" x14ac:dyDescent="0.35">
      <c r="A22" s="189"/>
      <c r="C22" s="107"/>
      <c r="D22" s="69"/>
      <c r="G22" s="69"/>
      <c r="H22" s="26" t="s">
        <v>578</v>
      </c>
      <c r="I22" t="b">
        <f>AND(ChosenRA&gt;50, ChosenRA&lt;=55)</f>
        <v>0</v>
      </c>
    </row>
    <row r="23" spans="1:11" ht="13.5" thickBot="1" x14ac:dyDescent="0.35">
      <c r="A23" s="189"/>
      <c r="D23" s="124" t="str">
        <f>basis1</f>
        <v>CPI + 0%</v>
      </c>
      <c r="E23" s="118" t="str">
        <f>basis2</f>
        <v>CPI + 1%</v>
      </c>
      <c r="F23" s="119" t="str">
        <f>basis3</f>
        <v>CPI + 2%</v>
      </c>
    </row>
    <row r="24" spans="1:11" ht="13.5" thickBot="1" x14ac:dyDescent="0.35">
      <c r="A24" s="189"/>
      <c r="C24" s="120" t="s">
        <v>286</v>
      </c>
      <c r="D24" s="735" t="s">
        <v>262</v>
      </c>
      <c r="E24" s="737"/>
      <c r="F24" s="736"/>
    </row>
    <row r="25" spans="1:11" ht="13" x14ac:dyDescent="0.3">
      <c r="A25" s="189"/>
      <c r="C25" s="103" t="s">
        <v>289</v>
      </c>
      <c r="D25" s="121" t="e">
        <f>'FPS and NFPS calcs'!F38</f>
        <v>#N/A</v>
      </c>
      <c r="E25" s="115" t="e">
        <f>'FPS and NFPS calcs'!F39</f>
        <v>#N/A</v>
      </c>
      <c r="F25" s="99" t="e">
        <f>'FPS and NFPS calcs'!F40</f>
        <v>#N/A</v>
      </c>
      <c r="H25" s="95"/>
    </row>
    <row r="26" spans="1:11" ht="13" x14ac:dyDescent="0.3">
      <c r="A26" s="189"/>
      <c r="C26" s="103" t="s">
        <v>320</v>
      </c>
      <c r="D26" s="121" t="e">
        <f>$D$21*D25/$D$20</f>
        <v>#N/A</v>
      </c>
      <c r="E26" s="115" t="e">
        <f t="shared" ref="E26:F26" si="0">$D$21*E25/$D$20</f>
        <v>#N/A</v>
      </c>
      <c r="F26" s="99" t="e">
        <f t="shared" si="0"/>
        <v>#N/A</v>
      </c>
      <c r="H26" s="95"/>
    </row>
    <row r="27" spans="1:11" ht="13" x14ac:dyDescent="0.3">
      <c r="A27" s="189"/>
      <c r="C27" s="103" t="s">
        <v>364</v>
      </c>
      <c r="D27" s="125" t="e">
        <f>D25-D26</f>
        <v>#N/A</v>
      </c>
      <c r="E27" s="115" t="e">
        <f>E25-E26</f>
        <v>#N/A</v>
      </c>
      <c r="F27" s="99" t="e">
        <f>F25-F26</f>
        <v>#N/A</v>
      </c>
      <c r="H27" s="95"/>
    </row>
    <row r="28" spans="1:11" ht="13.5" thickBot="1" x14ac:dyDescent="0.35">
      <c r="A28" s="189"/>
      <c r="C28" s="104" t="s">
        <v>264</v>
      </c>
      <c r="D28" s="126" t="e">
        <f>$D$21*D25</f>
        <v>#N/A</v>
      </c>
      <c r="E28" s="123" t="e">
        <f t="shared" ref="E28:F28" si="1">$D$21*E25</f>
        <v>#N/A</v>
      </c>
      <c r="F28" s="162" t="e">
        <f t="shared" si="1"/>
        <v>#N/A</v>
      </c>
    </row>
    <row r="29" spans="1:11" ht="13" x14ac:dyDescent="0.3">
      <c r="A29" s="189"/>
      <c r="C29" s="16"/>
      <c r="D29" s="116"/>
      <c r="E29" s="115"/>
      <c r="F29" s="115"/>
    </row>
    <row r="30" spans="1:11" ht="13.5" thickBot="1" x14ac:dyDescent="0.35">
      <c r="C30" s="16"/>
    </row>
    <row r="31" spans="1:11" ht="13.5" thickBot="1" x14ac:dyDescent="0.35">
      <c r="C31" s="120" t="s">
        <v>287</v>
      </c>
      <c r="D31" s="124" t="str">
        <f>basis1</f>
        <v>CPI + 0%</v>
      </c>
      <c r="E31" s="118" t="str">
        <f>basis2</f>
        <v>CPI + 1%</v>
      </c>
      <c r="F31" s="119" t="str">
        <f>basis3</f>
        <v>CPI + 2%</v>
      </c>
    </row>
    <row r="32" spans="1:11" ht="13" x14ac:dyDescent="0.3">
      <c r="B32" s="738"/>
      <c r="C32" s="102" t="s">
        <v>289</v>
      </c>
      <c r="D32" s="372" t="e">
        <f ca="1">'CARE calcs'!D38</f>
        <v>#N/A</v>
      </c>
      <c r="E32" s="376" t="e">
        <f ca="1">'CARE calcs'!E38</f>
        <v>#N/A</v>
      </c>
      <c r="F32" s="373" t="e">
        <f ca="1">'CARE calcs'!F38</f>
        <v>#N/A</v>
      </c>
    </row>
    <row r="33" spans="2:7" ht="13" x14ac:dyDescent="0.3">
      <c r="B33" s="738"/>
      <c r="C33" s="103" t="s">
        <v>285</v>
      </c>
      <c r="D33" s="125" t="e">
        <f ca="1">$E$21*D32</f>
        <v>#N/A</v>
      </c>
      <c r="E33" s="116" t="e">
        <f ca="1">$E$21*E32</f>
        <v>#N/A</v>
      </c>
      <c r="F33" s="374" t="e">
        <f ca="1">$E$21*F32</f>
        <v>#N/A</v>
      </c>
    </row>
    <row r="34" spans="2:7" ht="13" x14ac:dyDescent="0.3">
      <c r="B34" s="738"/>
      <c r="C34" s="103" t="s">
        <v>364</v>
      </c>
      <c r="D34" s="121" t="e">
        <f ca="1">D32-D33</f>
        <v>#N/A</v>
      </c>
      <c r="E34" s="115" t="e">
        <f ca="1">E32-E33</f>
        <v>#N/A</v>
      </c>
      <c r="F34" s="99" t="e">
        <f ca="1">F32-F33</f>
        <v>#N/A</v>
      </c>
    </row>
    <row r="35" spans="2:7" ht="13.5" thickBot="1" x14ac:dyDescent="0.35">
      <c r="B35" s="738"/>
      <c r="C35" s="104" t="s">
        <v>264</v>
      </c>
      <c r="D35" s="126" t="e">
        <f ca="1">D33*$E$20</f>
        <v>#N/A</v>
      </c>
      <c r="E35" s="377" t="e">
        <f ca="1">E33*$E$20</f>
        <v>#N/A</v>
      </c>
      <c r="F35" s="375" t="e">
        <f ca="1">F33*$E$20</f>
        <v>#N/A</v>
      </c>
    </row>
    <row r="37" spans="2:7" ht="13" x14ac:dyDescent="0.3">
      <c r="D37" s="116"/>
      <c r="E37" s="1"/>
    </row>
    <row r="38" spans="2:7" ht="13" x14ac:dyDescent="0.3">
      <c r="C38" s="1"/>
      <c r="D38" s="80"/>
      <c r="E38" s="85"/>
      <c r="F38" s="86"/>
    </row>
    <row r="39" spans="2:7" ht="13" x14ac:dyDescent="0.3">
      <c r="C39" s="1"/>
      <c r="D39" s="80"/>
    </row>
    <row r="40" spans="2:7" ht="13" x14ac:dyDescent="0.3">
      <c r="C40" s="1"/>
      <c r="D40" s="80"/>
    </row>
    <row r="41" spans="2:7" ht="13" x14ac:dyDescent="0.3">
      <c r="C41" s="1"/>
      <c r="D41" s="1"/>
      <c r="E41" s="1"/>
      <c r="F41" s="1"/>
      <c r="G41" s="1"/>
    </row>
    <row r="42" spans="2:7" ht="13" x14ac:dyDescent="0.3">
      <c r="C42" s="1"/>
      <c r="D42" s="79"/>
      <c r="E42" s="79"/>
      <c r="F42" s="79"/>
      <c r="G42" s="79"/>
    </row>
    <row r="44" spans="2:7" ht="13" x14ac:dyDescent="0.3">
      <c r="C44" s="1"/>
      <c r="D44" s="1"/>
      <c r="E44" s="1"/>
      <c r="F44" s="1"/>
    </row>
    <row r="45" spans="2:7" ht="13" x14ac:dyDescent="0.3">
      <c r="C45" s="1"/>
      <c r="D45" s="79"/>
      <c r="E45" s="79"/>
      <c r="F45" s="79"/>
    </row>
    <row r="46" spans="2:7" ht="13" x14ac:dyDescent="0.3">
      <c r="C46" s="1"/>
      <c r="D46" s="79"/>
      <c r="E46" s="79"/>
      <c r="F46" s="79"/>
    </row>
    <row r="47" spans="2:7" ht="13" x14ac:dyDescent="0.3">
      <c r="C47" s="1"/>
      <c r="E47" s="79"/>
      <c r="F47" s="79"/>
    </row>
    <row r="48" spans="2:7" ht="13" x14ac:dyDescent="0.3">
      <c r="C48" s="1"/>
      <c r="D48" s="79"/>
      <c r="E48" s="79"/>
      <c r="F48" s="79"/>
    </row>
    <row r="50" spans="3:4" ht="13" x14ac:dyDescent="0.3">
      <c r="C50" s="1"/>
    </row>
    <row r="51" spans="3:4" ht="13" x14ac:dyDescent="0.3">
      <c r="C51" s="1"/>
      <c r="D51" s="90"/>
    </row>
    <row r="52" spans="3:4" x14ac:dyDescent="0.25">
      <c r="D52" s="91"/>
    </row>
  </sheetData>
  <mergeCells count="3">
    <mergeCell ref="C6:D6"/>
    <mergeCell ref="D24:F24"/>
    <mergeCell ref="B32:B35"/>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53"/>
  <sheetViews>
    <sheetView workbookViewId="0"/>
  </sheetViews>
  <sheetFormatPr defaultRowHeight="13" x14ac:dyDescent="0.3"/>
  <cols>
    <col min="2" max="2" width="14.54296875" style="1" customWidth="1"/>
    <col min="3" max="3" width="36.81640625" bestFit="1" customWidth="1"/>
    <col min="4" max="6" width="12.453125" customWidth="1"/>
  </cols>
  <sheetData>
    <row r="1" spans="1:6" ht="20" x14ac:dyDescent="0.4">
      <c r="A1" s="13" t="s">
        <v>19</v>
      </c>
      <c r="B1" s="31"/>
      <c r="C1" s="12"/>
      <c r="D1" s="12"/>
      <c r="E1" s="12"/>
      <c r="F1" s="12"/>
    </row>
    <row r="2" spans="1:6" ht="15.5" x14ac:dyDescent="0.35">
      <c r="A2" s="27" t="str">
        <f>IF(title="&gt; Enter workbook title here","Enter workbook title in Cover sheet",title)</f>
        <v>Scottish Fire pension  projection calculator</v>
      </c>
      <c r="B2" s="32"/>
      <c r="C2" s="11"/>
      <c r="D2" s="11"/>
      <c r="E2" s="11"/>
      <c r="F2" s="11"/>
    </row>
    <row r="3" spans="1:6" ht="15.5" x14ac:dyDescent="0.35">
      <c r="A3" s="76" t="s">
        <v>82</v>
      </c>
      <c r="B3" s="32"/>
      <c r="C3" s="11"/>
      <c r="D3" s="11"/>
      <c r="E3" s="11"/>
      <c r="F3" s="11"/>
    </row>
    <row r="4" spans="1:6" x14ac:dyDescent="0.3">
      <c r="A4" s="7" t="str">
        <f ca="1">CELL("filename",A1)</f>
        <v>C:\Users\u418711\AppData\Local\Microsoft\Windows\INetCache\Content.Outlook\PTLKNQ86\[Copy of Fire Scotland - Benefit Calculator - 22Dec2020.xlsx]Summary</v>
      </c>
    </row>
    <row r="6" spans="1:6" ht="13.5" thickBot="1" x14ac:dyDescent="0.35"/>
    <row r="7" spans="1:6" ht="13.5" thickBot="1" x14ac:dyDescent="0.35">
      <c r="D7" s="124" t="str">
        <f>basis1</f>
        <v>CPI + 0%</v>
      </c>
      <c r="E7" s="118" t="str">
        <f>basis2</f>
        <v>CPI + 1%</v>
      </c>
      <c r="F7" s="119" t="str">
        <f>basis3</f>
        <v>CPI + 2%</v>
      </c>
    </row>
    <row r="8" spans="1:6" x14ac:dyDescent="0.3">
      <c r="B8" s="745" t="s">
        <v>322</v>
      </c>
      <c r="C8" s="102" t="s">
        <v>301</v>
      </c>
      <c r="D8" s="179">
        <f>CurrentSal</f>
        <v>0</v>
      </c>
      <c r="E8" s="179">
        <f>D8</f>
        <v>0</v>
      </c>
      <c r="F8" s="180">
        <f>D8</f>
        <v>0</v>
      </c>
    </row>
    <row r="9" spans="1:6" x14ac:dyDescent="0.3">
      <c r="B9" s="746"/>
      <c r="C9" s="103" t="s">
        <v>303</v>
      </c>
      <c r="D9" s="181" t="e">
        <f>'FPS and NFPS calcs'!F32</f>
        <v>#N/A</v>
      </c>
      <c r="E9" s="181" t="e">
        <f>'FPS and NFPS calcs'!F33</f>
        <v>#N/A</v>
      </c>
      <c r="F9" s="182" t="e">
        <f>'FPS and NFPS calcs'!F34</f>
        <v>#N/A</v>
      </c>
    </row>
    <row r="10" spans="1:6" x14ac:dyDescent="0.3">
      <c r="B10" s="746"/>
      <c r="C10" s="103" t="s">
        <v>304</v>
      </c>
      <c r="D10" s="171" t="e">
        <f>'FPS and NFPS calcs'!F35</f>
        <v>#N/A</v>
      </c>
      <c r="E10" s="171" t="e">
        <f>'FPS and NFPS calcs'!F36</f>
        <v>#N/A</v>
      </c>
      <c r="F10" s="172" t="e">
        <f>'FPS and NFPS calcs'!F37</f>
        <v>#N/A</v>
      </c>
    </row>
    <row r="11" spans="1:6" x14ac:dyDescent="0.3">
      <c r="B11" s="746"/>
      <c r="C11" s="103" t="s">
        <v>86</v>
      </c>
      <c r="D11" s="83">
        <f>'FPS and NFPS calcs'!D9</f>
        <v>112.25188227241615</v>
      </c>
      <c r="E11" s="83">
        <f t="shared" ref="E11:E16" si="0">D11</f>
        <v>112.25188227241615</v>
      </c>
      <c r="F11" s="84">
        <f t="shared" ref="F11:F16" si="1">D11</f>
        <v>112.25188227241615</v>
      </c>
    </row>
    <row r="12" spans="1:6" x14ac:dyDescent="0.3">
      <c r="B12" s="746"/>
      <c r="C12" s="103" t="s">
        <v>89</v>
      </c>
      <c r="D12" s="83" t="e">
        <f>'FPS and NFPS calcs'!D17</f>
        <v>#N/A</v>
      </c>
      <c r="E12" s="83" t="e">
        <f t="shared" si="0"/>
        <v>#N/A</v>
      </c>
      <c r="F12" s="84" t="e">
        <f t="shared" si="1"/>
        <v>#N/A</v>
      </c>
    </row>
    <row r="13" spans="1:6" x14ac:dyDescent="0.3">
      <c r="B13" s="746"/>
      <c r="C13" s="103" t="s">
        <v>80</v>
      </c>
      <c r="D13" s="169" t="e">
        <f>DoProtEnd</f>
        <v>#N/A</v>
      </c>
      <c r="E13" s="169" t="e">
        <f>DoProtEnd</f>
        <v>#N/A</v>
      </c>
      <c r="F13" s="170" t="e">
        <f>DoProtEnd</f>
        <v>#N/A</v>
      </c>
    </row>
    <row r="14" spans="1:6" x14ac:dyDescent="0.3">
      <c r="B14" s="746"/>
      <c r="C14" s="103" t="s">
        <v>98</v>
      </c>
      <c r="D14" s="169">
        <f>DoR</f>
        <v>0</v>
      </c>
      <c r="E14" s="169">
        <f>DoR</f>
        <v>0</v>
      </c>
      <c r="F14" s="170">
        <f>DoR</f>
        <v>0</v>
      </c>
    </row>
    <row r="15" spans="1:6" x14ac:dyDescent="0.3">
      <c r="B15" s="746"/>
      <c r="C15" s="103" t="s">
        <v>99</v>
      </c>
      <c r="D15" s="183">
        <f>ChosenRA</f>
        <v>0</v>
      </c>
      <c r="E15" s="183">
        <f>ChosenRA</f>
        <v>0</v>
      </c>
      <c r="F15" s="184">
        <f>ChosenRA</f>
        <v>0</v>
      </c>
    </row>
    <row r="16" spans="1:6" x14ac:dyDescent="0.3">
      <c r="B16" s="746"/>
      <c r="C16" s="103" t="s">
        <v>97</v>
      </c>
      <c r="D16" s="83" t="e">
        <f>'FPS and NFPS calcs'!F28</f>
        <v>#N/A</v>
      </c>
      <c r="E16" s="83" t="e">
        <f t="shared" si="0"/>
        <v>#N/A</v>
      </c>
      <c r="F16" s="84" t="e">
        <f t="shared" si="1"/>
        <v>#N/A</v>
      </c>
    </row>
    <row r="17" spans="2:7" x14ac:dyDescent="0.3">
      <c r="B17" s="746"/>
      <c r="C17" s="103" t="s">
        <v>291</v>
      </c>
      <c r="D17" s="181" t="e">
        <f>'Lump Sum'!D25</f>
        <v>#N/A</v>
      </c>
      <c r="E17" s="181" t="e">
        <f>'Lump Sum'!E25</f>
        <v>#N/A</v>
      </c>
      <c r="F17" s="182" t="e">
        <f>'Lump Sum'!F25</f>
        <v>#N/A</v>
      </c>
    </row>
    <row r="18" spans="2:7" x14ac:dyDescent="0.3">
      <c r="B18" s="746"/>
      <c r="C18" s="103" t="s">
        <v>264</v>
      </c>
      <c r="D18" s="181" t="e">
        <f>'Lump Sum'!D28</f>
        <v>#N/A</v>
      </c>
      <c r="E18" s="181" t="e">
        <f>'Lump Sum'!E28</f>
        <v>#N/A</v>
      </c>
      <c r="F18" s="182" t="e">
        <f>'Lump Sum'!F28</f>
        <v>#N/A</v>
      </c>
    </row>
    <row r="19" spans="2:7" x14ac:dyDescent="0.3">
      <c r="B19" s="746"/>
      <c r="C19" s="103" t="s">
        <v>313</v>
      </c>
      <c r="D19" s="181" t="e">
        <f>'Lump Sum'!D26</f>
        <v>#N/A</v>
      </c>
      <c r="E19" s="181" t="e">
        <f>'Lump Sum'!E26</f>
        <v>#N/A</v>
      </c>
      <c r="F19" s="182" t="e">
        <f>'Lump Sum'!F26</f>
        <v>#N/A</v>
      </c>
    </row>
    <row r="20" spans="2:7" x14ac:dyDescent="0.3">
      <c r="B20" s="746"/>
      <c r="C20" s="103" t="s">
        <v>290</v>
      </c>
      <c r="D20" s="181" t="e">
        <f>'Lump Sum'!D27</f>
        <v>#N/A</v>
      </c>
      <c r="E20" s="181" t="e">
        <f>'Lump Sum'!E27</f>
        <v>#N/A</v>
      </c>
      <c r="F20" s="182" t="e">
        <f>'Lump Sum'!F27</f>
        <v>#N/A</v>
      </c>
    </row>
    <row r="21" spans="2:7" ht="13.5" thickBot="1" x14ac:dyDescent="0.35">
      <c r="B21" s="747"/>
      <c r="C21" s="104" t="s">
        <v>100</v>
      </c>
      <c r="D21" s="185" t="e">
        <f>IF(AND(CurrentScheme="PPS",D16&gt;FPSmax),45,IF(AND(CurrentScheme="NPPS",D16&gt;NFPSmax),70,MAX(45,D8*D16/D17)))</f>
        <v>#N/A</v>
      </c>
      <c r="E21" s="185" t="e">
        <f>D21</f>
        <v>#N/A</v>
      </c>
      <c r="F21" s="186" t="e">
        <f>D21</f>
        <v>#N/A</v>
      </c>
    </row>
    <row r="22" spans="2:7" ht="13.5" thickBot="1" x14ac:dyDescent="0.35"/>
    <row r="23" spans="2:7" ht="13.5" thickBot="1" x14ac:dyDescent="0.35">
      <c r="D23" s="98" t="str">
        <f>basis1</f>
        <v>CPI + 0%</v>
      </c>
      <c r="E23" s="108" t="str">
        <f>basis2</f>
        <v>CPI + 1%</v>
      </c>
      <c r="F23" s="109" t="str">
        <f>basis3</f>
        <v>CPI + 2%</v>
      </c>
      <c r="G23" s="9"/>
    </row>
    <row r="24" spans="2:7" x14ac:dyDescent="0.3">
      <c r="B24" s="745" t="s">
        <v>338</v>
      </c>
      <c r="C24" s="197" t="s">
        <v>323</v>
      </c>
      <c r="D24" s="198">
        <f>'CARE calcs'!D10</f>
        <v>0</v>
      </c>
      <c r="E24" s="199">
        <f>'CARE calcs'!E10</f>
        <v>0</v>
      </c>
      <c r="F24" s="200">
        <f>'CARE calcs'!F10</f>
        <v>0</v>
      </c>
      <c r="G24" s="9"/>
    </row>
    <row r="25" spans="2:7" x14ac:dyDescent="0.3">
      <c r="B25" s="746"/>
      <c r="C25" s="112" t="s">
        <v>73</v>
      </c>
      <c r="D25" s="223" t="e">
        <f>'CARE calcs'!D9</f>
        <v>#N/A</v>
      </c>
      <c r="E25" s="219" t="e">
        <f>'CARE calcs'!E9</f>
        <v>#N/A</v>
      </c>
      <c r="F25" s="222" t="e">
        <f>'CARE calcs'!F9</f>
        <v>#N/A</v>
      </c>
      <c r="G25" s="9"/>
    </row>
    <row r="26" spans="2:7" x14ac:dyDescent="0.3">
      <c r="B26" s="746"/>
      <c r="C26" s="103" t="str">
        <f>CONCATENATE(IF(ChosenRA&lt;55,"Deferred p","P"),"re-Commutation Pension")</f>
        <v>Deferred pre-Commutation Pension</v>
      </c>
      <c r="D26" s="195" t="e">
        <f ca="1">'Lump Sum'!D32</f>
        <v>#N/A</v>
      </c>
      <c r="E26" s="171" t="e">
        <f ca="1">'Lump Sum'!E32</f>
        <v>#N/A</v>
      </c>
      <c r="F26" s="172" t="e">
        <f ca="1">'Lump Sum'!F32</f>
        <v>#N/A</v>
      </c>
      <c r="G26" s="9"/>
    </row>
    <row r="27" spans="2:7" x14ac:dyDescent="0.3">
      <c r="B27" s="746"/>
      <c r="C27" s="103" t="s">
        <v>264</v>
      </c>
      <c r="D27" s="195" t="e">
        <f ca="1">'Lump Sum'!D35</f>
        <v>#N/A</v>
      </c>
      <c r="E27" s="171" t="e">
        <f ca="1">'Lump Sum'!E35</f>
        <v>#N/A</v>
      </c>
      <c r="F27" s="172" t="e">
        <f ca="1">'Lump Sum'!F35</f>
        <v>#N/A</v>
      </c>
      <c r="G27" s="9"/>
    </row>
    <row r="28" spans="2:7" x14ac:dyDescent="0.3">
      <c r="B28" s="746"/>
      <c r="C28" s="103" t="s">
        <v>313</v>
      </c>
      <c r="D28" s="195" t="e">
        <f ca="1">'Lump Sum'!D33</f>
        <v>#N/A</v>
      </c>
      <c r="E28" s="171" t="e">
        <f ca="1">'Lump Sum'!E33</f>
        <v>#N/A</v>
      </c>
      <c r="F28" s="172" t="e">
        <f ca="1">'Lump Sum'!F33</f>
        <v>#N/A</v>
      </c>
    </row>
    <row r="29" spans="2:7" ht="13.5" thickBot="1" x14ac:dyDescent="0.35">
      <c r="B29" s="747"/>
      <c r="C29" s="104" t="s">
        <v>364</v>
      </c>
      <c r="D29" s="196" t="e">
        <f ca="1">'Lump Sum'!D34</f>
        <v>#N/A</v>
      </c>
      <c r="E29" s="173" t="e">
        <f ca="1">'Lump Sum'!E34</f>
        <v>#N/A</v>
      </c>
      <c r="F29" s="174" t="e">
        <f ca="1">'Lump Sum'!F34</f>
        <v>#N/A</v>
      </c>
    </row>
    <row r="30" spans="2:7" ht="13.5" thickBot="1" x14ac:dyDescent="0.35">
      <c r="B30" s="201"/>
      <c r="C30" s="16"/>
      <c r="D30" s="171"/>
      <c r="E30" s="171"/>
      <c r="F30" s="171"/>
      <c r="G30" s="9"/>
    </row>
    <row r="31" spans="2:7" x14ac:dyDescent="0.3">
      <c r="B31" s="748" t="s">
        <v>410</v>
      </c>
      <c r="C31" s="197" t="s">
        <v>414</v>
      </c>
      <c r="D31" s="405" t="e">
        <f>'FPS and NFPS calcs'!F60</f>
        <v>#N/A</v>
      </c>
      <c r="E31" s="9"/>
      <c r="F31" s="9"/>
    </row>
    <row r="32" spans="2:7" x14ac:dyDescent="0.3">
      <c r="B32" s="749"/>
      <c r="C32" s="112" t="s">
        <v>413</v>
      </c>
      <c r="D32" s="406" t="e">
        <f>'CARE calcs ABS'!D29</f>
        <v>#N/A</v>
      </c>
    </row>
    <row r="33" spans="2:6" x14ac:dyDescent="0.3">
      <c r="B33" s="749"/>
      <c r="C33" s="112" t="s">
        <v>415</v>
      </c>
      <c r="D33" s="406" t="e">
        <f>SUM(D31:D32)</f>
        <v>#N/A</v>
      </c>
    </row>
    <row r="34" spans="2:6" ht="13.5" thickBot="1" x14ac:dyDescent="0.35">
      <c r="B34" s="750"/>
      <c r="C34" s="113" t="s">
        <v>424</v>
      </c>
      <c r="D34" s="407" t="e">
        <f>IF(CurrentScheme="NPPS",D31*4,0)</f>
        <v>#N/A</v>
      </c>
    </row>
    <row r="35" spans="2:6" ht="13.5" thickBot="1" x14ac:dyDescent="0.35"/>
    <row r="36" spans="2:6" ht="13.5" thickBot="1" x14ac:dyDescent="0.35">
      <c r="C36" s="1" t="s">
        <v>450</v>
      </c>
      <c r="D36" s="98" t="str">
        <f>basis1</f>
        <v>CPI + 0%</v>
      </c>
      <c r="E36" s="108" t="str">
        <f>basis2</f>
        <v>CPI + 1%</v>
      </c>
      <c r="F36" s="109" t="str">
        <f>basis3</f>
        <v>CPI + 2%</v>
      </c>
    </row>
    <row r="37" spans="2:6" x14ac:dyDescent="0.3">
      <c r="C37" s="197" t="s">
        <v>451</v>
      </c>
      <c r="D37" s="261">
        <f>ROUND(CurrentSal,0)</f>
        <v>0</v>
      </c>
      <c r="E37" s="261">
        <f>$D37</f>
        <v>0</v>
      </c>
      <c r="F37" s="262">
        <f>$D37</f>
        <v>0</v>
      </c>
    </row>
    <row r="38" spans="2:6" ht="12.75" customHeight="1" thickBot="1" x14ac:dyDescent="0.35">
      <c r="C38" s="103" t="s">
        <v>423</v>
      </c>
      <c r="D38" s="115" t="e">
        <f>ROUND(Summary!D9,0)</f>
        <v>#N/A</v>
      </c>
      <c r="E38" s="115" t="e">
        <f>ROUND(Summary!E9,0)</f>
        <v>#N/A</v>
      </c>
      <c r="F38" s="99" t="e">
        <f>ROUND(Summary!F9,0)</f>
        <v>#N/A</v>
      </c>
    </row>
    <row r="39" spans="2:6" x14ac:dyDescent="0.3">
      <c r="B39" s="739" t="s">
        <v>455</v>
      </c>
      <c r="C39" s="102" t="str">
        <f>Scheme_Full&amp;" pension"</f>
        <v xml:space="preserve"> pension</v>
      </c>
      <c r="D39" s="261" t="e">
        <f>IF(Summary!D20&lt;0,"input error",ROUND(Summary!D20,0))</f>
        <v>#N/A</v>
      </c>
      <c r="E39" s="261" t="e">
        <f>IF(Summary!E20&lt;0,"input error",ROUND(Summary!E20,0))</f>
        <v>#N/A</v>
      </c>
      <c r="F39" s="262" t="e">
        <f>IF(Summary!F20&lt;0,"input error",ROUND(Summary!F20,0))</f>
        <v>#N/A</v>
      </c>
    </row>
    <row r="40" spans="2:6" x14ac:dyDescent="0.3">
      <c r="B40" s="740"/>
      <c r="C40" s="103" t="str">
        <f>Scheme_Full&amp;" lump sum"</f>
        <v xml:space="preserve"> lump sum</v>
      </c>
      <c r="D40" s="115" t="e">
        <f>ROUND(Summary!D18,0)</f>
        <v>#N/A</v>
      </c>
      <c r="E40" s="115" t="e">
        <f>ROUND(Summary!E18,0)</f>
        <v>#N/A</v>
      </c>
      <c r="F40" s="99" t="e">
        <f>ROUND(Summary!F18,0)</f>
        <v>#N/A</v>
      </c>
    </row>
    <row r="41" spans="2:6" x14ac:dyDescent="0.3">
      <c r="B41" s="740"/>
      <c r="C41" s="103" t="str">
        <f>"2015 Scheme pension" &amp; IF(ChosenRA&gt;=55,""," deferred until SPA")</f>
        <v>2015 Scheme pension deferred until SPA</v>
      </c>
      <c r="D41" s="115" t="e">
        <f ca="1">IF(Summary!D29&lt;0,"input error",ROUND(Summary!D29,0))</f>
        <v>#N/A</v>
      </c>
      <c r="E41" s="115" t="e">
        <f ca="1">IF(Summary!E29&lt;0,"input error",ROUND(Summary!E29,0))</f>
        <v>#N/A</v>
      </c>
      <c r="F41" s="99" t="e">
        <f ca="1">IF(Summary!F29&lt;0,"input error",ROUND(Summary!F29,0))</f>
        <v>#N/A</v>
      </c>
    </row>
    <row r="42" spans="2:6" x14ac:dyDescent="0.3">
      <c r="B42" s="740"/>
      <c r="C42" s="103" t="str">
        <f>"2015 Scheme lump sum" &amp; IF(ChosenRA&gt;=55,""," deferred until SPA")</f>
        <v>2015 Scheme lump sum deferred until SPA</v>
      </c>
      <c r="D42" s="115" t="e">
        <f ca="1">ROUND(Summary!D27,0)</f>
        <v>#N/A</v>
      </c>
      <c r="E42" s="115" t="e">
        <f ca="1">ROUND(Summary!E27,0)</f>
        <v>#N/A</v>
      </c>
      <c r="F42" s="99" t="e">
        <f ca="1">ROUND(Summary!F27,0)</f>
        <v>#N/A</v>
      </c>
    </row>
    <row r="43" spans="2:6" x14ac:dyDescent="0.3">
      <c r="B43" s="740"/>
      <c r="C43" s="103" t="s">
        <v>408</v>
      </c>
      <c r="D43" s="115" t="str">
        <f>IF(ChosenRA&lt;55,"",IF(OR(Summary!D20&lt;0,Summary!D29&lt;0),"input error",ROUND(SUM(Summary!D39,Summary!D41),0)))</f>
        <v/>
      </c>
      <c r="E43" s="115" t="str">
        <f>IF(ChosenRA&lt;55,"",IF(OR(Summary!E20&lt;0,Summary!E29&lt;0),"input error",ROUND(SUM(Summary!E39,Summary!E41),0)))</f>
        <v/>
      </c>
      <c r="F43" s="99" t="str">
        <f>IF(ChosenRA&lt;55,"",IF(OR(Summary!F20&lt;0,Summary!F29&lt;0),"input error",ROUND(SUM(Summary!F39,Summary!F41),0)))</f>
        <v/>
      </c>
    </row>
    <row r="44" spans="2:6" ht="13.5" thickBot="1" x14ac:dyDescent="0.35">
      <c r="B44" s="741"/>
      <c r="C44" s="104" t="s">
        <v>454</v>
      </c>
      <c r="D44" s="123" t="str">
        <f>IF(ChosenRA&lt;55,"",ROUND(SUM(D40,D42),0))</f>
        <v/>
      </c>
      <c r="E44" s="123" t="str">
        <f>IF(ChosenRA&lt;55,"",ROUND(SUM(E40,E42),0))</f>
        <v/>
      </c>
      <c r="F44" s="162" t="str">
        <f>IF(ChosenRA&lt;55,"",ROUND(SUM(F40,F42),0))</f>
        <v/>
      </c>
    </row>
    <row r="45" spans="2:6" ht="12.75" customHeight="1" x14ac:dyDescent="0.3">
      <c r="B45" s="739" t="s">
        <v>456</v>
      </c>
      <c r="C45" s="102" t="str">
        <f>Scheme_Full&amp;" pension"</f>
        <v xml:space="preserve"> pension</v>
      </c>
      <c r="D45" s="261" t="e">
        <f>IF(Summary!D17&lt;0,"input error",ROUND(Summary!D17,0))</f>
        <v>#N/A</v>
      </c>
      <c r="E45" s="261" t="e">
        <f>IF(Summary!E17&lt;0,"input error",ROUND(Summary!E17,0))</f>
        <v>#N/A</v>
      </c>
      <c r="F45" s="262" t="e">
        <f>IF(Summary!F17&lt;0,"input error",ROUND(Summary!F17,0))</f>
        <v>#N/A</v>
      </c>
    </row>
    <row r="46" spans="2:6" x14ac:dyDescent="0.3">
      <c r="B46" s="740"/>
      <c r="C46" s="103" t="str">
        <f>Scheme_Full&amp;" lump sum"</f>
        <v xml:space="preserve"> lump sum</v>
      </c>
      <c r="D46" s="115" t="e">
        <f>IF(CurrentScheme="NPPS",ROUND(Summary!D18,0),0)</f>
        <v>#N/A</v>
      </c>
      <c r="E46" s="115" t="e">
        <f>IF(CurrentScheme="NPPS",ROUND(Summary!E18,0),0)</f>
        <v>#N/A</v>
      </c>
      <c r="F46" s="99" t="e">
        <f>IF(CurrentScheme="NPPS",ROUND(Summary!F18,0),0)</f>
        <v>#N/A</v>
      </c>
    </row>
    <row r="47" spans="2:6" x14ac:dyDescent="0.3">
      <c r="B47" s="740"/>
      <c r="C47" s="103" t="str">
        <f>"2015 Scheme pension" &amp; IF(ChosenRA&gt;=55,""," deferred until SPA")</f>
        <v>2015 Scheme pension deferred until SPA</v>
      </c>
      <c r="D47" s="115" t="e">
        <f ca="1">IF(Summary!D26&lt;0,"input error",ROUND(Summary!D26,0))</f>
        <v>#N/A</v>
      </c>
      <c r="E47" s="115" t="e">
        <f ca="1">IF(Summary!E26&lt;0,"input error",ROUND(Summary!E26,0))</f>
        <v>#N/A</v>
      </c>
      <c r="F47" s="99" t="e">
        <f ca="1">IF(Summary!F26&lt;0,"input error",ROUND(Summary!F26,0))</f>
        <v>#N/A</v>
      </c>
    </row>
    <row r="48" spans="2:6" x14ac:dyDescent="0.3">
      <c r="B48" s="740"/>
      <c r="C48" s="103" t="s">
        <v>408</v>
      </c>
      <c r="D48" s="115" t="str">
        <f>IF(ChosenRA&lt;55,"",IF(OR(Summary!D17&lt;0,Summary!D26&lt;0),"input error",ROUND(SUM(Summary!D45,Summary!D47),0)))</f>
        <v/>
      </c>
      <c r="E48" s="115" t="str">
        <f>IF(ChosenRA&lt;55,"",IF(OR(Summary!E17&lt;0,Summary!E26&lt;0),"input error",ROUND(SUM(Summary!E45,Summary!E47),0)))</f>
        <v/>
      </c>
      <c r="F48" s="99" t="str">
        <f>IF(ChosenRA&lt;55,"",IF(OR(Summary!F17&lt;0,Summary!F26&lt;0),"input error",ROUND(SUM(Summary!F45,Summary!F47),0)))</f>
        <v/>
      </c>
    </row>
    <row r="49" spans="2:6" ht="13.5" thickBot="1" x14ac:dyDescent="0.35">
      <c r="B49" s="740"/>
      <c r="C49" s="103" t="s">
        <v>454</v>
      </c>
      <c r="D49" s="115" t="e">
        <f>D46</f>
        <v>#N/A</v>
      </c>
      <c r="E49" s="115" t="e">
        <f>E46</f>
        <v>#N/A</v>
      </c>
      <c r="F49" s="99" t="e">
        <f>F46</f>
        <v>#N/A</v>
      </c>
    </row>
    <row r="50" spans="2:6" ht="12.75" customHeight="1" x14ac:dyDescent="0.3">
      <c r="B50" s="742" t="s">
        <v>410</v>
      </c>
      <c r="C50" s="197" t="s">
        <v>452</v>
      </c>
      <c r="D50" s="396" t="e">
        <f>IF(Summary!D31&lt;0,"input error",ROUND(Summary!D31,0))</f>
        <v>#N/A</v>
      </c>
      <c r="E50" s="397" t="e">
        <f>$D50</f>
        <v>#N/A</v>
      </c>
      <c r="F50" s="398" t="e">
        <f t="shared" ref="E50:F51" si="2">$D50</f>
        <v>#N/A</v>
      </c>
    </row>
    <row r="51" spans="2:6" x14ac:dyDescent="0.3">
      <c r="B51" s="743"/>
      <c r="C51" s="112" t="s">
        <v>453</v>
      </c>
      <c r="D51" s="399" t="e">
        <f>IF(Summary!D32&lt;0,"input error",ROUND(Summary!D32,0))</f>
        <v>#N/A</v>
      </c>
      <c r="E51" s="400" t="e">
        <f t="shared" si="2"/>
        <v>#N/A</v>
      </c>
      <c r="F51" s="401" t="e">
        <f t="shared" si="2"/>
        <v>#N/A</v>
      </c>
    </row>
    <row r="52" spans="2:6" x14ac:dyDescent="0.3">
      <c r="B52" s="743"/>
      <c r="C52" s="112" t="s">
        <v>408</v>
      </c>
      <c r="D52" s="399" t="e">
        <f>IF(OR(D31&lt;0,D32&lt;0),"input error",ROUND(SUM(D50,D51),0))</f>
        <v>#N/A</v>
      </c>
      <c r="E52" s="400" t="e">
        <f>$D52</f>
        <v>#N/A</v>
      </c>
      <c r="F52" s="401" t="e">
        <f>$D52</f>
        <v>#N/A</v>
      </c>
    </row>
    <row r="53" spans="2:6" ht="13.5" thickBot="1" x14ac:dyDescent="0.35">
      <c r="B53" s="744"/>
      <c r="C53" s="113" t="s">
        <v>459</v>
      </c>
      <c r="D53" s="402" t="e">
        <f>ROUND(Summary!D34,0)</f>
        <v>#N/A</v>
      </c>
      <c r="E53" s="403" t="e">
        <f t="shared" ref="E53:F53" si="3">$D53</f>
        <v>#N/A</v>
      </c>
      <c r="F53" s="404" t="e">
        <f t="shared" si="3"/>
        <v>#N/A</v>
      </c>
    </row>
  </sheetData>
  <mergeCells count="6">
    <mergeCell ref="B39:B44"/>
    <mergeCell ref="B45:B49"/>
    <mergeCell ref="B50:B53"/>
    <mergeCell ref="B8:B21"/>
    <mergeCell ref="B24:B29"/>
    <mergeCell ref="B31:B34"/>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160"/>
  <sheetViews>
    <sheetView workbookViewId="0"/>
  </sheetViews>
  <sheetFormatPr defaultRowHeight="12.5" x14ac:dyDescent="0.25"/>
  <sheetData>
    <row r="1" spans="1:3" x14ac:dyDescent="0.25">
      <c r="A1" t="s">
        <v>695</v>
      </c>
    </row>
    <row r="3" spans="1:3" x14ac:dyDescent="0.25">
      <c r="A3" t="s">
        <v>696</v>
      </c>
      <c r="C3" t="s">
        <v>697</v>
      </c>
    </row>
    <row r="4" spans="1:3" x14ac:dyDescent="0.25">
      <c r="A4" t="s">
        <v>698</v>
      </c>
      <c r="C4" t="s">
        <v>855</v>
      </c>
    </row>
    <row r="5" spans="1:3" x14ac:dyDescent="0.25">
      <c r="A5" t="s">
        <v>699</v>
      </c>
      <c r="C5" t="s">
        <v>856</v>
      </c>
    </row>
    <row r="6" spans="1:3" x14ac:dyDescent="0.25">
      <c r="A6" t="s">
        <v>700</v>
      </c>
      <c r="C6" t="s">
        <v>857</v>
      </c>
    </row>
    <row r="7" spans="1:3" x14ac:dyDescent="0.25">
      <c r="A7" t="s">
        <v>701</v>
      </c>
      <c r="C7" t="s">
        <v>858</v>
      </c>
    </row>
    <row r="8" spans="1:3" x14ac:dyDescent="0.25">
      <c r="A8" t="s">
        <v>702</v>
      </c>
      <c r="C8" t="s">
        <v>859</v>
      </c>
    </row>
    <row r="9" spans="1:3" x14ac:dyDescent="0.25">
      <c r="A9" t="s">
        <v>703</v>
      </c>
      <c r="C9" t="s">
        <v>860</v>
      </c>
    </row>
    <row r="10" spans="1:3" x14ac:dyDescent="0.25">
      <c r="A10" t="s">
        <v>704</v>
      </c>
      <c r="C10" t="s">
        <v>861</v>
      </c>
    </row>
    <row r="11" spans="1:3" x14ac:dyDescent="0.25">
      <c r="A11" t="s">
        <v>705</v>
      </c>
      <c r="C11" t="s">
        <v>701</v>
      </c>
    </row>
    <row r="12" spans="1:3" x14ac:dyDescent="0.25">
      <c r="A12" t="s">
        <v>706</v>
      </c>
      <c r="C12" t="s">
        <v>862</v>
      </c>
    </row>
    <row r="13" spans="1:3" x14ac:dyDescent="0.25">
      <c r="A13" t="s">
        <v>707</v>
      </c>
      <c r="C13" t="s">
        <v>705</v>
      </c>
    </row>
    <row r="14" spans="1:3" x14ac:dyDescent="0.25">
      <c r="A14" t="s">
        <v>708</v>
      </c>
      <c r="C14" t="s">
        <v>863</v>
      </c>
    </row>
    <row r="15" spans="1:3" x14ac:dyDescent="0.25">
      <c r="A15" t="s">
        <v>709</v>
      </c>
      <c r="C15" t="s">
        <v>864</v>
      </c>
    </row>
    <row r="16" spans="1:3" x14ac:dyDescent="0.25">
      <c r="A16" t="s">
        <v>710</v>
      </c>
      <c r="C16" t="s">
        <v>865</v>
      </c>
    </row>
    <row r="17" spans="1:3" x14ac:dyDescent="0.25">
      <c r="A17" t="s">
        <v>711</v>
      </c>
      <c r="C17" t="s">
        <v>866</v>
      </c>
    </row>
    <row r="18" spans="1:3" x14ac:dyDescent="0.25">
      <c r="A18" t="s">
        <v>712</v>
      </c>
      <c r="C18" t="s">
        <v>867</v>
      </c>
    </row>
    <row r="19" spans="1:3" x14ac:dyDescent="0.25">
      <c r="A19" t="s">
        <v>713</v>
      </c>
      <c r="C19" t="s">
        <v>868</v>
      </c>
    </row>
    <row r="20" spans="1:3" x14ac:dyDescent="0.25">
      <c r="A20" t="s">
        <v>714</v>
      </c>
      <c r="C20" t="s">
        <v>869</v>
      </c>
    </row>
    <row r="21" spans="1:3" x14ac:dyDescent="0.25">
      <c r="A21" t="s">
        <v>715</v>
      </c>
      <c r="C21" t="s">
        <v>870</v>
      </c>
    </row>
    <row r="22" spans="1:3" x14ac:dyDescent="0.25">
      <c r="A22" t="s">
        <v>716</v>
      </c>
      <c r="C22" t="s">
        <v>871</v>
      </c>
    </row>
    <row r="23" spans="1:3" x14ac:dyDescent="0.25">
      <c r="A23" t="s">
        <v>717</v>
      </c>
      <c r="C23" t="s">
        <v>872</v>
      </c>
    </row>
    <row r="24" spans="1:3" x14ac:dyDescent="0.25">
      <c r="A24" t="s">
        <v>718</v>
      </c>
      <c r="C24" t="s">
        <v>873</v>
      </c>
    </row>
    <row r="25" spans="1:3" x14ac:dyDescent="0.25">
      <c r="A25" t="s">
        <v>719</v>
      </c>
      <c r="C25" t="s">
        <v>874</v>
      </c>
    </row>
    <row r="26" spans="1:3" x14ac:dyDescent="0.25">
      <c r="A26" t="s">
        <v>720</v>
      </c>
      <c r="C26" t="s">
        <v>875</v>
      </c>
    </row>
    <row r="27" spans="1:3" x14ac:dyDescent="0.25">
      <c r="A27" t="s">
        <v>721</v>
      </c>
      <c r="C27" t="s">
        <v>876</v>
      </c>
    </row>
    <row r="28" spans="1:3" x14ac:dyDescent="0.25">
      <c r="A28" t="s">
        <v>722</v>
      </c>
      <c r="C28" t="s">
        <v>877</v>
      </c>
    </row>
    <row r="29" spans="1:3" x14ac:dyDescent="0.25">
      <c r="A29" t="s">
        <v>723</v>
      </c>
      <c r="C29" t="s">
        <v>878</v>
      </c>
    </row>
    <row r="30" spans="1:3" x14ac:dyDescent="0.25">
      <c r="A30" t="s">
        <v>724</v>
      </c>
      <c r="C30" t="s">
        <v>879</v>
      </c>
    </row>
    <row r="31" spans="1:3" x14ac:dyDescent="0.25">
      <c r="A31" t="s">
        <v>725</v>
      </c>
      <c r="C31" t="s">
        <v>880</v>
      </c>
    </row>
    <row r="32" spans="1:3" x14ac:dyDescent="0.25">
      <c r="A32" t="s">
        <v>726</v>
      </c>
      <c r="C32" t="s">
        <v>881</v>
      </c>
    </row>
    <row r="33" spans="1:3" x14ac:dyDescent="0.25">
      <c r="A33" t="s">
        <v>727</v>
      </c>
      <c r="C33" t="s">
        <v>882</v>
      </c>
    </row>
    <row r="34" spans="1:3" x14ac:dyDescent="0.25">
      <c r="A34" t="s">
        <v>728</v>
      </c>
      <c r="C34" t="s">
        <v>883</v>
      </c>
    </row>
    <row r="35" spans="1:3" x14ac:dyDescent="0.25">
      <c r="A35" t="s">
        <v>729</v>
      </c>
      <c r="C35" t="s">
        <v>884</v>
      </c>
    </row>
    <row r="36" spans="1:3" x14ac:dyDescent="0.25">
      <c r="A36" t="s">
        <v>730</v>
      </c>
      <c r="C36" t="s">
        <v>885</v>
      </c>
    </row>
    <row r="37" spans="1:3" x14ac:dyDescent="0.25">
      <c r="A37" t="s">
        <v>731</v>
      </c>
      <c r="C37" t="s">
        <v>886</v>
      </c>
    </row>
    <row r="38" spans="1:3" x14ac:dyDescent="0.25">
      <c r="A38" t="s">
        <v>732</v>
      </c>
      <c r="C38" t="s">
        <v>202</v>
      </c>
    </row>
    <row r="39" spans="1:3" x14ac:dyDescent="0.25">
      <c r="A39" t="s">
        <v>733</v>
      </c>
    </row>
    <row r="40" spans="1:3" x14ac:dyDescent="0.25">
      <c r="A40" t="s">
        <v>734</v>
      </c>
    </row>
    <row r="41" spans="1:3" x14ac:dyDescent="0.25">
      <c r="A41" t="s">
        <v>735</v>
      </c>
    </row>
    <row r="42" spans="1:3" x14ac:dyDescent="0.25">
      <c r="A42" t="s">
        <v>736</v>
      </c>
    </row>
    <row r="43" spans="1:3" x14ac:dyDescent="0.25">
      <c r="A43" t="s">
        <v>737</v>
      </c>
    </row>
    <row r="44" spans="1:3" x14ac:dyDescent="0.25">
      <c r="A44" t="s">
        <v>738</v>
      </c>
    </row>
    <row r="45" spans="1:3" x14ac:dyDescent="0.25">
      <c r="A45" t="s">
        <v>739</v>
      </c>
    </row>
    <row r="46" spans="1:3" x14ac:dyDescent="0.25">
      <c r="A46" t="s">
        <v>740</v>
      </c>
    </row>
    <row r="47" spans="1:3" x14ac:dyDescent="0.25">
      <c r="A47" t="s">
        <v>741</v>
      </c>
    </row>
    <row r="48" spans="1:3" x14ac:dyDescent="0.25">
      <c r="A48" t="s">
        <v>742</v>
      </c>
    </row>
    <row r="49" spans="1:1" x14ac:dyDescent="0.25">
      <c r="A49" t="s">
        <v>743</v>
      </c>
    </row>
    <row r="50" spans="1:1" x14ac:dyDescent="0.25">
      <c r="A50" t="s">
        <v>744</v>
      </c>
    </row>
    <row r="51" spans="1:1" x14ac:dyDescent="0.25">
      <c r="A51" t="s">
        <v>745</v>
      </c>
    </row>
    <row r="52" spans="1:1" x14ac:dyDescent="0.25">
      <c r="A52" t="s">
        <v>746</v>
      </c>
    </row>
    <row r="53" spans="1:1" x14ac:dyDescent="0.25">
      <c r="A53" t="s">
        <v>747</v>
      </c>
    </row>
    <row r="54" spans="1:1" x14ac:dyDescent="0.25">
      <c r="A54" t="s">
        <v>748</v>
      </c>
    </row>
    <row r="55" spans="1:1" x14ac:dyDescent="0.25">
      <c r="A55" t="s">
        <v>749</v>
      </c>
    </row>
    <row r="56" spans="1:1" x14ac:dyDescent="0.25">
      <c r="A56" t="s">
        <v>750</v>
      </c>
    </row>
    <row r="57" spans="1:1" x14ac:dyDescent="0.25">
      <c r="A57" t="s">
        <v>751</v>
      </c>
    </row>
    <row r="58" spans="1:1" x14ac:dyDescent="0.25">
      <c r="A58" t="s">
        <v>752</v>
      </c>
    </row>
    <row r="59" spans="1:1" x14ac:dyDescent="0.25">
      <c r="A59" t="s">
        <v>753</v>
      </c>
    </row>
    <row r="60" spans="1:1" x14ac:dyDescent="0.25">
      <c r="A60" t="s">
        <v>754</v>
      </c>
    </row>
    <row r="61" spans="1:1" x14ac:dyDescent="0.25">
      <c r="A61" t="s">
        <v>755</v>
      </c>
    </row>
    <row r="62" spans="1:1" x14ac:dyDescent="0.25">
      <c r="A62" t="s">
        <v>756</v>
      </c>
    </row>
    <row r="63" spans="1:1" x14ac:dyDescent="0.25">
      <c r="A63" t="s">
        <v>757</v>
      </c>
    </row>
    <row r="64" spans="1:1" x14ac:dyDescent="0.25">
      <c r="A64" t="s">
        <v>758</v>
      </c>
    </row>
    <row r="65" spans="1:1" x14ac:dyDescent="0.25">
      <c r="A65" t="s">
        <v>759</v>
      </c>
    </row>
    <row r="66" spans="1:1" x14ac:dyDescent="0.25">
      <c r="A66" t="s">
        <v>760</v>
      </c>
    </row>
    <row r="67" spans="1:1" x14ac:dyDescent="0.25">
      <c r="A67" t="s">
        <v>761</v>
      </c>
    </row>
    <row r="68" spans="1:1" x14ac:dyDescent="0.25">
      <c r="A68" t="s">
        <v>762</v>
      </c>
    </row>
    <row r="69" spans="1:1" x14ac:dyDescent="0.25">
      <c r="A69" t="s">
        <v>763</v>
      </c>
    </row>
    <row r="70" spans="1:1" x14ac:dyDescent="0.25">
      <c r="A70" t="s">
        <v>764</v>
      </c>
    </row>
    <row r="71" spans="1:1" x14ac:dyDescent="0.25">
      <c r="A71" t="s">
        <v>765</v>
      </c>
    </row>
    <row r="72" spans="1:1" x14ac:dyDescent="0.25">
      <c r="A72" t="s">
        <v>766</v>
      </c>
    </row>
    <row r="73" spans="1:1" x14ac:dyDescent="0.25">
      <c r="A73" t="s">
        <v>767</v>
      </c>
    </row>
    <row r="74" spans="1:1" x14ac:dyDescent="0.25">
      <c r="A74" t="s">
        <v>768</v>
      </c>
    </row>
    <row r="75" spans="1:1" x14ac:dyDescent="0.25">
      <c r="A75" t="s">
        <v>769</v>
      </c>
    </row>
    <row r="76" spans="1:1" x14ac:dyDescent="0.25">
      <c r="A76" t="s">
        <v>770</v>
      </c>
    </row>
    <row r="77" spans="1:1" x14ac:dyDescent="0.25">
      <c r="A77" t="s">
        <v>771</v>
      </c>
    </row>
    <row r="78" spans="1:1" x14ac:dyDescent="0.25">
      <c r="A78" t="s">
        <v>772</v>
      </c>
    </row>
    <row r="79" spans="1:1" x14ac:dyDescent="0.25">
      <c r="A79" t="s">
        <v>773</v>
      </c>
    </row>
    <row r="80" spans="1:1" x14ac:dyDescent="0.25">
      <c r="A80" t="s">
        <v>774</v>
      </c>
    </row>
    <row r="81" spans="1:1" x14ac:dyDescent="0.25">
      <c r="A81" t="s">
        <v>775</v>
      </c>
    </row>
    <row r="82" spans="1:1" x14ac:dyDescent="0.25">
      <c r="A82" t="s">
        <v>776</v>
      </c>
    </row>
    <row r="83" spans="1:1" x14ac:dyDescent="0.25">
      <c r="A83" t="s">
        <v>777</v>
      </c>
    </row>
    <row r="84" spans="1:1" x14ac:dyDescent="0.25">
      <c r="A84" t="s">
        <v>778</v>
      </c>
    </row>
    <row r="85" spans="1:1" x14ac:dyDescent="0.25">
      <c r="A85" t="s">
        <v>779</v>
      </c>
    </row>
    <row r="86" spans="1:1" x14ac:dyDescent="0.25">
      <c r="A86" t="s">
        <v>780</v>
      </c>
    </row>
    <row r="87" spans="1:1" x14ac:dyDescent="0.25">
      <c r="A87" t="s">
        <v>781</v>
      </c>
    </row>
    <row r="88" spans="1:1" x14ac:dyDescent="0.25">
      <c r="A88" t="s">
        <v>782</v>
      </c>
    </row>
    <row r="89" spans="1:1" x14ac:dyDescent="0.25">
      <c r="A89" t="s">
        <v>783</v>
      </c>
    </row>
    <row r="90" spans="1:1" x14ac:dyDescent="0.25">
      <c r="A90" t="s">
        <v>784</v>
      </c>
    </row>
    <row r="91" spans="1:1" x14ac:dyDescent="0.25">
      <c r="A91" t="s">
        <v>785</v>
      </c>
    </row>
    <row r="92" spans="1:1" x14ac:dyDescent="0.25">
      <c r="A92" t="s">
        <v>786</v>
      </c>
    </row>
    <row r="93" spans="1:1" x14ac:dyDescent="0.25">
      <c r="A93" t="s">
        <v>787</v>
      </c>
    </row>
    <row r="94" spans="1:1" x14ac:dyDescent="0.25">
      <c r="A94" t="s">
        <v>788</v>
      </c>
    </row>
    <row r="95" spans="1:1" x14ac:dyDescent="0.25">
      <c r="A95" t="s">
        <v>789</v>
      </c>
    </row>
    <row r="96" spans="1:1" x14ac:dyDescent="0.25">
      <c r="A96" t="s">
        <v>790</v>
      </c>
    </row>
    <row r="97" spans="1:1" x14ac:dyDescent="0.25">
      <c r="A97" t="s">
        <v>791</v>
      </c>
    </row>
    <row r="98" spans="1:1" x14ac:dyDescent="0.25">
      <c r="A98" t="s">
        <v>792</v>
      </c>
    </row>
    <row r="99" spans="1:1" x14ac:dyDescent="0.25">
      <c r="A99" t="s">
        <v>793</v>
      </c>
    </row>
    <row r="100" spans="1:1" x14ac:dyDescent="0.25">
      <c r="A100" t="s">
        <v>794</v>
      </c>
    </row>
    <row r="101" spans="1:1" x14ac:dyDescent="0.25">
      <c r="A101" t="s">
        <v>795</v>
      </c>
    </row>
    <row r="102" spans="1:1" x14ac:dyDescent="0.25">
      <c r="A102" t="s">
        <v>796</v>
      </c>
    </row>
    <row r="103" spans="1:1" x14ac:dyDescent="0.25">
      <c r="A103" t="s">
        <v>797</v>
      </c>
    </row>
    <row r="104" spans="1:1" x14ac:dyDescent="0.25">
      <c r="A104" t="s">
        <v>798</v>
      </c>
    </row>
    <row r="105" spans="1:1" x14ac:dyDescent="0.25">
      <c r="A105" t="s">
        <v>799</v>
      </c>
    </row>
    <row r="106" spans="1:1" x14ac:dyDescent="0.25">
      <c r="A106" t="s">
        <v>800</v>
      </c>
    </row>
    <row r="107" spans="1:1" x14ac:dyDescent="0.25">
      <c r="A107" t="s">
        <v>801</v>
      </c>
    </row>
    <row r="108" spans="1:1" x14ac:dyDescent="0.25">
      <c r="A108" t="s">
        <v>802</v>
      </c>
    </row>
    <row r="109" spans="1:1" x14ac:dyDescent="0.25">
      <c r="A109" t="s">
        <v>803</v>
      </c>
    </row>
    <row r="110" spans="1:1" x14ac:dyDescent="0.25">
      <c r="A110" t="s">
        <v>804</v>
      </c>
    </row>
    <row r="111" spans="1:1" x14ac:dyDescent="0.25">
      <c r="A111" t="s">
        <v>805</v>
      </c>
    </row>
    <row r="112" spans="1:1" x14ac:dyDescent="0.25">
      <c r="A112" t="s">
        <v>806</v>
      </c>
    </row>
    <row r="113" spans="1:1" x14ac:dyDescent="0.25">
      <c r="A113" t="s">
        <v>807</v>
      </c>
    </row>
    <row r="114" spans="1:1" x14ac:dyDescent="0.25">
      <c r="A114" t="s">
        <v>808</v>
      </c>
    </row>
    <row r="115" spans="1:1" x14ac:dyDescent="0.25">
      <c r="A115" t="s">
        <v>809</v>
      </c>
    </row>
    <row r="116" spans="1:1" x14ac:dyDescent="0.25">
      <c r="A116" t="s">
        <v>810</v>
      </c>
    </row>
    <row r="117" spans="1:1" x14ac:dyDescent="0.25">
      <c r="A117" t="s">
        <v>811</v>
      </c>
    </row>
    <row r="118" spans="1:1" x14ac:dyDescent="0.25">
      <c r="A118" t="s">
        <v>812</v>
      </c>
    </row>
    <row r="119" spans="1:1" x14ac:dyDescent="0.25">
      <c r="A119" t="s">
        <v>813</v>
      </c>
    </row>
    <row r="120" spans="1:1" x14ac:dyDescent="0.25">
      <c r="A120" t="s">
        <v>814</v>
      </c>
    </row>
    <row r="121" spans="1:1" x14ac:dyDescent="0.25">
      <c r="A121" t="s">
        <v>815</v>
      </c>
    </row>
    <row r="122" spans="1:1" x14ac:dyDescent="0.25">
      <c r="A122" t="s">
        <v>816</v>
      </c>
    </row>
    <row r="123" spans="1:1" x14ac:dyDescent="0.25">
      <c r="A123" t="s">
        <v>817</v>
      </c>
    </row>
    <row r="124" spans="1:1" x14ac:dyDescent="0.25">
      <c r="A124" t="s">
        <v>818</v>
      </c>
    </row>
    <row r="125" spans="1:1" x14ac:dyDescent="0.25">
      <c r="A125" t="s">
        <v>819</v>
      </c>
    </row>
    <row r="126" spans="1:1" x14ac:dyDescent="0.25">
      <c r="A126" t="s">
        <v>820</v>
      </c>
    </row>
    <row r="127" spans="1:1" x14ac:dyDescent="0.25">
      <c r="A127" t="s">
        <v>821</v>
      </c>
    </row>
    <row r="128" spans="1:1" x14ac:dyDescent="0.25">
      <c r="A128" t="s">
        <v>822</v>
      </c>
    </row>
    <row r="129" spans="1:1" x14ac:dyDescent="0.25">
      <c r="A129" t="s">
        <v>823</v>
      </c>
    </row>
    <row r="130" spans="1:1" x14ac:dyDescent="0.25">
      <c r="A130" t="s">
        <v>824</v>
      </c>
    </row>
    <row r="131" spans="1:1" x14ac:dyDescent="0.25">
      <c r="A131" t="s">
        <v>825</v>
      </c>
    </row>
    <row r="132" spans="1:1" x14ac:dyDescent="0.25">
      <c r="A132" t="s">
        <v>826</v>
      </c>
    </row>
    <row r="133" spans="1:1" x14ac:dyDescent="0.25">
      <c r="A133" t="s">
        <v>827</v>
      </c>
    </row>
    <row r="134" spans="1:1" x14ac:dyDescent="0.25">
      <c r="A134" t="s">
        <v>828</v>
      </c>
    </row>
    <row r="135" spans="1:1" x14ac:dyDescent="0.25">
      <c r="A135" t="s">
        <v>829</v>
      </c>
    </row>
    <row r="136" spans="1:1" x14ac:dyDescent="0.25">
      <c r="A136" t="s">
        <v>830</v>
      </c>
    </row>
    <row r="137" spans="1:1" x14ac:dyDescent="0.25">
      <c r="A137" t="s">
        <v>831</v>
      </c>
    </row>
    <row r="138" spans="1:1" x14ac:dyDescent="0.25">
      <c r="A138" t="s">
        <v>832</v>
      </c>
    </row>
    <row r="139" spans="1:1" x14ac:dyDescent="0.25">
      <c r="A139" t="s">
        <v>833</v>
      </c>
    </row>
    <row r="140" spans="1:1" x14ac:dyDescent="0.25">
      <c r="A140" t="s">
        <v>834</v>
      </c>
    </row>
    <row r="141" spans="1:1" x14ac:dyDescent="0.25">
      <c r="A141" t="s">
        <v>835</v>
      </c>
    </row>
    <row r="142" spans="1:1" x14ac:dyDescent="0.25">
      <c r="A142" t="s">
        <v>836</v>
      </c>
    </row>
    <row r="143" spans="1:1" x14ac:dyDescent="0.25">
      <c r="A143" t="s">
        <v>837</v>
      </c>
    </row>
    <row r="144" spans="1:1" x14ac:dyDescent="0.25">
      <c r="A144" t="s">
        <v>838</v>
      </c>
    </row>
    <row r="145" spans="1:1" x14ac:dyDescent="0.25">
      <c r="A145" t="s">
        <v>839</v>
      </c>
    </row>
    <row r="146" spans="1:1" x14ac:dyDescent="0.25">
      <c r="A146" t="s">
        <v>840</v>
      </c>
    </row>
    <row r="147" spans="1:1" x14ac:dyDescent="0.25">
      <c r="A147" t="s">
        <v>841</v>
      </c>
    </row>
    <row r="148" spans="1:1" x14ac:dyDescent="0.25">
      <c r="A148" t="s">
        <v>842</v>
      </c>
    </row>
    <row r="149" spans="1:1" x14ac:dyDescent="0.25">
      <c r="A149" t="s">
        <v>843</v>
      </c>
    </row>
    <row r="150" spans="1:1" x14ac:dyDescent="0.25">
      <c r="A150" t="s">
        <v>844</v>
      </c>
    </row>
    <row r="151" spans="1:1" x14ac:dyDescent="0.25">
      <c r="A151" t="s">
        <v>845</v>
      </c>
    </row>
    <row r="152" spans="1:1" x14ac:dyDescent="0.25">
      <c r="A152" t="s">
        <v>846</v>
      </c>
    </row>
    <row r="153" spans="1:1" x14ac:dyDescent="0.25">
      <c r="A153" t="s">
        <v>847</v>
      </c>
    </row>
    <row r="154" spans="1:1" x14ac:dyDescent="0.25">
      <c r="A154" t="s">
        <v>848</v>
      </c>
    </row>
    <row r="155" spans="1:1" x14ac:dyDescent="0.25">
      <c r="A155" t="s">
        <v>849</v>
      </c>
    </row>
    <row r="156" spans="1:1" x14ac:dyDescent="0.25">
      <c r="A156" t="s">
        <v>850</v>
      </c>
    </row>
    <row r="157" spans="1:1" x14ac:dyDescent="0.25">
      <c r="A157" t="s">
        <v>851</v>
      </c>
    </row>
    <row r="158" spans="1:1" x14ac:dyDescent="0.25">
      <c r="A158" t="s">
        <v>852</v>
      </c>
    </row>
    <row r="159" spans="1:1" x14ac:dyDescent="0.25">
      <c r="A159" t="s">
        <v>853</v>
      </c>
    </row>
    <row r="160" spans="1:1" x14ac:dyDescent="0.25">
      <c r="A160" t="s">
        <v>854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7"/>
  <sheetViews>
    <sheetView topLeftCell="H97" workbookViewId="0">
      <selection activeCell="K107" sqref="K107"/>
    </sheetView>
  </sheetViews>
  <sheetFormatPr defaultRowHeight="12.5" x14ac:dyDescent="0.25"/>
  <cols>
    <col min="2" max="2" width="66" customWidth="1"/>
    <col min="3" max="4" width="11.54296875" customWidth="1"/>
    <col min="5" max="5" width="26.453125" customWidth="1"/>
    <col min="6" max="6" width="17.54296875" customWidth="1"/>
    <col min="7" max="7" width="11.453125" customWidth="1"/>
    <col min="8" max="8" width="65.54296875" customWidth="1"/>
    <col min="9" max="9" width="17.54296875" customWidth="1"/>
    <col min="10" max="10" width="11.453125" customWidth="1"/>
    <col min="11" max="11" width="65.54296875" customWidth="1"/>
    <col min="12" max="12" width="14.1796875" customWidth="1"/>
    <col min="15" max="15" width="15.453125" bestFit="1" customWidth="1"/>
    <col min="16" max="16" width="21" bestFit="1" customWidth="1"/>
    <col min="17" max="17" width="9.453125" customWidth="1"/>
    <col min="18" max="22" width="9.54296875" customWidth="1"/>
    <col min="23" max="23" width="13.1796875" customWidth="1"/>
    <col min="30" max="30" width="10.453125" customWidth="1"/>
    <col min="31" max="31" width="10.54296875" customWidth="1"/>
    <col min="34" max="34" width="15.453125" bestFit="1" customWidth="1"/>
    <col min="35" max="35" width="21" bestFit="1" customWidth="1"/>
    <col min="36" max="37" width="9.54296875" bestFit="1" customWidth="1"/>
    <col min="38" max="38" width="9.54296875" customWidth="1"/>
  </cols>
  <sheetData>
    <row r="1" spans="1:12" ht="20" x14ac:dyDescent="0.4">
      <c r="A1" s="4" t="s">
        <v>19</v>
      </c>
      <c r="B1" s="4"/>
      <c r="C1" s="4"/>
      <c r="D1" s="4"/>
      <c r="E1" s="4"/>
      <c r="F1" s="4"/>
      <c r="G1" s="4"/>
      <c r="H1" s="4"/>
      <c r="I1" s="4"/>
      <c r="J1" s="4"/>
      <c r="K1" s="4"/>
      <c r="L1" s="4"/>
    </row>
    <row r="2" spans="1:12" ht="15.5" x14ac:dyDescent="0.35">
      <c r="A2" s="5" t="str">
        <f>IF(title="&gt; Enter workbook title here","Enter workbook title in Cover sheet",title)</f>
        <v>Scottish Fire pension  projection calculator</v>
      </c>
      <c r="B2" s="5"/>
      <c r="C2" s="5"/>
      <c r="D2" s="5"/>
      <c r="E2" s="5"/>
      <c r="F2" s="5"/>
      <c r="G2" s="5"/>
      <c r="H2" s="5"/>
      <c r="I2" s="5"/>
      <c r="J2" s="5"/>
      <c r="K2" s="5"/>
      <c r="L2" s="5"/>
    </row>
    <row r="3" spans="1:12" ht="15.5" x14ac:dyDescent="0.35">
      <c r="A3" s="77" t="s">
        <v>0</v>
      </c>
      <c r="B3" s="6"/>
      <c r="C3" s="6"/>
      <c r="D3" s="6"/>
      <c r="E3" s="6"/>
      <c r="F3" s="6"/>
      <c r="G3" s="6"/>
      <c r="H3" s="6"/>
      <c r="I3" s="6"/>
      <c r="J3" s="6"/>
      <c r="K3" s="6"/>
      <c r="L3" s="6"/>
    </row>
    <row r="4" spans="1:12" x14ac:dyDescent="0.25">
      <c r="A4" s="7" t="str">
        <f ca="1">CELL("filename",A1)</f>
        <v>C:\Users\u418711\AppData\Local\Microsoft\Windows\INetCache\Content.Outlook\PTLKNQ86\[Copy of Fire Scotland - Benefit Calculator - 22Dec2020.xlsx]Version control</v>
      </c>
      <c r="B4" s="7"/>
    </row>
    <row r="5" spans="1:12" x14ac:dyDescent="0.25">
      <c r="E5" s="8"/>
      <c r="F5" s="8"/>
      <c r="G5" s="8"/>
    </row>
    <row r="6" spans="1:12" ht="39" x14ac:dyDescent="0.3">
      <c r="A6" s="10" t="s">
        <v>1</v>
      </c>
      <c r="B6" s="10" t="s">
        <v>36</v>
      </c>
      <c r="C6" s="10" t="s">
        <v>8</v>
      </c>
      <c r="D6" s="10" t="s">
        <v>9</v>
      </c>
      <c r="E6" s="10" t="s">
        <v>7</v>
      </c>
      <c r="F6" s="10" t="s">
        <v>10</v>
      </c>
      <c r="G6" s="10" t="s">
        <v>2</v>
      </c>
      <c r="H6" s="10" t="s">
        <v>3</v>
      </c>
      <c r="I6" s="10" t="s">
        <v>6</v>
      </c>
      <c r="J6" s="10" t="s">
        <v>2</v>
      </c>
      <c r="K6" s="10" t="s">
        <v>3</v>
      </c>
      <c r="L6" s="10" t="s">
        <v>15</v>
      </c>
    </row>
    <row r="7" spans="1:12" ht="25" x14ac:dyDescent="0.25">
      <c r="A7" s="2" t="s">
        <v>14</v>
      </c>
      <c r="B7" s="2" t="s">
        <v>57</v>
      </c>
      <c r="C7" s="2"/>
      <c r="D7" s="2"/>
      <c r="E7" s="2"/>
      <c r="F7" s="2" t="s">
        <v>58</v>
      </c>
      <c r="G7" s="28">
        <v>41136</v>
      </c>
      <c r="H7" s="2" t="s">
        <v>101</v>
      </c>
      <c r="I7" s="2" t="s">
        <v>91</v>
      </c>
      <c r="J7" s="28">
        <v>41137</v>
      </c>
      <c r="K7" s="2" t="s">
        <v>92</v>
      </c>
      <c r="L7" s="2"/>
    </row>
    <row r="8" spans="1:12" ht="62.5" x14ac:dyDescent="0.25">
      <c r="A8" s="2">
        <v>2</v>
      </c>
      <c r="B8" s="2" t="s">
        <v>85</v>
      </c>
      <c r="C8" s="2"/>
      <c r="D8" s="2"/>
      <c r="E8" s="2"/>
      <c r="F8" s="2" t="s">
        <v>58</v>
      </c>
      <c r="G8" s="28">
        <v>41138</v>
      </c>
      <c r="H8" s="2" t="s">
        <v>102</v>
      </c>
      <c r="I8" s="2" t="s">
        <v>91</v>
      </c>
      <c r="J8" s="28">
        <v>41141</v>
      </c>
      <c r="K8" s="2" t="s">
        <v>93</v>
      </c>
      <c r="L8" s="2" t="s">
        <v>95</v>
      </c>
    </row>
    <row r="9" spans="1:12" ht="50" x14ac:dyDescent="0.25">
      <c r="A9" s="2">
        <v>3</v>
      </c>
      <c r="B9" s="2" t="s">
        <v>88</v>
      </c>
      <c r="C9" s="2"/>
      <c r="D9" s="2"/>
      <c r="E9" s="2"/>
      <c r="F9" s="2" t="s">
        <v>58</v>
      </c>
      <c r="G9" s="28">
        <v>41142</v>
      </c>
      <c r="H9" s="2" t="s">
        <v>103</v>
      </c>
      <c r="I9" s="2" t="s">
        <v>91</v>
      </c>
      <c r="J9" s="28">
        <v>41142</v>
      </c>
      <c r="K9" s="2" t="s">
        <v>94</v>
      </c>
      <c r="L9" s="2"/>
    </row>
    <row r="10" spans="1:12" ht="75" x14ac:dyDescent="0.25">
      <c r="A10" s="2">
        <v>4</v>
      </c>
      <c r="B10" s="2" t="s">
        <v>96</v>
      </c>
      <c r="C10" s="2"/>
      <c r="D10" s="2"/>
      <c r="E10" s="2"/>
      <c r="F10" s="2" t="s">
        <v>58</v>
      </c>
      <c r="G10" s="28">
        <v>41142</v>
      </c>
      <c r="H10" s="2" t="s">
        <v>104</v>
      </c>
      <c r="I10" s="2" t="s">
        <v>91</v>
      </c>
      <c r="J10" s="28">
        <v>41142</v>
      </c>
      <c r="K10" s="2" t="s">
        <v>105</v>
      </c>
      <c r="L10" s="2"/>
    </row>
    <row r="11" spans="1:12" ht="25" x14ac:dyDescent="0.25">
      <c r="A11" s="2">
        <v>5</v>
      </c>
      <c r="B11" s="2" t="s">
        <v>106</v>
      </c>
      <c r="C11" s="2"/>
      <c r="D11" s="2"/>
      <c r="E11" s="2"/>
      <c r="F11" s="2" t="s">
        <v>58</v>
      </c>
      <c r="G11" s="28">
        <v>41143</v>
      </c>
      <c r="H11" s="2" t="s">
        <v>107</v>
      </c>
      <c r="I11" s="2" t="s">
        <v>91</v>
      </c>
      <c r="J11" s="28">
        <v>41143</v>
      </c>
      <c r="K11" s="2" t="s">
        <v>108</v>
      </c>
      <c r="L11" s="2"/>
    </row>
    <row r="12" spans="1:12" ht="62.5" x14ac:dyDescent="0.25">
      <c r="A12" s="2">
        <v>6</v>
      </c>
      <c r="B12" s="2" t="s">
        <v>109</v>
      </c>
      <c r="C12" s="2"/>
      <c r="D12" s="2"/>
      <c r="E12" s="2"/>
      <c r="F12" s="2" t="s">
        <v>58</v>
      </c>
      <c r="G12" s="28">
        <v>41143</v>
      </c>
      <c r="H12" s="2" t="s">
        <v>111</v>
      </c>
      <c r="I12" s="2" t="s">
        <v>112</v>
      </c>
      <c r="J12" s="28">
        <v>41144</v>
      </c>
      <c r="K12" s="2" t="s">
        <v>113</v>
      </c>
      <c r="L12" s="2"/>
    </row>
    <row r="13" spans="1:12" ht="137.5" x14ac:dyDescent="0.25">
      <c r="A13" s="2">
        <v>7</v>
      </c>
      <c r="B13" s="39" t="s">
        <v>114</v>
      </c>
      <c r="C13" s="2"/>
      <c r="D13" s="2"/>
      <c r="E13" s="2"/>
      <c r="F13" s="2" t="s">
        <v>115</v>
      </c>
      <c r="G13" s="28">
        <v>41144</v>
      </c>
      <c r="H13" s="2" t="s">
        <v>136</v>
      </c>
      <c r="I13" s="2" t="s">
        <v>91</v>
      </c>
      <c r="J13" s="28">
        <v>41145</v>
      </c>
      <c r="K13" s="2" t="s">
        <v>137</v>
      </c>
      <c r="L13" s="2"/>
    </row>
    <row r="14" spans="1:12" ht="37.5" x14ac:dyDescent="0.25">
      <c r="A14" s="2">
        <v>8</v>
      </c>
      <c r="B14" s="39" t="s">
        <v>138</v>
      </c>
      <c r="C14" s="2"/>
      <c r="D14" s="2"/>
      <c r="E14" s="2"/>
      <c r="F14" s="2" t="s">
        <v>139</v>
      </c>
      <c r="G14" s="28">
        <v>41145</v>
      </c>
      <c r="H14" s="2" t="s">
        <v>140</v>
      </c>
      <c r="I14" s="2" t="s">
        <v>91</v>
      </c>
      <c r="J14" s="28">
        <v>41145</v>
      </c>
      <c r="K14" s="2" t="s">
        <v>142</v>
      </c>
      <c r="L14" s="2"/>
    </row>
    <row r="15" spans="1:12" ht="50" x14ac:dyDescent="0.25">
      <c r="A15" s="2">
        <v>9</v>
      </c>
      <c r="B15" s="2" t="s">
        <v>150</v>
      </c>
      <c r="C15" s="2"/>
      <c r="D15" s="2"/>
      <c r="E15" s="2"/>
      <c r="F15" s="2" t="s">
        <v>58</v>
      </c>
      <c r="G15" s="28">
        <v>41145</v>
      </c>
      <c r="H15" s="2" t="s">
        <v>147</v>
      </c>
      <c r="I15" s="2" t="s">
        <v>91</v>
      </c>
      <c r="J15" s="28">
        <v>41145</v>
      </c>
      <c r="K15" s="2" t="s">
        <v>148</v>
      </c>
      <c r="L15" s="2"/>
    </row>
    <row r="16" spans="1:12" ht="37.5" x14ac:dyDescent="0.25">
      <c r="A16" s="2">
        <v>10</v>
      </c>
      <c r="B16" s="2" t="s">
        <v>149</v>
      </c>
      <c r="C16" s="2"/>
      <c r="D16" s="2"/>
      <c r="E16" s="2"/>
      <c r="F16" s="2" t="s">
        <v>58</v>
      </c>
      <c r="G16" s="28">
        <v>41149</v>
      </c>
      <c r="H16" s="2" t="s">
        <v>151</v>
      </c>
      <c r="I16" s="2" t="s">
        <v>91</v>
      </c>
      <c r="J16" s="28">
        <v>41149</v>
      </c>
      <c r="K16" s="2" t="s">
        <v>154</v>
      </c>
      <c r="L16" s="2"/>
    </row>
    <row r="17" spans="1:12" ht="37.5" x14ac:dyDescent="0.25">
      <c r="A17" s="2">
        <v>11</v>
      </c>
      <c r="B17" s="2" t="s">
        <v>152</v>
      </c>
      <c r="C17" s="2"/>
      <c r="D17" s="2"/>
      <c r="E17" s="2"/>
      <c r="F17" s="2" t="s">
        <v>58</v>
      </c>
      <c r="G17" s="28">
        <v>41149</v>
      </c>
      <c r="H17" s="2" t="s">
        <v>153</v>
      </c>
      <c r="I17" s="2" t="s">
        <v>91</v>
      </c>
      <c r="J17" s="28">
        <v>41150</v>
      </c>
      <c r="K17" s="2" t="s">
        <v>162</v>
      </c>
      <c r="L17" s="2"/>
    </row>
    <row r="18" spans="1:12" ht="37.5" x14ac:dyDescent="0.25">
      <c r="A18" s="2">
        <v>12</v>
      </c>
      <c r="B18" s="2" t="s">
        <v>155</v>
      </c>
      <c r="C18" s="2"/>
      <c r="D18" s="2"/>
      <c r="E18" s="2"/>
      <c r="F18" s="2" t="s">
        <v>58</v>
      </c>
      <c r="G18" s="28">
        <v>41150</v>
      </c>
      <c r="H18" s="2" t="s">
        <v>156</v>
      </c>
      <c r="I18" s="2" t="s">
        <v>91</v>
      </c>
      <c r="J18" s="28">
        <v>41150</v>
      </c>
      <c r="K18" s="2" t="s">
        <v>163</v>
      </c>
      <c r="L18" s="2"/>
    </row>
    <row r="19" spans="1:12" ht="50" x14ac:dyDescent="0.25">
      <c r="A19" s="2">
        <v>13</v>
      </c>
      <c r="B19" s="2" t="s">
        <v>158</v>
      </c>
      <c r="C19" s="2"/>
      <c r="D19" s="2"/>
      <c r="E19" s="2"/>
      <c r="F19" s="2" t="s">
        <v>58</v>
      </c>
      <c r="G19" s="28">
        <v>41150</v>
      </c>
      <c r="H19" s="2" t="s">
        <v>159</v>
      </c>
      <c r="I19" s="2" t="s">
        <v>91</v>
      </c>
      <c r="J19" s="28">
        <v>41150</v>
      </c>
      <c r="K19" s="2" t="s">
        <v>164</v>
      </c>
      <c r="L19" s="2"/>
    </row>
    <row r="20" spans="1:12" ht="50" x14ac:dyDescent="0.25">
      <c r="A20" s="2">
        <v>14</v>
      </c>
      <c r="B20" s="2" t="s">
        <v>160</v>
      </c>
      <c r="C20" s="2"/>
      <c r="D20" s="2"/>
      <c r="E20" s="2"/>
      <c r="F20" s="2" t="s">
        <v>58</v>
      </c>
      <c r="G20" s="28">
        <v>41150</v>
      </c>
      <c r="H20" s="2" t="s">
        <v>161</v>
      </c>
      <c r="I20" s="2" t="s">
        <v>91</v>
      </c>
      <c r="J20" s="28">
        <v>41150</v>
      </c>
      <c r="K20" s="2" t="s">
        <v>165</v>
      </c>
      <c r="L20" s="2"/>
    </row>
    <row r="21" spans="1:12" ht="80.25" customHeight="1" x14ac:dyDescent="0.25">
      <c r="A21" s="2">
        <v>15</v>
      </c>
      <c r="B21" s="2" t="s">
        <v>166</v>
      </c>
      <c r="C21" s="2"/>
      <c r="D21" s="2"/>
      <c r="E21" s="2"/>
      <c r="F21" s="2" t="s">
        <v>167</v>
      </c>
      <c r="G21" s="28">
        <v>41151</v>
      </c>
      <c r="H21" s="2" t="s">
        <v>171</v>
      </c>
      <c r="I21" s="2" t="s">
        <v>91</v>
      </c>
      <c r="J21" s="28">
        <v>41151</v>
      </c>
      <c r="K21" s="2" t="s">
        <v>108</v>
      </c>
      <c r="L21" s="2"/>
    </row>
    <row r="22" spans="1:12" ht="62.5" x14ac:dyDescent="0.25">
      <c r="A22" s="2">
        <v>16</v>
      </c>
      <c r="B22" s="2" t="s">
        <v>172</v>
      </c>
      <c r="C22" s="2"/>
      <c r="D22" s="2"/>
      <c r="E22" s="2"/>
      <c r="F22" s="2" t="s">
        <v>167</v>
      </c>
      <c r="G22" s="28">
        <v>41151</v>
      </c>
      <c r="H22" s="2" t="s">
        <v>173</v>
      </c>
      <c r="I22" s="2" t="s">
        <v>91</v>
      </c>
      <c r="J22" s="28">
        <v>41151</v>
      </c>
      <c r="K22" s="2" t="s">
        <v>372</v>
      </c>
      <c r="L22" s="2"/>
    </row>
    <row r="23" spans="1:12" ht="36.75" customHeight="1" x14ac:dyDescent="0.25">
      <c r="A23" s="2">
        <v>17</v>
      </c>
      <c r="B23" s="2" t="s">
        <v>174</v>
      </c>
      <c r="C23" s="2"/>
      <c r="D23" s="2"/>
      <c r="E23" s="2"/>
      <c r="F23" s="2" t="s">
        <v>167</v>
      </c>
      <c r="G23" s="28">
        <v>41152</v>
      </c>
      <c r="H23" s="2" t="s">
        <v>175</v>
      </c>
      <c r="I23" s="2" t="s">
        <v>91</v>
      </c>
      <c r="J23" s="28">
        <v>41152</v>
      </c>
      <c r="K23" s="2" t="s">
        <v>176</v>
      </c>
      <c r="L23" s="2"/>
    </row>
    <row r="24" spans="1:12" ht="25" x14ac:dyDescent="0.25">
      <c r="A24" s="2">
        <v>18</v>
      </c>
      <c r="B24" s="39" t="s">
        <v>180</v>
      </c>
      <c r="C24" s="2"/>
      <c r="D24" s="2"/>
      <c r="E24" s="2"/>
      <c r="F24" s="2" t="s">
        <v>181</v>
      </c>
      <c r="G24" s="28">
        <v>41152</v>
      </c>
      <c r="H24" s="2" t="s">
        <v>182</v>
      </c>
      <c r="I24" s="2" t="s">
        <v>91</v>
      </c>
      <c r="J24" s="28">
        <v>41155</v>
      </c>
      <c r="K24" s="2" t="s">
        <v>185</v>
      </c>
      <c r="L24" s="2"/>
    </row>
    <row r="25" spans="1:12" ht="25" x14ac:dyDescent="0.25">
      <c r="A25" s="2">
        <v>19</v>
      </c>
      <c r="B25" s="39" t="s">
        <v>192</v>
      </c>
      <c r="C25" s="2"/>
      <c r="D25" s="2"/>
      <c r="E25" s="2"/>
      <c r="F25" s="2" t="s">
        <v>181</v>
      </c>
      <c r="G25" s="28">
        <v>41154</v>
      </c>
      <c r="H25" s="2" t="s">
        <v>182</v>
      </c>
      <c r="I25" s="2" t="s">
        <v>91</v>
      </c>
      <c r="J25" s="28">
        <v>41155</v>
      </c>
      <c r="K25" s="2" t="s">
        <v>185</v>
      </c>
      <c r="L25" s="2"/>
    </row>
    <row r="26" spans="1:12" ht="37.5" x14ac:dyDescent="0.25">
      <c r="A26" s="2">
        <v>20</v>
      </c>
      <c r="B26" s="2" t="s">
        <v>193</v>
      </c>
      <c r="C26" s="2"/>
      <c r="D26" s="2"/>
      <c r="E26" s="2"/>
      <c r="F26" s="2" t="s">
        <v>91</v>
      </c>
      <c r="G26" s="28">
        <v>41155</v>
      </c>
      <c r="H26" s="2" t="s">
        <v>191</v>
      </c>
      <c r="I26" s="2" t="s">
        <v>181</v>
      </c>
      <c r="J26" s="28">
        <v>41155</v>
      </c>
      <c r="K26" s="2" t="s">
        <v>197</v>
      </c>
      <c r="L26" s="2"/>
    </row>
    <row r="27" spans="1:12" ht="37.5" x14ac:dyDescent="0.25">
      <c r="A27" s="2">
        <v>21</v>
      </c>
      <c r="B27" s="2" t="s">
        <v>196</v>
      </c>
      <c r="C27" s="2"/>
      <c r="D27" s="2"/>
      <c r="E27" s="2"/>
      <c r="F27" s="2" t="s">
        <v>58</v>
      </c>
      <c r="G27" s="28">
        <v>41163</v>
      </c>
      <c r="H27" s="2" t="s">
        <v>195</v>
      </c>
      <c r="I27" s="2" t="s">
        <v>91</v>
      </c>
      <c r="J27" s="28">
        <v>41163</v>
      </c>
      <c r="K27" s="2" t="s">
        <v>176</v>
      </c>
      <c r="L27" s="2"/>
    </row>
    <row r="28" spans="1:12" ht="50" x14ac:dyDescent="0.25">
      <c r="A28" s="2"/>
      <c r="B28" s="2"/>
      <c r="C28" s="2"/>
      <c r="D28" s="2"/>
      <c r="E28" s="2"/>
      <c r="F28" s="2"/>
      <c r="G28" s="2"/>
      <c r="H28" s="2"/>
      <c r="I28" s="2" t="s">
        <v>198</v>
      </c>
      <c r="J28" s="28">
        <v>41171</v>
      </c>
      <c r="K28" s="2" t="s">
        <v>214</v>
      </c>
      <c r="L28" s="2"/>
    </row>
    <row r="29" spans="1:12" ht="37.5" x14ac:dyDescent="0.25">
      <c r="A29" s="2">
        <v>22</v>
      </c>
      <c r="B29" s="2" t="s">
        <v>199</v>
      </c>
      <c r="C29" s="2"/>
      <c r="D29" s="2"/>
      <c r="E29" s="2"/>
      <c r="F29" s="2" t="s">
        <v>58</v>
      </c>
      <c r="G29" s="28">
        <v>41173</v>
      </c>
      <c r="H29" s="2" t="s">
        <v>205</v>
      </c>
      <c r="I29" s="2" t="s">
        <v>91</v>
      </c>
      <c r="J29" s="28">
        <v>41173</v>
      </c>
      <c r="K29" s="2" t="s">
        <v>206</v>
      </c>
      <c r="L29" s="2"/>
    </row>
    <row r="30" spans="1:12" ht="50" x14ac:dyDescent="0.25">
      <c r="A30" s="2">
        <v>23</v>
      </c>
      <c r="B30" s="2" t="s">
        <v>207</v>
      </c>
      <c r="C30" s="2"/>
      <c r="D30" s="2"/>
      <c r="E30" s="2"/>
      <c r="F30" s="2" t="s">
        <v>58</v>
      </c>
      <c r="G30" s="28">
        <v>41173</v>
      </c>
      <c r="H30" s="2" t="s">
        <v>208</v>
      </c>
      <c r="I30" s="2" t="s">
        <v>91</v>
      </c>
      <c r="J30" s="28">
        <v>41176</v>
      </c>
      <c r="K30" s="2" t="s">
        <v>209</v>
      </c>
      <c r="L30" s="2"/>
    </row>
    <row r="31" spans="1:12" ht="25" x14ac:dyDescent="0.25">
      <c r="A31" s="2">
        <v>24</v>
      </c>
      <c r="B31" s="2" t="s">
        <v>210</v>
      </c>
      <c r="F31" s="2" t="s">
        <v>58</v>
      </c>
      <c r="G31" s="28">
        <v>41177</v>
      </c>
      <c r="H31" s="2" t="s">
        <v>211</v>
      </c>
      <c r="I31" s="2" t="s">
        <v>91</v>
      </c>
      <c r="J31" s="28">
        <v>41179</v>
      </c>
      <c r="K31" s="2" t="s">
        <v>176</v>
      </c>
    </row>
    <row r="32" spans="1:12" ht="50" x14ac:dyDescent="0.25">
      <c r="F32" s="2" t="s">
        <v>91</v>
      </c>
      <c r="G32" s="28">
        <v>41180</v>
      </c>
      <c r="H32" s="2" t="s">
        <v>213</v>
      </c>
      <c r="I32" s="2" t="s">
        <v>215</v>
      </c>
      <c r="J32" s="8">
        <v>41183</v>
      </c>
      <c r="K32" s="2" t="s">
        <v>373</v>
      </c>
    </row>
    <row r="33" spans="1:11" ht="25" x14ac:dyDescent="0.25">
      <c r="F33" s="2" t="s">
        <v>215</v>
      </c>
      <c r="G33" s="64">
        <v>41183</v>
      </c>
      <c r="H33" s="2" t="s">
        <v>217</v>
      </c>
      <c r="I33" s="2" t="s">
        <v>91</v>
      </c>
      <c r="J33" s="8">
        <v>41183</v>
      </c>
      <c r="K33" s="2" t="s">
        <v>218</v>
      </c>
    </row>
    <row r="34" spans="1:11" ht="37.5" x14ac:dyDescent="0.25">
      <c r="A34" s="2">
        <v>25</v>
      </c>
      <c r="B34" s="2" t="s">
        <v>219</v>
      </c>
      <c r="F34" s="2" t="s">
        <v>58</v>
      </c>
      <c r="G34" s="8">
        <v>41184</v>
      </c>
      <c r="H34" s="2" t="s">
        <v>220</v>
      </c>
      <c r="I34" s="2" t="s">
        <v>91</v>
      </c>
      <c r="J34" s="8">
        <v>40910</v>
      </c>
      <c r="K34" s="2" t="s">
        <v>176</v>
      </c>
    </row>
    <row r="35" spans="1:11" ht="88" x14ac:dyDescent="0.25">
      <c r="A35" s="2">
        <v>26</v>
      </c>
      <c r="B35" s="39" t="s">
        <v>223</v>
      </c>
      <c r="F35" s="2" t="s">
        <v>224</v>
      </c>
      <c r="G35" s="8">
        <v>41619</v>
      </c>
      <c r="H35" s="41" t="s">
        <v>225</v>
      </c>
    </row>
    <row r="36" spans="1:11" ht="37.5" x14ac:dyDescent="0.25">
      <c r="F36" s="2" t="s">
        <v>224</v>
      </c>
      <c r="G36" s="8">
        <v>41619</v>
      </c>
      <c r="H36" s="2" t="s">
        <v>226</v>
      </c>
      <c r="I36" s="2" t="s">
        <v>227</v>
      </c>
      <c r="J36" s="8">
        <v>41620</v>
      </c>
    </row>
    <row r="37" spans="1:11" x14ac:dyDescent="0.25">
      <c r="A37">
        <v>27</v>
      </c>
      <c r="B37" s="35" t="s">
        <v>228</v>
      </c>
      <c r="F37" s="2" t="s">
        <v>227</v>
      </c>
      <c r="G37" s="8">
        <v>41626</v>
      </c>
      <c r="H37" s="2" t="s">
        <v>229</v>
      </c>
      <c r="I37" s="2" t="s">
        <v>234</v>
      </c>
      <c r="J37" s="8">
        <v>41626</v>
      </c>
      <c r="K37" s="2" t="s">
        <v>235</v>
      </c>
    </row>
    <row r="38" spans="1:11" ht="50" x14ac:dyDescent="0.25">
      <c r="A38">
        <v>28</v>
      </c>
      <c r="B38" s="40" t="s">
        <v>236</v>
      </c>
      <c r="F38" s="2" t="s">
        <v>234</v>
      </c>
      <c r="G38" s="8">
        <v>41626</v>
      </c>
      <c r="H38" s="2" t="s">
        <v>238</v>
      </c>
      <c r="I38" s="2" t="s">
        <v>227</v>
      </c>
      <c r="J38" s="8">
        <v>41626</v>
      </c>
    </row>
    <row r="39" spans="1:11" ht="37.5" x14ac:dyDescent="0.25">
      <c r="A39">
        <v>29</v>
      </c>
      <c r="B39" s="35" t="s">
        <v>239</v>
      </c>
      <c r="F39" s="2" t="s">
        <v>227</v>
      </c>
      <c r="G39" s="8">
        <v>41627</v>
      </c>
      <c r="H39" s="2" t="s">
        <v>244</v>
      </c>
      <c r="I39" s="2" t="s">
        <v>234</v>
      </c>
      <c r="J39" s="8">
        <v>41642</v>
      </c>
      <c r="K39" s="2" t="s">
        <v>243</v>
      </c>
    </row>
    <row r="40" spans="1:11" ht="25" x14ac:dyDescent="0.25">
      <c r="A40">
        <v>30</v>
      </c>
      <c r="B40" s="35" t="s">
        <v>245</v>
      </c>
      <c r="F40" s="2" t="s">
        <v>227</v>
      </c>
      <c r="G40" s="8">
        <v>41647</v>
      </c>
      <c r="H40" s="2" t="s">
        <v>246</v>
      </c>
      <c r="I40" s="2" t="s">
        <v>234</v>
      </c>
      <c r="J40" s="8">
        <v>41647</v>
      </c>
      <c r="K40" s="2" t="s">
        <v>247</v>
      </c>
    </row>
    <row r="41" spans="1:11" ht="37.5" x14ac:dyDescent="0.25">
      <c r="A41">
        <v>31</v>
      </c>
      <c r="B41" s="67" t="s">
        <v>248</v>
      </c>
      <c r="F41" s="2" t="s">
        <v>234</v>
      </c>
      <c r="G41" s="8">
        <v>41648</v>
      </c>
      <c r="H41" s="2" t="s">
        <v>249</v>
      </c>
    </row>
    <row r="42" spans="1:11" s="72" customFormat="1" ht="165" x14ac:dyDescent="0.3">
      <c r="A42" s="71" t="s">
        <v>257</v>
      </c>
      <c r="B42" s="73" t="s">
        <v>258</v>
      </c>
      <c r="F42" s="71" t="s">
        <v>259</v>
      </c>
      <c r="G42" s="74">
        <v>42635</v>
      </c>
      <c r="H42" s="75" t="s">
        <v>272</v>
      </c>
      <c r="I42" s="88" t="s">
        <v>274</v>
      </c>
      <c r="J42" s="89">
        <v>42640</v>
      </c>
      <c r="K42" s="87" t="s">
        <v>276</v>
      </c>
    </row>
    <row r="43" spans="1:11" ht="366" x14ac:dyDescent="0.25">
      <c r="A43" t="s">
        <v>314</v>
      </c>
      <c r="B43" s="35" t="s">
        <v>315</v>
      </c>
      <c r="F43" s="2" t="s">
        <v>259</v>
      </c>
      <c r="G43" s="187">
        <v>42656</v>
      </c>
      <c r="H43" s="41" t="s">
        <v>316</v>
      </c>
    </row>
    <row r="44" spans="1:11" ht="89" x14ac:dyDescent="0.25">
      <c r="A44" t="s">
        <v>324</v>
      </c>
      <c r="B44" s="35" t="s">
        <v>325</v>
      </c>
      <c r="F44" s="2" t="s">
        <v>326</v>
      </c>
      <c r="G44" s="8">
        <v>42661</v>
      </c>
      <c r="H44" s="41" t="s">
        <v>327</v>
      </c>
    </row>
    <row r="45" spans="1:11" ht="25" x14ac:dyDescent="0.25">
      <c r="B45" s="35"/>
      <c r="F45" s="2"/>
      <c r="G45" s="8"/>
      <c r="H45" s="2" t="s">
        <v>331</v>
      </c>
    </row>
    <row r="46" spans="1:11" ht="25" x14ac:dyDescent="0.25">
      <c r="B46" s="35"/>
      <c r="F46" s="2"/>
      <c r="G46" s="8"/>
      <c r="H46" s="2" t="s">
        <v>332</v>
      </c>
    </row>
    <row r="47" spans="1:11" x14ac:dyDescent="0.25">
      <c r="B47" s="35"/>
      <c r="F47" s="2"/>
      <c r="G47" s="8"/>
      <c r="H47" s="2" t="s">
        <v>333</v>
      </c>
    </row>
    <row r="48" spans="1:11" ht="25" x14ac:dyDescent="0.25">
      <c r="B48" s="35"/>
      <c r="F48" s="2"/>
      <c r="G48" s="8"/>
      <c r="H48" s="2" t="s">
        <v>334</v>
      </c>
    </row>
    <row r="49" spans="1:11" ht="37.5" x14ac:dyDescent="0.25">
      <c r="B49" s="35"/>
      <c r="F49" s="2"/>
      <c r="G49" s="8"/>
      <c r="H49" s="2" t="s">
        <v>335</v>
      </c>
    </row>
    <row r="50" spans="1:11" ht="25" x14ac:dyDescent="0.25">
      <c r="B50" s="35"/>
      <c r="F50" s="2"/>
      <c r="G50" s="8"/>
      <c r="H50" s="2" t="s">
        <v>336</v>
      </c>
    </row>
    <row r="51" spans="1:11" ht="215" x14ac:dyDescent="0.25">
      <c r="A51" s="29" t="s">
        <v>328</v>
      </c>
      <c r="B51" s="35" t="s">
        <v>329</v>
      </c>
      <c r="F51" s="2" t="s">
        <v>259</v>
      </c>
      <c r="G51" s="8">
        <v>42662</v>
      </c>
      <c r="H51" s="41" t="s">
        <v>330</v>
      </c>
    </row>
    <row r="52" spans="1:11" ht="377.5" x14ac:dyDescent="0.25">
      <c r="A52" s="29" t="s">
        <v>340</v>
      </c>
      <c r="B52" s="35" t="s">
        <v>341</v>
      </c>
      <c r="F52" s="29" t="s">
        <v>259</v>
      </c>
      <c r="G52" s="8">
        <v>42664</v>
      </c>
      <c r="H52" s="41" t="s">
        <v>345</v>
      </c>
      <c r="I52" t="s">
        <v>274</v>
      </c>
      <c r="J52" s="8">
        <v>42678</v>
      </c>
      <c r="K52" s="214" t="s">
        <v>350</v>
      </c>
    </row>
    <row r="53" spans="1:11" ht="177.5" x14ac:dyDescent="0.25">
      <c r="A53" t="s">
        <v>346</v>
      </c>
      <c r="B53" s="35" t="s">
        <v>347</v>
      </c>
      <c r="F53" t="s">
        <v>259</v>
      </c>
      <c r="G53" s="8">
        <v>42671</v>
      </c>
      <c r="H53" s="41" t="s">
        <v>351</v>
      </c>
      <c r="K53" s="214" t="s">
        <v>352</v>
      </c>
    </row>
    <row r="54" spans="1:11" ht="37.5" x14ac:dyDescent="0.25">
      <c r="K54" s="40" t="s">
        <v>353</v>
      </c>
    </row>
    <row r="55" spans="1:11" ht="409.5" x14ac:dyDescent="0.3">
      <c r="A55" t="s">
        <v>360</v>
      </c>
      <c r="B55" s="35" t="s">
        <v>361</v>
      </c>
      <c r="F55" s="2" t="s">
        <v>259</v>
      </c>
      <c r="G55" s="8">
        <v>42683</v>
      </c>
      <c r="H55" s="214" t="s">
        <v>368</v>
      </c>
      <c r="I55" t="s">
        <v>386</v>
      </c>
      <c r="J55" s="8">
        <v>42695</v>
      </c>
      <c r="K55" s="40" t="s">
        <v>387</v>
      </c>
    </row>
    <row r="56" spans="1:11" ht="140" x14ac:dyDescent="0.25">
      <c r="A56" t="s">
        <v>370</v>
      </c>
      <c r="B56" s="35" t="s">
        <v>371</v>
      </c>
      <c r="F56" t="s">
        <v>259</v>
      </c>
      <c r="G56" s="8">
        <v>42690</v>
      </c>
      <c r="H56" s="41" t="s">
        <v>374</v>
      </c>
      <c r="I56" t="s">
        <v>386</v>
      </c>
      <c r="J56" s="8">
        <v>42695</v>
      </c>
      <c r="K56" s="40" t="s">
        <v>387</v>
      </c>
    </row>
    <row r="57" spans="1:11" ht="252.5" x14ac:dyDescent="0.25">
      <c r="A57" t="s">
        <v>375</v>
      </c>
      <c r="B57" s="35" t="s">
        <v>376</v>
      </c>
      <c r="F57" t="s">
        <v>259</v>
      </c>
      <c r="G57" s="8">
        <v>42695</v>
      </c>
      <c r="H57" s="41" t="s">
        <v>388</v>
      </c>
      <c r="I57" t="s">
        <v>386</v>
      </c>
      <c r="J57" s="8">
        <v>42696</v>
      </c>
      <c r="K57" s="40" t="s">
        <v>387</v>
      </c>
    </row>
    <row r="58" spans="1:11" ht="100.5" x14ac:dyDescent="0.25">
      <c r="A58" s="29" t="s">
        <v>390</v>
      </c>
      <c r="B58" s="35" t="s">
        <v>391</v>
      </c>
      <c r="F58" s="29" t="s">
        <v>259</v>
      </c>
      <c r="G58" s="8">
        <v>42703</v>
      </c>
      <c r="H58" s="41" t="s">
        <v>392</v>
      </c>
    </row>
    <row r="59" spans="1:11" ht="340.5" x14ac:dyDescent="0.25">
      <c r="A59" s="29" t="s">
        <v>397</v>
      </c>
      <c r="B59" s="35" t="s">
        <v>398</v>
      </c>
      <c r="F59" s="29" t="s">
        <v>259</v>
      </c>
      <c r="G59" s="8">
        <v>42706</v>
      </c>
      <c r="H59" s="41" t="s">
        <v>416</v>
      </c>
    </row>
    <row r="60" spans="1:11" ht="25.5" x14ac:dyDescent="0.3">
      <c r="H60" s="41" t="s">
        <v>402</v>
      </c>
      <c r="I60" t="s">
        <v>386</v>
      </c>
      <c r="J60" s="8">
        <v>42710</v>
      </c>
      <c r="K60" s="40" t="s">
        <v>418</v>
      </c>
    </row>
    <row r="61" spans="1:11" ht="25" x14ac:dyDescent="0.25">
      <c r="H61" s="67" t="s">
        <v>403</v>
      </c>
    </row>
    <row r="62" spans="1:11" ht="253.5" x14ac:dyDescent="0.25">
      <c r="A62" s="29" t="s">
        <v>419</v>
      </c>
      <c r="B62" s="35" t="s">
        <v>420</v>
      </c>
      <c r="F62" s="29" t="s">
        <v>259</v>
      </c>
      <c r="G62" s="8">
        <v>42710</v>
      </c>
      <c r="H62" s="253" t="s">
        <v>426</v>
      </c>
    </row>
    <row r="63" spans="1:11" ht="50.5" x14ac:dyDescent="0.25">
      <c r="A63" s="29" t="s">
        <v>436</v>
      </c>
      <c r="B63" s="35" t="s">
        <v>437</v>
      </c>
      <c r="F63" s="29" t="s">
        <v>259</v>
      </c>
      <c r="G63" s="8">
        <v>42719</v>
      </c>
      <c r="H63" s="41" t="s">
        <v>438</v>
      </c>
      <c r="I63" s="29" t="s">
        <v>386</v>
      </c>
      <c r="J63" s="8">
        <v>42720</v>
      </c>
      <c r="K63" s="29" t="s">
        <v>439</v>
      </c>
    </row>
    <row r="64" spans="1:11" ht="89.5" x14ac:dyDescent="0.25">
      <c r="A64" s="29" t="s">
        <v>440</v>
      </c>
      <c r="B64" s="35" t="s">
        <v>441</v>
      </c>
      <c r="F64" s="29" t="s">
        <v>326</v>
      </c>
      <c r="G64" s="8">
        <v>42720</v>
      </c>
      <c r="H64" s="214" t="s">
        <v>442</v>
      </c>
    </row>
    <row r="65" spans="1:12" ht="37.5" x14ac:dyDescent="0.25">
      <c r="F65" s="29" t="s">
        <v>326</v>
      </c>
      <c r="G65" s="8">
        <v>42725</v>
      </c>
      <c r="H65" s="214" t="s">
        <v>444</v>
      </c>
      <c r="I65" s="29" t="s">
        <v>259</v>
      </c>
      <c r="J65" s="8">
        <v>42725</v>
      </c>
      <c r="K65" s="29" t="s">
        <v>445</v>
      </c>
    </row>
    <row r="66" spans="1:12" ht="38" x14ac:dyDescent="0.25">
      <c r="A66" s="29" t="s">
        <v>446</v>
      </c>
      <c r="B66" s="35" t="s">
        <v>447</v>
      </c>
      <c r="F66" s="29" t="s">
        <v>259</v>
      </c>
      <c r="G66" s="8">
        <v>42738</v>
      </c>
      <c r="H66" s="41" t="s">
        <v>448</v>
      </c>
      <c r="I66" s="29" t="s">
        <v>386</v>
      </c>
      <c r="J66" s="8">
        <v>42740</v>
      </c>
      <c r="K66" s="214" t="s">
        <v>449</v>
      </c>
    </row>
    <row r="67" spans="1:12" ht="178.5" x14ac:dyDescent="0.25">
      <c r="A67" s="29" t="s">
        <v>457</v>
      </c>
      <c r="B67" s="35" t="s">
        <v>458</v>
      </c>
      <c r="F67" s="29" t="s">
        <v>259</v>
      </c>
      <c r="G67" s="8">
        <v>42747</v>
      </c>
      <c r="H67" s="41" t="s">
        <v>464</v>
      </c>
      <c r="I67" s="29" t="s">
        <v>386</v>
      </c>
      <c r="J67" s="8">
        <v>42748</v>
      </c>
      <c r="K67" s="29" t="s">
        <v>465</v>
      </c>
    </row>
    <row r="68" spans="1:12" x14ac:dyDescent="0.25">
      <c r="E68" t="s">
        <v>475</v>
      </c>
      <c r="F68" s="29" t="s">
        <v>386</v>
      </c>
      <c r="G68" s="8">
        <v>42767</v>
      </c>
      <c r="H68" s="214" t="s">
        <v>466</v>
      </c>
      <c r="I68" s="29" t="s">
        <v>471</v>
      </c>
      <c r="J68" s="8">
        <v>42769</v>
      </c>
      <c r="K68" s="29" t="s">
        <v>472</v>
      </c>
    </row>
    <row r="69" spans="1:12" ht="37.5" x14ac:dyDescent="0.25">
      <c r="H69" s="214" t="s">
        <v>467</v>
      </c>
      <c r="K69" s="214" t="s">
        <v>474</v>
      </c>
    </row>
    <row r="70" spans="1:12" ht="25" x14ac:dyDescent="0.25">
      <c r="H70" s="214" t="s">
        <v>468</v>
      </c>
      <c r="K70" s="29" t="s">
        <v>473</v>
      </c>
    </row>
    <row r="71" spans="1:12" ht="25" x14ac:dyDescent="0.25">
      <c r="A71" t="s">
        <v>475</v>
      </c>
      <c r="F71" t="s">
        <v>386</v>
      </c>
      <c r="G71" s="8">
        <v>42782</v>
      </c>
      <c r="H71" s="214" t="s">
        <v>476</v>
      </c>
      <c r="I71" s="29" t="s">
        <v>259</v>
      </c>
      <c r="J71" s="8">
        <v>42790</v>
      </c>
      <c r="K71" s="29" t="s">
        <v>472</v>
      </c>
    </row>
    <row r="72" spans="1:12" ht="50" x14ac:dyDescent="0.25">
      <c r="A72" t="s">
        <v>475</v>
      </c>
      <c r="F72" t="s">
        <v>386</v>
      </c>
      <c r="G72" s="8">
        <v>42782</v>
      </c>
      <c r="H72" s="214" t="s">
        <v>479</v>
      </c>
      <c r="K72" s="29" t="s">
        <v>486</v>
      </c>
    </row>
    <row r="73" spans="1:12" ht="25.5" x14ac:dyDescent="0.3">
      <c r="A73" t="s">
        <v>475</v>
      </c>
      <c r="F73" t="s">
        <v>386</v>
      </c>
      <c r="G73" s="8">
        <v>42782</v>
      </c>
      <c r="H73" s="214" t="s">
        <v>478</v>
      </c>
      <c r="K73" s="214" t="s">
        <v>485</v>
      </c>
    </row>
    <row r="74" spans="1:12" ht="25" x14ac:dyDescent="0.25">
      <c r="A74" t="s">
        <v>475</v>
      </c>
      <c r="F74" t="s">
        <v>386</v>
      </c>
      <c r="G74" s="8">
        <v>42782</v>
      </c>
      <c r="H74" s="214" t="s">
        <v>477</v>
      </c>
      <c r="K74" s="29" t="s">
        <v>472</v>
      </c>
    </row>
    <row r="75" spans="1:12" ht="62.5" x14ac:dyDescent="0.25">
      <c r="A75" s="29" t="s">
        <v>481</v>
      </c>
      <c r="F75" s="29" t="s">
        <v>386</v>
      </c>
      <c r="G75" s="8">
        <v>42790</v>
      </c>
      <c r="H75" s="214" t="s">
        <v>482</v>
      </c>
      <c r="I75" s="29" t="s">
        <v>259</v>
      </c>
      <c r="J75" s="8">
        <v>42790</v>
      </c>
      <c r="K75" s="29" t="s">
        <v>483</v>
      </c>
    </row>
    <row r="76" spans="1:12" ht="63.5" x14ac:dyDescent="0.25">
      <c r="A76" s="29" t="s">
        <v>488</v>
      </c>
      <c r="F76" s="29" t="s">
        <v>259</v>
      </c>
      <c r="G76" s="8">
        <v>42794</v>
      </c>
      <c r="H76" s="214" t="s">
        <v>489</v>
      </c>
    </row>
    <row r="77" spans="1:12" s="289" customFormat="1" ht="75.5" x14ac:dyDescent="0.25">
      <c r="A77" s="288" t="s">
        <v>502</v>
      </c>
      <c r="F77" s="288" t="s">
        <v>259</v>
      </c>
      <c r="G77" s="290">
        <v>42801</v>
      </c>
      <c r="H77" s="291" t="s">
        <v>504</v>
      </c>
      <c r="I77" s="289" t="s">
        <v>505</v>
      </c>
      <c r="J77" s="290">
        <v>42801</v>
      </c>
      <c r="K77" s="289" t="s">
        <v>506</v>
      </c>
    </row>
    <row r="78" spans="1:12" ht="291" x14ac:dyDescent="0.25">
      <c r="A78" s="26" t="s">
        <v>583</v>
      </c>
      <c r="F78" s="26" t="s">
        <v>259</v>
      </c>
      <c r="G78" s="8">
        <v>42801</v>
      </c>
      <c r="H78" s="41" t="s">
        <v>539</v>
      </c>
      <c r="I78" t="s">
        <v>326</v>
      </c>
      <c r="J78" s="8">
        <v>42863</v>
      </c>
      <c r="K78" s="408" t="s">
        <v>639</v>
      </c>
    </row>
    <row r="79" spans="1:12" ht="165.5" x14ac:dyDescent="0.25">
      <c r="A79" s="26" t="s">
        <v>257</v>
      </c>
      <c r="F79" s="26" t="s">
        <v>259</v>
      </c>
      <c r="G79" s="8">
        <v>42802</v>
      </c>
      <c r="H79" s="2" t="s">
        <v>584</v>
      </c>
      <c r="I79" t="s">
        <v>326</v>
      </c>
      <c r="J79" s="8">
        <v>42866</v>
      </c>
      <c r="K79" s="408" t="s">
        <v>644</v>
      </c>
      <c r="L79" t="s">
        <v>645</v>
      </c>
    </row>
    <row r="80" spans="1:12" ht="25" x14ac:dyDescent="0.25">
      <c r="F80" s="26" t="s">
        <v>326</v>
      </c>
      <c r="G80" s="8">
        <v>42866</v>
      </c>
      <c r="H80" s="40" t="s">
        <v>580</v>
      </c>
      <c r="I80" s="29" t="s">
        <v>259</v>
      </c>
      <c r="J80" s="8">
        <v>42887</v>
      </c>
      <c r="K80" s="26" t="s">
        <v>589</v>
      </c>
    </row>
    <row r="81" spans="1:11" ht="88" x14ac:dyDescent="0.25">
      <c r="F81" s="26" t="s">
        <v>326</v>
      </c>
      <c r="G81" s="8">
        <v>42866</v>
      </c>
      <c r="H81" s="214" t="s">
        <v>581</v>
      </c>
      <c r="K81" s="408" t="s">
        <v>638</v>
      </c>
    </row>
    <row r="82" spans="1:11" ht="25" x14ac:dyDescent="0.25">
      <c r="H82" s="214" t="s">
        <v>582</v>
      </c>
    </row>
    <row r="83" spans="1:11" ht="113" x14ac:dyDescent="0.25">
      <c r="A83" s="29" t="s">
        <v>538</v>
      </c>
      <c r="F83" s="29" t="s">
        <v>259</v>
      </c>
      <c r="G83" s="8">
        <v>42887</v>
      </c>
      <c r="H83" s="41" t="s">
        <v>626</v>
      </c>
      <c r="K83" s="408" t="s">
        <v>646</v>
      </c>
    </row>
    <row r="84" spans="1:11" ht="25.5" x14ac:dyDescent="0.25">
      <c r="H84" s="41" t="s">
        <v>623</v>
      </c>
      <c r="K84" t="s">
        <v>661</v>
      </c>
    </row>
    <row r="85" spans="1:11" ht="25.5" x14ac:dyDescent="0.25">
      <c r="H85" s="41" t="s">
        <v>624</v>
      </c>
      <c r="K85" t="s">
        <v>661</v>
      </c>
    </row>
    <row r="86" spans="1:11" ht="25.5" x14ac:dyDescent="0.25">
      <c r="H86" s="41" t="s">
        <v>625</v>
      </c>
      <c r="K86" s="214" t="s">
        <v>663</v>
      </c>
    </row>
    <row r="87" spans="1:11" ht="38" x14ac:dyDescent="0.25">
      <c r="H87" s="41" t="s">
        <v>628</v>
      </c>
      <c r="K87" s="29" t="s">
        <v>661</v>
      </c>
    </row>
    <row r="88" spans="1:11" ht="38" x14ac:dyDescent="0.25">
      <c r="H88" s="214" t="s">
        <v>629</v>
      </c>
      <c r="K88" s="29" t="s">
        <v>661</v>
      </c>
    </row>
    <row r="89" spans="1:11" ht="38" x14ac:dyDescent="0.25">
      <c r="H89" s="41" t="s">
        <v>630</v>
      </c>
      <c r="K89" s="29" t="s">
        <v>661</v>
      </c>
    </row>
    <row r="90" spans="1:11" ht="63" x14ac:dyDescent="0.25">
      <c r="H90" s="41" t="s">
        <v>636</v>
      </c>
      <c r="K90" s="29" t="s">
        <v>661</v>
      </c>
    </row>
    <row r="91" spans="1:11" ht="38" x14ac:dyDescent="0.25">
      <c r="H91" s="41" t="s">
        <v>637</v>
      </c>
      <c r="I91" t="s">
        <v>642</v>
      </c>
      <c r="J91" s="8">
        <v>42902</v>
      </c>
      <c r="K91" s="29" t="s">
        <v>661</v>
      </c>
    </row>
    <row r="92" spans="1:11" x14ac:dyDescent="0.25">
      <c r="F92" t="s">
        <v>642</v>
      </c>
      <c r="G92" s="8">
        <v>42902</v>
      </c>
      <c r="H92" s="214" t="s">
        <v>643</v>
      </c>
      <c r="K92" s="29" t="s">
        <v>666</v>
      </c>
    </row>
    <row r="93" spans="1:11" ht="51" x14ac:dyDescent="0.25">
      <c r="H93" s="214" t="s">
        <v>662</v>
      </c>
      <c r="K93" s="214" t="s">
        <v>669</v>
      </c>
    </row>
    <row r="94" spans="1:11" ht="88.5" x14ac:dyDescent="0.25">
      <c r="F94" t="s">
        <v>259</v>
      </c>
      <c r="G94" s="8">
        <v>42913</v>
      </c>
      <c r="H94" s="41" t="s">
        <v>667</v>
      </c>
      <c r="I94" t="s">
        <v>642</v>
      </c>
      <c r="J94" t="s">
        <v>668</v>
      </c>
      <c r="K94" s="29" t="s">
        <v>661</v>
      </c>
    </row>
    <row r="95" spans="1:11" x14ac:dyDescent="0.25">
      <c r="F95" t="s">
        <v>671</v>
      </c>
      <c r="G95" s="8">
        <v>42915</v>
      </c>
      <c r="H95" s="214" t="s">
        <v>672</v>
      </c>
    </row>
    <row r="96" spans="1:11" ht="25" x14ac:dyDescent="0.25">
      <c r="F96" t="s">
        <v>671</v>
      </c>
      <c r="G96" s="8">
        <v>42919</v>
      </c>
      <c r="H96" s="214" t="s">
        <v>677</v>
      </c>
    </row>
    <row r="97" spans="1:11" ht="38" x14ac:dyDescent="0.25">
      <c r="F97" t="s">
        <v>259</v>
      </c>
      <c r="G97" s="8">
        <v>42942</v>
      </c>
      <c r="H97" s="214" t="s">
        <v>678</v>
      </c>
      <c r="I97" t="s">
        <v>386</v>
      </c>
      <c r="J97" s="8">
        <v>42943</v>
      </c>
      <c r="K97" t="s">
        <v>661</v>
      </c>
    </row>
    <row r="98" spans="1:11" ht="62.5" x14ac:dyDescent="0.25">
      <c r="A98" t="s">
        <v>440</v>
      </c>
      <c r="F98" t="s">
        <v>326</v>
      </c>
      <c r="G98" s="8">
        <v>43304</v>
      </c>
      <c r="H98" s="214" t="s">
        <v>694</v>
      </c>
    </row>
    <row r="99" spans="1:11" x14ac:dyDescent="0.25">
      <c r="F99" s="630" t="s">
        <v>888</v>
      </c>
      <c r="G99" s="8">
        <v>43420</v>
      </c>
      <c r="H99" s="214" t="s">
        <v>889</v>
      </c>
    </row>
    <row r="100" spans="1:11" ht="37.5" x14ac:dyDescent="0.25">
      <c r="A100" t="s">
        <v>457</v>
      </c>
      <c r="B100" s="40" t="s">
        <v>891</v>
      </c>
      <c r="F100" s="630" t="s">
        <v>892</v>
      </c>
      <c r="G100" s="8">
        <v>43473</v>
      </c>
      <c r="H100" s="214" t="s">
        <v>898</v>
      </c>
    </row>
    <row r="102" spans="1:11" ht="25" x14ac:dyDescent="0.25">
      <c r="A102" s="630" t="s">
        <v>899</v>
      </c>
      <c r="B102" s="40" t="s">
        <v>906</v>
      </c>
      <c r="F102" s="630" t="s">
        <v>900</v>
      </c>
      <c r="G102" s="8">
        <v>43476</v>
      </c>
      <c r="H102" s="214" t="s">
        <v>901</v>
      </c>
      <c r="I102" t="s">
        <v>902</v>
      </c>
      <c r="J102" s="8">
        <v>43488</v>
      </c>
      <c r="K102" t="s">
        <v>903</v>
      </c>
    </row>
    <row r="103" spans="1:11" x14ac:dyDescent="0.25">
      <c r="K103" s="629" t="s">
        <v>904</v>
      </c>
    </row>
    <row r="104" spans="1:11" x14ac:dyDescent="0.25">
      <c r="K104" t="s">
        <v>905</v>
      </c>
    </row>
    <row r="106" spans="1:11" ht="25" x14ac:dyDescent="0.25">
      <c r="A106" s="630" t="s">
        <v>907</v>
      </c>
      <c r="B106" s="40" t="s">
        <v>908</v>
      </c>
      <c r="F106" s="630" t="s">
        <v>900</v>
      </c>
      <c r="G106" s="8">
        <v>43655</v>
      </c>
      <c r="H106" s="214" t="s">
        <v>909</v>
      </c>
      <c r="I106" t="s">
        <v>902</v>
      </c>
      <c r="J106" s="8">
        <v>43658</v>
      </c>
      <c r="K106" t="s">
        <v>661</v>
      </c>
    </row>
    <row r="107" spans="1:11" ht="64.5" x14ac:dyDescent="0.3">
      <c r="F107" t="s">
        <v>912</v>
      </c>
      <c r="G107" s="8">
        <v>44126</v>
      </c>
      <c r="H107" s="214" t="s">
        <v>913</v>
      </c>
      <c r="I107" s="630" t="s">
        <v>917</v>
      </c>
      <c r="J107" s="8">
        <v>44163</v>
      </c>
      <c r="K107" s="214" t="s">
        <v>918</v>
      </c>
    </row>
  </sheetData>
  <phoneticPr fontId="2" type="noConversion"/>
  <hyperlinks>
    <hyperlink ref="B13" r:id="rId1"/>
    <hyperlink ref="B14" r:id="rId2"/>
    <hyperlink ref="B24" r:id="rId3"/>
    <hyperlink ref="B25" r:id="rId4"/>
    <hyperlink ref="B35" r:id="rId5"/>
    <hyperlink ref="B37" r:id="rId6"/>
    <hyperlink ref="B39" r:id="rId7"/>
    <hyperlink ref="B40" r:id="rId8"/>
    <hyperlink ref="B42" r:id="rId9"/>
    <hyperlink ref="B43" r:id="rId10"/>
    <hyperlink ref="B44" r:id="rId11"/>
    <hyperlink ref="B51" r:id="rId12"/>
    <hyperlink ref="B52" r:id="rId13"/>
    <hyperlink ref="B53" r:id="rId14"/>
    <hyperlink ref="B55" r:id="rId15"/>
    <hyperlink ref="B56" r:id="rId16"/>
    <hyperlink ref="B57" r:id="rId17"/>
    <hyperlink ref="B58" r:id="rId18"/>
    <hyperlink ref="B59" r:id="rId19"/>
    <hyperlink ref="H61" r:id="rId20"/>
    <hyperlink ref="B62" r:id="rId21"/>
    <hyperlink ref="B63" r:id="rId22"/>
    <hyperlink ref="B64" r:id="rId23"/>
    <hyperlink ref="B66" r:id="rId24"/>
    <hyperlink ref="B67" r:id="rId25"/>
  </hyperlinks>
  <pageMargins left="0.74803149606299213" right="0.74803149606299213" top="0.98425196850393704" bottom="0.98425196850393704" header="0.51181102362204722" footer="0.51181102362204722"/>
  <pageSetup paperSize="9" scale="58" fitToWidth="2" orientation="landscape" r:id="rId26"/>
  <headerFooter alignWithMargins="0">
    <oddHeader>&amp;L&amp;Z&amp;F  [&amp;A]</oddHeader>
    <oddFooter>&amp;LPage &amp;P of &amp;N&amp;R&amp;T &amp;D</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M35"/>
  <sheetViews>
    <sheetView workbookViewId="0">
      <selection activeCell="A7" sqref="A7:L34"/>
    </sheetView>
  </sheetViews>
  <sheetFormatPr defaultColWidth="9.1796875" defaultRowHeight="12.5" x14ac:dyDescent="0.25"/>
  <cols>
    <col min="1" max="10" width="9.1796875" style="421"/>
    <col min="11" max="11" width="20.81640625" style="421" customWidth="1"/>
    <col min="12" max="12" width="0.1796875" style="421" hidden="1" customWidth="1"/>
    <col min="13" max="13" width="9.1796875" style="426"/>
    <col min="14" max="16384" width="9.1796875" style="421"/>
  </cols>
  <sheetData>
    <row r="6" spans="1:13" ht="15" thickBot="1" x14ac:dyDescent="0.4">
      <c r="A6" s="417"/>
      <c r="B6" s="418"/>
      <c r="C6" s="418"/>
      <c r="D6" s="418"/>
      <c r="E6" s="418"/>
      <c r="F6" s="418"/>
      <c r="G6" s="417"/>
      <c r="H6" s="417"/>
      <c r="I6" s="417"/>
      <c r="J6" s="417"/>
      <c r="K6" s="417"/>
      <c r="L6" s="419"/>
      <c r="M6" s="420"/>
    </row>
    <row r="7" spans="1:13" ht="52.75" customHeight="1" x14ac:dyDescent="0.25">
      <c r="A7" s="663" t="s">
        <v>919</v>
      </c>
      <c r="B7" s="664"/>
      <c r="C7" s="664"/>
      <c r="D7" s="664"/>
      <c r="E7" s="664"/>
      <c r="F7" s="664"/>
      <c r="G7" s="664"/>
      <c r="H7" s="664"/>
      <c r="I7" s="664"/>
      <c r="J7" s="664"/>
      <c r="K7" s="664"/>
      <c r="L7" s="665"/>
      <c r="M7" s="422"/>
    </row>
    <row r="8" spans="1:13" ht="34.5" customHeight="1" x14ac:dyDescent="0.25">
      <c r="A8" s="666"/>
      <c r="B8" s="667"/>
      <c r="C8" s="667"/>
      <c r="D8" s="667"/>
      <c r="E8" s="667"/>
      <c r="F8" s="667"/>
      <c r="G8" s="667"/>
      <c r="H8" s="667"/>
      <c r="I8" s="667"/>
      <c r="J8" s="667"/>
      <c r="K8" s="667"/>
      <c r="L8" s="668"/>
      <c r="M8" s="422"/>
    </row>
    <row r="9" spans="1:13" ht="17.5" customHeight="1" x14ac:dyDescent="0.25">
      <c r="A9" s="666"/>
      <c r="B9" s="667"/>
      <c r="C9" s="667"/>
      <c r="D9" s="667"/>
      <c r="E9" s="667"/>
      <c r="F9" s="667"/>
      <c r="G9" s="667"/>
      <c r="H9" s="667"/>
      <c r="I9" s="667"/>
      <c r="J9" s="667"/>
      <c r="K9" s="667"/>
      <c r="L9" s="668"/>
      <c r="M9" s="422"/>
    </row>
    <row r="10" spans="1:13" ht="37.5" customHeight="1" x14ac:dyDescent="0.25">
      <c r="A10" s="666"/>
      <c r="B10" s="667"/>
      <c r="C10" s="667"/>
      <c r="D10" s="667"/>
      <c r="E10" s="667"/>
      <c r="F10" s="667"/>
      <c r="G10" s="667"/>
      <c r="H10" s="667"/>
      <c r="I10" s="667"/>
      <c r="J10" s="667"/>
      <c r="K10" s="667"/>
      <c r="L10" s="668"/>
      <c r="M10" s="422"/>
    </row>
    <row r="11" spans="1:13" x14ac:dyDescent="0.25">
      <c r="A11" s="666"/>
      <c r="B11" s="667"/>
      <c r="C11" s="667"/>
      <c r="D11" s="667"/>
      <c r="E11" s="667"/>
      <c r="F11" s="667"/>
      <c r="G11" s="667"/>
      <c r="H11" s="667"/>
      <c r="I11" s="667"/>
      <c r="J11" s="667"/>
      <c r="K11" s="667"/>
      <c r="L11" s="668"/>
      <c r="M11" s="422"/>
    </row>
    <row r="12" spans="1:13" ht="28.4" customHeight="1" x14ac:dyDescent="0.25">
      <c r="A12" s="666"/>
      <c r="B12" s="667"/>
      <c r="C12" s="667"/>
      <c r="D12" s="667"/>
      <c r="E12" s="667"/>
      <c r="F12" s="667"/>
      <c r="G12" s="667"/>
      <c r="H12" s="667"/>
      <c r="I12" s="667"/>
      <c r="J12" s="667"/>
      <c r="K12" s="667"/>
      <c r="L12" s="668"/>
      <c r="M12" s="422"/>
    </row>
    <row r="13" spans="1:13" ht="53.15" customHeight="1" x14ac:dyDescent="0.25">
      <c r="A13" s="666"/>
      <c r="B13" s="667"/>
      <c r="C13" s="667"/>
      <c r="D13" s="667"/>
      <c r="E13" s="667"/>
      <c r="F13" s="667"/>
      <c r="G13" s="667"/>
      <c r="H13" s="667"/>
      <c r="I13" s="667"/>
      <c r="J13" s="667"/>
      <c r="K13" s="667"/>
      <c r="L13" s="668"/>
      <c r="M13" s="422"/>
    </row>
    <row r="14" spans="1:13" ht="68.5" customHeight="1" x14ac:dyDescent="0.25">
      <c r="A14" s="666"/>
      <c r="B14" s="667"/>
      <c r="C14" s="667"/>
      <c r="D14" s="667"/>
      <c r="E14" s="667"/>
      <c r="F14" s="667"/>
      <c r="G14" s="667"/>
      <c r="H14" s="667"/>
      <c r="I14" s="667"/>
      <c r="J14" s="667"/>
      <c r="K14" s="667"/>
      <c r="L14" s="668"/>
      <c r="M14" s="422"/>
    </row>
    <row r="15" spans="1:13" ht="69.75" customHeight="1" x14ac:dyDescent="0.25">
      <c r="A15" s="666"/>
      <c r="B15" s="667"/>
      <c r="C15" s="667"/>
      <c r="D15" s="667"/>
      <c r="E15" s="667"/>
      <c r="F15" s="667"/>
      <c r="G15" s="667"/>
      <c r="H15" s="667"/>
      <c r="I15" s="667"/>
      <c r="J15" s="667"/>
      <c r="K15" s="667"/>
      <c r="L15" s="668"/>
      <c r="M15" s="422"/>
    </row>
    <row r="16" spans="1:13" ht="54" customHeight="1" x14ac:dyDescent="0.25">
      <c r="A16" s="666"/>
      <c r="B16" s="667"/>
      <c r="C16" s="667"/>
      <c r="D16" s="667"/>
      <c r="E16" s="667"/>
      <c r="F16" s="667"/>
      <c r="G16" s="667"/>
      <c r="H16" s="667"/>
      <c r="I16" s="667"/>
      <c r="J16" s="667"/>
      <c r="K16" s="667"/>
      <c r="L16" s="668"/>
      <c r="M16" s="422"/>
    </row>
    <row r="17" spans="1:13" ht="28.4" customHeight="1" x14ac:dyDescent="0.25">
      <c r="A17" s="666"/>
      <c r="B17" s="667"/>
      <c r="C17" s="667"/>
      <c r="D17" s="667"/>
      <c r="E17" s="667"/>
      <c r="F17" s="667"/>
      <c r="G17" s="667"/>
      <c r="H17" s="667"/>
      <c r="I17" s="667"/>
      <c r="J17" s="667"/>
      <c r="K17" s="667"/>
      <c r="L17" s="668"/>
      <c r="M17" s="422"/>
    </row>
    <row r="18" spans="1:13" ht="53.5" customHeight="1" x14ac:dyDescent="0.25">
      <c r="A18" s="666"/>
      <c r="B18" s="667"/>
      <c r="C18" s="667"/>
      <c r="D18" s="667"/>
      <c r="E18" s="667"/>
      <c r="F18" s="667"/>
      <c r="G18" s="667"/>
      <c r="H18" s="667"/>
      <c r="I18" s="667"/>
      <c r="J18" s="667"/>
      <c r="K18" s="667"/>
      <c r="L18" s="668"/>
      <c r="M18" s="422"/>
    </row>
    <row r="19" spans="1:13" ht="39.75" customHeight="1" x14ac:dyDescent="0.25">
      <c r="A19" s="666"/>
      <c r="B19" s="667"/>
      <c r="C19" s="667"/>
      <c r="D19" s="667"/>
      <c r="E19" s="667"/>
      <c r="F19" s="667"/>
      <c r="G19" s="667"/>
      <c r="H19" s="667"/>
      <c r="I19" s="667"/>
      <c r="J19" s="667"/>
      <c r="K19" s="667"/>
      <c r="L19" s="668"/>
      <c r="M19" s="422"/>
    </row>
    <row r="20" spans="1:13" ht="41.15" customHeight="1" x14ac:dyDescent="0.25">
      <c r="A20" s="666"/>
      <c r="B20" s="667"/>
      <c r="C20" s="667"/>
      <c r="D20" s="667"/>
      <c r="E20" s="667"/>
      <c r="F20" s="667"/>
      <c r="G20" s="667"/>
      <c r="H20" s="667"/>
      <c r="I20" s="667"/>
      <c r="J20" s="667"/>
      <c r="K20" s="667"/>
      <c r="L20" s="668"/>
      <c r="M20" s="422"/>
    </row>
    <row r="21" spans="1:13" ht="26.5" customHeight="1" x14ac:dyDescent="0.25">
      <c r="A21" s="666"/>
      <c r="B21" s="667"/>
      <c r="C21" s="667"/>
      <c r="D21" s="667"/>
      <c r="E21" s="667"/>
      <c r="F21" s="667"/>
      <c r="G21" s="667"/>
      <c r="H21" s="667"/>
      <c r="I21" s="667"/>
      <c r="J21" s="667"/>
      <c r="K21" s="667"/>
      <c r="L21" s="668"/>
      <c r="M21" s="422"/>
    </row>
    <row r="22" spans="1:13" ht="15.75" customHeight="1" x14ac:dyDescent="0.25">
      <c r="A22" s="666"/>
      <c r="B22" s="667"/>
      <c r="C22" s="667"/>
      <c r="D22" s="667"/>
      <c r="E22" s="667"/>
      <c r="F22" s="667"/>
      <c r="G22" s="667"/>
      <c r="H22" s="667"/>
      <c r="I22" s="667"/>
      <c r="J22" s="667"/>
      <c r="K22" s="667"/>
      <c r="L22" s="668"/>
      <c r="M22" s="422"/>
    </row>
    <row r="23" spans="1:13" x14ac:dyDescent="0.25">
      <c r="A23" s="666"/>
      <c r="B23" s="667"/>
      <c r="C23" s="667"/>
      <c r="D23" s="667"/>
      <c r="E23" s="667"/>
      <c r="F23" s="667"/>
      <c r="G23" s="667"/>
      <c r="H23" s="667"/>
      <c r="I23" s="667"/>
      <c r="J23" s="667"/>
      <c r="K23" s="667"/>
      <c r="L23" s="668"/>
      <c r="M23" s="423"/>
    </row>
    <row r="24" spans="1:13" x14ac:dyDescent="0.25">
      <c r="A24" s="666"/>
      <c r="B24" s="667"/>
      <c r="C24" s="667"/>
      <c r="D24" s="667"/>
      <c r="E24" s="667"/>
      <c r="F24" s="667"/>
      <c r="G24" s="667"/>
      <c r="H24" s="667"/>
      <c r="I24" s="667"/>
      <c r="J24" s="667"/>
      <c r="K24" s="667"/>
      <c r="L24" s="668"/>
      <c r="M24" s="423"/>
    </row>
    <row r="25" spans="1:13" ht="31.5" customHeight="1" x14ac:dyDescent="0.25">
      <c r="A25" s="666"/>
      <c r="B25" s="667"/>
      <c r="C25" s="667"/>
      <c r="D25" s="667"/>
      <c r="E25" s="667"/>
      <c r="F25" s="667"/>
      <c r="G25" s="667"/>
      <c r="H25" s="667"/>
      <c r="I25" s="667"/>
      <c r="J25" s="667"/>
      <c r="K25" s="667"/>
      <c r="L25" s="668"/>
      <c r="M25" s="422"/>
    </row>
    <row r="26" spans="1:13" s="425" customFormat="1" ht="45" customHeight="1" x14ac:dyDescent="0.25">
      <c r="A26" s="666"/>
      <c r="B26" s="667"/>
      <c r="C26" s="667"/>
      <c r="D26" s="667"/>
      <c r="E26" s="667"/>
      <c r="F26" s="667"/>
      <c r="G26" s="667"/>
      <c r="H26" s="667"/>
      <c r="I26" s="667"/>
      <c r="J26" s="667"/>
      <c r="K26" s="667"/>
      <c r="L26" s="668"/>
      <c r="M26" s="424"/>
    </row>
    <row r="27" spans="1:13" x14ac:dyDescent="0.25">
      <c r="A27" s="666"/>
      <c r="B27" s="667"/>
      <c r="C27" s="667"/>
      <c r="D27" s="667"/>
      <c r="E27" s="667"/>
      <c r="F27" s="667"/>
      <c r="G27" s="667"/>
      <c r="H27" s="667"/>
      <c r="I27" s="667"/>
      <c r="J27" s="667"/>
      <c r="K27" s="667"/>
      <c r="L27" s="668"/>
      <c r="M27" s="422"/>
    </row>
    <row r="28" spans="1:13" x14ac:dyDescent="0.25">
      <c r="A28" s="666"/>
      <c r="B28" s="667"/>
      <c r="C28" s="667"/>
      <c r="D28" s="667"/>
      <c r="E28" s="667"/>
      <c r="F28" s="667"/>
      <c r="G28" s="667"/>
      <c r="H28" s="667"/>
      <c r="I28" s="667"/>
      <c r="J28" s="667"/>
      <c r="K28" s="667"/>
      <c r="L28" s="668"/>
      <c r="M28" s="422"/>
    </row>
    <row r="29" spans="1:13" x14ac:dyDescent="0.25">
      <c r="A29" s="666"/>
      <c r="B29" s="667"/>
      <c r="C29" s="667"/>
      <c r="D29" s="667"/>
      <c r="E29" s="667"/>
      <c r="F29" s="667"/>
      <c r="G29" s="667"/>
      <c r="H29" s="667"/>
      <c r="I29" s="667"/>
      <c r="J29" s="667"/>
      <c r="K29" s="667"/>
      <c r="L29" s="668"/>
      <c r="M29" s="422"/>
    </row>
    <row r="30" spans="1:13" x14ac:dyDescent="0.25">
      <c r="A30" s="666"/>
      <c r="B30" s="667"/>
      <c r="C30" s="667"/>
      <c r="D30" s="667"/>
      <c r="E30" s="667"/>
      <c r="F30" s="667"/>
      <c r="G30" s="667"/>
      <c r="H30" s="667"/>
      <c r="I30" s="667"/>
      <c r="J30" s="667"/>
      <c r="K30" s="667"/>
      <c r="L30" s="668"/>
      <c r="M30" s="422"/>
    </row>
    <row r="31" spans="1:13" x14ac:dyDescent="0.25">
      <c r="A31" s="666"/>
      <c r="B31" s="667"/>
      <c r="C31" s="667"/>
      <c r="D31" s="667"/>
      <c r="E31" s="667"/>
      <c r="F31" s="667"/>
      <c r="G31" s="667"/>
      <c r="H31" s="667"/>
      <c r="I31" s="667"/>
      <c r="J31" s="667"/>
      <c r="K31" s="667"/>
      <c r="L31" s="668"/>
      <c r="M31" s="422"/>
    </row>
    <row r="32" spans="1:13" ht="33" customHeight="1" x14ac:dyDescent="0.25">
      <c r="A32" s="666"/>
      <c r="B32" s="667"/>
      <c r="C32" s="667"/>
      <c r="D32" s="667"/>
      <c r="E32" s="667"/>
      <c r="F32" s="667"/>
      <c r="G32" s="667"/>
      <c r="H32" s="667"/>
      <c r="I32" s="667"/>
      <c r="J32" s="667"/>
      <c r="K32" s="667"/>
      <c r="L32" s="668"/>
      <c r="M32" s="422"/>
    </row>
    <row r="33" spans="1:13" x14ac:dyDescent="0.25">
      <c r="A33" s="666"/>
      <c r="B33" s="667"/>
      <c r="C33" s="667"/>
      <c r="D33" s="667"/>
      <c r="E33" s="667"/>
      <c r="F33" s="667"/>
      <c r="G33" s="667"/>
      <c r="H33" s="667"/>
      <c r="I33" s="667"/>
      <c r="J33" s="667"/>
      <c r="K33" s="667"/>
      <c r="L33" s="668"/>
      <c r="M33" s="422"/>
    </row>
    <row r="34" spans="1:13" ht="100" customHeight="1" thickBot="1" x14ac:dyDescent="0.3">
      <c r="A34" s="669"/>
      <c r="B34" s="670"/>
      <c r="C34" s="670"/>
      <c r="D34" s="670"/>
      <c r="E34" s="670"/>
      <c r="F34" s="670"/>
      <c r="G34" s="670"/>
      <c r="H34" s="670"/>
      <c r="I34" s="670"/>
      <c r="J34" s="670"/>
      <c r="K34" s="670"/>
      <c r="L34" s="671"/>
      <c r="M34" s="422"/>
    </row>
    <row r="35" spans="1:13" x14ac:dyDescent="0.25">
      <c r="A35" s="672"/>
      <c r="B35" s="672"/>
      <c r="C35" s="672"/>
      <c r="D35" s="672"/>
      <c r="E35" s="672"/>
      <c r="F35" s="672"/>
      <c r="G35" s="672"/>
      <c r="H35" s="672"/>
      <c r="I35" s="672"/>
      <c r="J35" s="672"/>
      <c r="K35" s="672"/>
      <c r="L35" s="672"/>
      <c r="M35" s="422"/>
    </row>
  </sheetData>
  <sheetProtection algorithmName="SHA-512" hashValue="/YdeEPvSTNzIaUO0vzqY8/JRsZR7/H7t9QzKTZgvJgFsKYYnQ6kLK0cT9a4lG60JnK9quWRt/Odj5/NN3uQipg==" saltValue="NW37h13PXQy+A0vwCqVBQQ==" spinCount="100000" sheet="1" objects="1" scenarios="1"/>
  <mergeCells count="2">
    <mergeCell ref="A7:L34"/>
    <mergeCell ref="A35:L35"/>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Q205"/>
  <sheetViews>
    <sheetView tabSelected="1" topLeftCell="A31" zoomScale="70" zoomScaleNormal="70" workbookViewId="0">
      <selection activeCell="S54" sqref="S54"/>
    </sheetView>
  </sheetViews>
  <sheetFormatPr defaultColWidth="9.1796875" defaultRowHeight="12.5" x14ac:dyDescent="0.25"/>
  <cols>
    <col min="1" max="1" width="6.54296875" style="48" customWidth="1"/>
    <col min="2" max="2" width="0.81640625" style="48" customWidth="1"/>
    <col min="3" max="3" width="10" style="49" customWidth="1"/>
    <col min="4" max="4" width="12.1796875" style="48" customWidth="1"/>
    <col min="5" max="5" width="13.453125" style="48" customWidth="1"/>
    <col min="6" max="7" width="10.1796875" style="48" bestFit="1" customWidth="1"/>
    <col min="8" max="8" width="13.1796875" style="48" customWidth="1"/>
    <col min="9" max="14" width="15" style="48" customWidth="1"/>
    <col min="15" max="15" width="10.1796875" style="48" bestFit="1" customWidth="1"/>
    <col min="16" max="16" width="9.1796875" style="48"/>
    <col min="17" max="17" width="10.1796875" style="48" bestFit="1" customWidth="1"/>
    <col min="18" max="16384" width="9.1796875" style="48"/>
  </cols>
  <sheetData>
    <row r="1" spans="1:16" x14ac:dyDescent="0.25">
      <c r="B1" s="579"/>
      <c r="C1" s="580"/>
      <c r="D1" s="410"/>
      <c r="E1" s="410"/>
      <c r="F1" s="410"/>
      <c r="G1" s="410"/>
      <c r="H1" s="410"/>
      <c r="I1" s="410"/>
      <c r="J1" s="410"/>
      <c r="K1" s="410"/>
      <c r="L1" s="410"/>
      <c r="M1" s="410"/>
      <c r="N1" s="410"/>
      <c r="O1" s="411"/>
    </row>
    <row r="2" spans="1:16" x14ac:dyDescent="0.25">
      <c r="A2" s="409"/>
      <c r="B2" s="581"/>
      <c r="C2" s="578"/>
      <c r="D2" s="243"/>
      <c r="E2" s="243"/>
      <c r="F2" s="243"/>
      <c r="G2" s="243"/>
      <c r="H2" s="243"/>
      <c r="I2" s="243"/>
      <c r="J2" s="243"/>
      <c r="K2" s="243"/>
      <c r="L2" s="243"/>
      <c r="M2" s="243"/>
      <c r="N2" s="243"/>
      <c r="O2" s="412"/>
      <c r="P2" s="409"/>
    </row>
    <row r="3" spans="1:16" x14ac:dyDescent="0.25">
      <c r="A3" s="409"/>
      <c r="B3" s="581"/>
      <c r="C3" s="578"/>
      <c r="D3" s="243"/>
      <c r="E3" s="243"/>
      <c r="F3" s="243"/>
      <c r="G3" s="243"/>
      <c r="H3" s="243"/>
      <c r="I3" s="243"/>
      <c r="J3" s="243"/>
      <c r="K3" s="243"/>
      <c r="L3" s="243"/>
      <c r="M3" s="243"/>
      <c r="N3" s="243"/>
      <c r="O3" s="412"/>
      <c r="P3" s="409"/>
    </row>
    <row r="4" spans="1:16" x14ac:dyDescent="0.25">
      <c r="A4" s="409"/>
      <c r="B4" s="581"/>
      <c r="C4" s="578"/>
      <c r="D4" s="243"/>
      <c r="E4" s="243"/>
      <c r="F4" s="243"/>
      <c r="G4" s="243"/>
      <c r="H4" s="243"/>
      <c r="I4" s="243"/>
      <c r="J4" s="243"/>
      <c r="K4" s="243"/>
      <c r="L4" s="243"/>
      <c r="M4" s="243"/>
      <c r="N4" s="243"/>
      <c r="O4" s="412"/>
      <c r="P4" s="409"/>
    </row>
    <row r="5" spans="1:16" x14ac:dyDescent="0.25">
      <c r="A5" s="409"/>
      <c r="B5" s="581"/>
      <c r="C5" s="578"/>
      <c r="D5" s="243"/>
      <c r="E5" s="243"/>
      <c r="F5" s="243"/>
      <c r="G5" s="243"/>
      <c r="H5" s="243"/>
      <c r="I5" s="243"/>
      <c r="J5" s="243"/>
      <c r="K5" s="243"/>
      <c r="L5" s="243"/>
      <c r="M5" s="243"/>
      <c r="N5" s="243"/>
      <c r="O5" s="412"/>
      <c r="P5" s="409"/>
    </row>
    <row r="6" spans="1:16" x14ac:dyDescent="0.25">
      <c r="A6" s="409"/>
      <c r="B6" s="581"/>
      <c r="C6" s="578"/>
      <c r="D6" s="243"/>
      <c r="E6" s="243"/>
      <c r="F6" s="243"/>
      <c r="G6" s="243"/>
      <c r="H6" s="243"/>
      <c r="I6" s="243"/>
      <c r="J6" s="243"/>
      <c r="K6" s="243"/>
      <c r="L6" s="243"/>
      <c r="M6" s="243"/>
      <c r="N6" s="243"/>
      <c r="O6" s="412"/>
      <c r="P6" s="409"/>
    </row>
    <row r="7" spans="1:16" x14ac:dyDescent="0.25">
      <c r="A7" s="409"/>
      <c r="B7" s="581"/>
      <c r="C7" s="578"/>
      <c r="D7" s="243"/>
      <c r="E7" s="243"/>
      <c r="F7" s="243"/>
      <c r="G7" s="243"/>
      <c r="H7" s="243"/>
      <c r="I7" s="243"/>
      <c r="J7" s="243"/>
      <c r="K7" s="243"/>
      <c r="L7" s="243"/>
      <c r="M7" s="243"/>
      <c r="N7" s="243"/>
      <c r="O7" s="412"/>
      <c r="P7" s="409"/>
    </row>
    <row r="8" spans="1:16" x14ac:dyDescent="0.25">
      <c r="A8" s="409"/>
      <c r="B8" s="581"/>
      <c r="C8" s="578"/>
      <c r="D8" s="243"/>
      <c r="E8" s="243"/>
      <c r="F8" s="243"/>
      <c r="G8" s="243"/>
      <c r="H8" s="243"/>
      <c r="I8" s="243"/>
      <c r="J8" s="243"/>
      <c r="K8" s="243"/>
      <c r="L8" s="243"/>
      <c r="M8" s="243"/>
      <c r="N8" s="243"/>
      <c r="O8" s="412"/>
      <c r="P8" s="409"/>
    </row>
    <row r="9" spans="1:16" x14ac:dyDescent="0.25">
      <c r="A9" s="409"/>
      <c r="B9" s="581"/>
      <c r="C9" s="578"/>
      <c r="D9" s="243"/>
      <c r="E9" s="243"/>
      <c r="F9" s="243"/>
      <c r="G9" s="243"/>
      <c r="H9" s="243"/>
      <c r="I9" s="243"/>
      <c r="J9" s="243"/>
      <c r="K9" s="243"/>
      <c r="L9" s="243"/>
      <c r="M9" s="243"/>
      <c r="N9" s="243"/>
      <c r="O9" s="412"/>
      <c r="P9" s="409"/>
    </row>
    <row r="10" spans="1:16" x14ac:dyDescent="0.25">
      <c r="A10" s="409"/>
      <c r="B10" s="581"/>
      <c r="C10" s="578"/>
      <c r="D10" s="243"/>
      <c r="E10" s="243"/>
      <c r="F10" s="243"/>
      <c r="G10" s="243"/>
      <c r="H10" s="243"/>
      <c r="I10" s="243"/>
      <c r="J10" s="243"/>
      <c r="K10" s="243"/>
      <c r="L10" s="243"/>
      <c r="M10" s="243"/>
      <c r="N10" s="243"/>
      <c r="O10" s="412"/>
      <c r="P10" s="409"/>
    </row>
    <row r="11" spans="1:16" x14ac:dyDescent="0.25">
      <c r="A11" s="409"/>
      <c r="B11" s="581"/>
      <c r="C11" s="578"/>
      <c r="D11" s="243"/>
      <c r="E11" s="243"/>
      <c r="F11" s="243"/>
      <c r="G11" s="243"/>
      <c r="H11" s="243"/>
      <c r="I11" s="243"/>
      <c r="J11" s="243"/>
      <c r="K11" s="243"/>
      <c r="L11" s="243"/>
      <c r="M11" s="243"/>
      <c r="N11" s="243"/>
      <c r="O11" s="412"/>
      <c r="P11" s="409"/>
    </row>
    <row r="12" spans="1:16" x14ac:dyDescent="0.25">
      <c r="A12" s="409"/>
      <c r="B12" s="581"/>
      <c r="C12" s="578"/>
      <c r="D12" s="243"/>
      <c r="E12" s="243"/>
      <c r="F12" s="243"/>
      <c r="G12" s="243"/>
      <c r="H12" s="243"/>
      <c r="I12" s="243"/>
      <c r="J12" s="243"/>
      <c r="K12" s="243"/>
      <c r="L12" s="243"/>
      <c r="M12" s="243"/>
      <c r="N12" s="243"/>
      <c r="O12" s="412"/>
      <c r="P12" s="409"/>
    </row>
    <row r="13" spans="1:16" ht="4.5" customHeight="1" x14ac:dyDescent="0.25">
      <c r="A13" s="409"/>
      <c r="B13" s="581"/>
      <c r="C13" s="578"/>
      <c r="D13" s="243"/>
      <c r="E13" s="243"/>
      <c r="F13" s="243"/>
      <c r="G13" s="243"/>
      <c r="H13" s="243"/>
      <c r="I13" s="243"/>
      <c r="J13" s="243"/>
      <c r="K13" s="243"/>
      <c r="L13" s="243"/>
      <c r="M13" s="243"/>
      <c r="N13" s="243"/>
      <c r="O13" s="412"/>
      <c r="P13" s="409"/>
    </row>
    <row r="14" spans="1:16" hidden="1" x14ac:dyDescent="0.25">
      <c r="A14" s="409"/>
      <c r="B14" s="581"/>
      <c r="C14" s="578"/>
      <c r="D14" s="243"/>
      <c r="E14" s="243"/>
      <c r="F14" s="243"/>
      <c r="G14" s="243"/>
      <c r="H14" s="243"/>
      <c r="I14" s="243"/>
      <c r="J14" s="243"/>
      <c r="K14" s="243"/>
      <c r="L14" s="243"/>
      <c r="M14" s="243"/>
      <c r="N14" s="243"/>
      <c r="O14" s="412"/>
      <c r="P14" s="409"/>
    </row>
    <row r="15" spans="1:16" ht="27" customHeight="1" x14ac:dyDescent="0.5">
      <c r="A15" s="409"/>
      <c r="B15" s="661"/>
      <c r="C15" s="673" t="s">
        <v>543</v>
      </c>
      <c r="D15" s="673"/>
      <c r="E15" s="673"/>
      <c r="F15" s="673"/>
      <c r="G15" s="673"/>
      <c r="H15" s="673"/>
      <c r="I15" s="673"/>
      <c r="J15" s="673"/>
      <c r="K15" s="673"/>
      <c r="L15" s="673"/>
      <c r="M15" s="673"/>
      <c r="N15" s="673"/>
      <c r="O15" s="517"/>
      <c r="P15" s="409"/>
    </row>
    <row r="16" spans="1:16" ht="20.25" customHeight="1" x14ac:dyDescent="0.4">
      <c r="A16" s="409"/>
      <c r="B16" s="581"/>
      <c r="C16" s="674" t="s">
        <v>169</v>
      </c>
      <c r="D16" s="675"/>
      <c r="E16" s="675"/>
      <c r="F16" s="675"/>
      <c r="G16" s="675"/>
      <c r="H16" s="675"/>
      <c r="I16" s="675"/>
      <c r="J16" s="675"/>
      <c r="K16" s="675"/>
      <c r="L16" s="675"/>
      <c r="M16" s="675"/>
      <c r="N16" s="675"/>
      <c r="O16" s="413"/>
      <c r="P16" s="409"/>
    </row>
    <row r="17" spans="1:16" ht="15.75" customHeight="1" x14ac:dyDescent="0.25">
      <c r="A17" s="409"/>
      <c r="B17" s="581"/>
      <c r="C17" s="676" t="s">
        <v>389</v>
      </c>
      <c r="D17" s="676"/>
      <c r="E17" s="676"/>
      <c r="F17" s="676"/>
      <c r="G17" s="676"/>
      <c r="H17" s="676"/>
      <c r="I17" s="676"/>
      <c r="J17" s="676"/>
      <c r="K17" s="676"/>
      <c r="L17" s="676"/>
      <c r="M17" s="676"/>
      <c r="N17" s="676"/>
      <c r="O17" s="413"/>
      <c r="P17" s="409"/>
    </row>
    <row r="18" spans="1:16" ht="15" customHeight="1" x14ac:dyDescent="0.25">
      <c r="A18" s="409"/>
      <c r="B18" s="581"/>
      <c r="C18" s="676" t="s">
        <v>178</v>
      </c>
      <c r="D18" s="676"/>
      <c r="E18" s="676"/>
      <c r="F18" s="676"/>
      <c r="G18" s="676"/>
      <c r="H18" s="676"/>
      <c r="I18" s="676"/>
      <c r="J18" s="676"/>
      <c r="K18" s="676"/>
      <c r="L18" s="676"/>
      <c r="M18" s="676"/>
      <c r="N18" s="676"/>
      <c r="O18" s="413"/>
      <c r="P18" s="409"/>
    </row>
    <row r="19" spans="1:16" ht="19.5" customHeight="1" x14ac:dyDescent="0.25">
      <c r="A19" s="409"/>
      <c r="B19" s="581"/>
      <c r="C19" s="676" t="s">
        <v>170</v>
      </c>
      <c r="D19" s="676"/>
      <c r="E19" s="676"/>
      <c r="F19" s="676"/>
      <c r="G19" s="676"/>
      <c r="H19" s="676"/>
      <c r="I19" s="676"/>
      <c r="J19" s="676"/>
      <c r="K19" s="676"/>
      <c r="L19" s="676"/>
      <c r="M19" s="676"/>
      <c r="N19" s="676"/>
      <c r="O19" s="413"/>
      <c r="P19" s="409"/>
    </row>
    <row r="20" spans="1:16" ht="28.5" customHeight="1" x14ac:dyDescent="0.3">
      <c r="A20" s="409"/>
      <c r="B20" s="581"/>
      <c r="C20" s="692" t="s">
        <v>369</v>
      </c>
      <c r="D20" s="692"/>
      <c r="E20" s="692"/>
      <c r="F20" s="692"/>
      <c r="G20" s="692"/>
      <c r="H20" s="692"/>
      <c r="I20" s="692"/>
      <c r="J20" s="693"/>
      <c r="K20" s="693"/>
      <c r="L20" s="693"/>
      <c r="M20" s="693"/>
      <c r="N20" s="693"/>
      <c r="O20" s="413"/>
      <c r="P20" s="409"/>
    </row>
    <row r="21" spans="1:16" ht="123" customHeight="1" x14ac:dyDescent="0.25">
      <c r="A21" s="414"/>
      <c r="B21" s="662"/>
      <c r="C21" s="707" t="s">
        <v>920</v>
      </c>
      <c r="D21" s="707"/>
      <c r="E21" s="707"/>
      <c r="F21" s="707"/>
      <c r="G21" s="707"/>
      <c r="H21" s="707"/>
      <c r="I21" s="707"/>
      <c r="J21" s="708"/>
      <c r="K21" s="708"/>
      <c r="L21" s="708"/>
      <c r="M21" s="708"/>
      <c r="N21" s="708"/>
      <c r="O21" s="415"/>
      <c r="P21" s="409"/>
    </row>
    <row r="22" spans="1:16" ht="23.5" x14ac:dyDescent="0.55000000000000004">
      <c r="A22" s="414"/>
      <c r="B22" s="591"/>
      <c r="C22" s="659" t="s">
        <v>186</v>
      </c>
      <c r="D22" s="660"/>
      <c r="E22" s="515"/>
      <c r="F22" s="515"/>
      <c r="G22" s="515"/>
      <c r="H22" s="515"/>
      <c r="I22" s="515"/>
      <c r="J22" s="430"/>
      <c r="K22" s="430"/>
      <c r="L22" s="430"/>
      <c r="M22" s="430"/>
      <c r="N22" s="430"/>
      <c r="O22" s="413"/>
    </row>
    <row r="23" spans="1:16" ht="13" x14ac:dyDescent="0.3">
      <c r="A23" s="409"/>
      <c r="B23" s="581"/>
      <c r="C23" s="515" t="s">
        <v>183</v>
      </c>
      <c r="D23" s="515"/>
      <c r="E23" s="515"/>
      <c r="F23" s="515"/>
      <c r="G23" s="515"/>
      <c r="H23" s="515"/>
      <c r="I23" s="515"/>
      <c r="J23" s="430"/>
      <c r="K23" s="430"/>
      <c r="L23" s="430"/>
      <c r="M23" s="430"/>
      <c r="N23" s="430"/>
      <c r="O23" s="413"/>
    </row>
    <row r="24" spans="1:16" ht="13" x14ac:dyDescent="0.3">
      <c r="A24" s="409"/>
      <c r="B24" s="581"/>
      <c r="C24" s="515"/>
      <c r="D24" s="515"/>
      <c r="E24" s="515"/>
      <c r="F24" s="515"/>
      <c r="G24" s="515"/>
      <c r="H24" s="515"/>
      <c r="I24" s="515"/>
      <c r="J24" s="430"/>
      <c r="K24" s="430"/>
      <c r="L24" s="430"/>
      <c r="M24" s="430"/>
      <c r="N24" s="430"/>
      <c r="O24" s="413"/>
    </row>
    <row r="25" spans="1:16" ht="14.5" x14ac:dyDescent="0.35">
      <c r="A25" s="409"/>
      <c r="B25" s="581"/>
      <c r="C25" s="585" t="s">
        <v>184</v>
      </c>
      <c r="D25" s="519"/>
      <c r="E25" s="519"/>
      <c r="F25" s="519"/>
      <c r="G25" s="519"/>
      <c r="H25" s="519"/>
      <c r="I25" s="430"/>
      <c r="J25" s="594"/>
      <c r="K25" s="429"/>
      <c r="L25" s="520"/>
      <c r="M25" s="430"/>
      <c r="N25" s="430"/>
      <c r="O25" s="413"/>
    </row>
    <row r="26" spans="1:16" ht="14.5" x14ac:dyDescent="0.35">
      <c r="A26" s="409"/>
      <c r="B26" s="581"/>
      <c r="C26" s="585"/>
      <c r="D26" s="519"/>
      <c r="E26" s="519"/>
      <c r="F26" s="519"/>
      <c r="G26" s="519"/>
      <c r="H26" s="519"/>
      <c r="I26" s="430"/>
      <c r="J26" s="429"/>
      <c r="K26" s="429"/>
      <c r="L26" s="430"/>
      <c r="M26" s="430"/>
      <c r="N26" s="430"/>
      <c r="O26" s="413"/>
    </row>
    <row r="27" spans="1:16" ht="14.5" x14ac:dyDescent="0.35">
      <c r="A27" s="409"/>
      <c r="B27" s="581"/>
      <c r="C27" s="585" t="s">
        <v>487</v>
      </c>
      <c r="D27" s="519"/>
      <c r="E27" s="519"/>
      <c r="F27" s="519"/>
      <c r="G27" s="519"/>
      <c r="H27" s="519"/>
      <c r="I27" s="430"/>
      <c r="J27" s="694"/>
      <c r="K27" s="694"/>
      <c r="L27" s="430"/>
      <c r="M27" s="430"/>
      <c r="N27" s="430"/>
      <c r="O27" s="413"/>
    </row>
    <row r="28" spans="1:16" ht="14.5" x14ac:dyDescent="0.35">
      <c r="A28" s="409"/>
      <c r="B28" s="581"/>
      <c r="C28" s="585"/>
      <c r="D28" s="519"/>
      <c r="E28" s="519"/>
      <c r="F28" s="519"/>
      <c r="G28" s="519"/>
      <c r="H28" s="519"/>
      <c r="I28" s="430"/>
      <c r="J28" s="497"/>
      <c r="K28" s="429"/>
      <c r="L28" s="430"/>
      <c r="M28" s="430"/>
      <c r="N28" s="430"/>
      <c r="O28" s="413"/>
    </row>
    <row r="29" spans="1:16" ht="14.5" x14ac:dyDescent="0.35">
      <c r="A29" s="409"/>
      <c r="B29" s="581"/>
      <c r="C29" s="585" t="s">
        <v>484</v>
      </c>
      <c r="D29" s="519"/>
      <c r="E29" s="519"/>
      <c r="F29" s="519"/>
      <c r="G29" s="519"/>
      <c r="H29" s="519"/>
      <c r="I29" s="430"/>
      <c r="J29" s="594"/>
      <c r="K29" s="429"/>
      <c r="L29" s="416" t="s">
        <v>177</v>
      </c>
      <c r="M29" s="430"/>
      <c r="N29" s="430"/>
      <c r="O29" s="413"/>
    </row>
    <row r="30" spans="1:16" ht="14.5" x14ac:dyDescent="0.35">
      <c r="A30" s="409"/>
      <c r="B30" s="581"/>
      <c r="C30" s="585"/>
      <c r="D30" s="519"/>
      <c r="E30" s="519"/>
      <c r="F30" s="519"/>
      <c r="G30" s="519"/>
      <c r="H30" s="519"/>
      <c r="I30" s="430"/>
      <c r="J30" s="429"/>
      <c r="K30" s="429"/>
      <c r="L30" s="430"/>
      <c r="M30" s="430"/>
      <c r="N30" s="430"/>
      <c r="O30" s="413"/>
    </row>
    <row r="31" spans="1:16" ht="14.5" x14ac:dyDescent="0.35">
      <c r="A31" s="409"/>
      <c r="B31" s="581"/>
      <c r="C31" s="585" t="str">
        <f>IF(DJS&gt;=NewSchDate,"4. The scheme you entered upon joining","4. The scheme you were in prior to 1 April 2015 (Choose from the list in the box)")</f>
        <v>4. The scheme you were in prior to 1 April 2015 (Choose from the list in the box)</v>
      </c>
      <c r="D31" s="519"/>
      <c r="E31" s="519"/>
      <c r="F31" s="519"/>
      <c r="G31" s="519"/>
      <c r="H31" s="519"/>
      <c r="I31" s="430"/>
      <c r="J31" s="594"/>
      <c r="K31" s="429"/>
      <c r="L31" s="416" t="s">
        <v>177</v>
      </c>
      <c r="M31" s="430"/>
      <c r="N31" s="430"/>
      <c r="O31" s="413"/>
    </row>
    <row r="32" spans="1:16" ht="14.5" x14ac:dyDescent="0.35">
      <c r="A32" s="409"/>
      <c r="B32" s="581"/>
      <c r="C32" s="585"/>
      <c r="D32" s="519"/>
      <c r="E32" s="519"/>
      <c r="F32" s="519"/>
      <c r="G32" s="519"/>
      <c r="H32" s="519"/>
      <c r="I32" s="430"/>
      <c r="J32" s="429"/>
      <c r="K32" s="429"/>
      <c r="L32" s="430"/>
      <c r="M32" s="430"/>
      <c r="N32" s="430"/>
      <c r="O32" s="413"/>
    </row>
    <row r="33" spans="1:15" ht="14.5" x14ac:dyDescent="0.35">
      <c r="A33" s="409"/>
      <c r="B33" s="581"/>
      <c r="C33" s="585" t="s">
        <v>574</v>
      </c>
      <c r="D33" s="519"/>
      <c r="E33" s="519"/>
      <c r="F33" s="519"/>
      <c r="G33" s="519"/>
      <c r="H33" s="519"/>
      <c r="I33" s="430"/>
      <c r="J33" s="595">
        <v>0</v>
      </c>
      <c r="K33" s="429" t="s">
        <v>66</v>
      </c>
      <c r="L33" s="416" t="s">
        <v>177</v>
      </c>
      <c r="M33" s="430"/>
      <c r="N33" s="513"/>
      <c r="O33" s="413"/>
    </row>
    <row r="34" spans="1:15" ht="14.5" x14ac:dyDescent="0.35">
      <c r="A34" s="409"/>
      <c r="B34" s="581"/>
      <c r="C34" s="585"/>
      <c r="D34" s="519"/>
      <c r="E34" s="519"/>
      <c r="F34" s="519"/>
      <c r="G34" s="519"/>
      <c r="H34" s="519"/>
      <c r="I34" s="430"/>
      <c r="J34" s="595">
        <v>0</v>
      </c>
      <c r="K34" s="429" t="s">
        <v>69</v>
      </c>
      <c r="L34" s="429"/>
      <c r="M34" s="430"/>
      <c r="N34" s="430"/>
      <c r="O34" s="413"/>
    </row>
    <row r="35" spans="1:15" ht="14.5" x14ac:dyDescent="0.35">
      <c r="A35" s="409"/>
      <c r="B35" s="581"/>
      <c r="C35" s="585"/>
      <c r="D35" s="519"/>
      <c r="E35" s="519"/>
      <c r="F35" s="519"/>
      <c r="G35" s="519"/>
      <c r="H35" s="519"/>
      <c r="I35" s="430"/>
      <c r="J35" s="429"/>
      <c r="K35" s="429"/>
      <c r="L35" s="430"/>
      <c r="M35" s="430"/>
      <c r="N35" s="430"/>
      <c r="O35" s="413"/>
    </row>
    <row r="36" spans="1:15" ht="14.5" x14ac:dyDescent="0.35">
      <c r="A36" s="409"/>
      <c r="B36" s="581"/>
      <c r="C36" s="585" t="s">
        <v>575</v>
      </c>
      <c r="D36" s="519"/>
      <c r="E36" s="513"/>
      <c r="F36" s="519"/>
      <c r="G36" s="519"/>
      <c r="H36" s="519"/>
      <c r="I36" s="430"/>
      <c r="J36" s="596"/>
      <c r="K36" s="429"/>
      <c r="L36" s="430"/>
      <c r="M36" s="430"/>
      <c r="N36" s="430"/>
      <c r="O36" s="413"/>
    </row>
    <row r="37" spans="1:15" ht="14.5" x14ac:dyDescent="0.35">
      <c r="A37" s="409"/>
      <c r="B37" s="581"/>
      <c r="C37" s="585"/>
      <c r="D37" s="519"/>
      <c r="E37" s="519"/>
      <c r="F37" s="519"/>
      <c r="G37" s="519"/>
      <c r="H37" s="521"/>
      <c r="I37" s="502"/>
      <c r="J37" s="504"/>
      <c r="K37" s="504"/>
      <c r="L37" s="502"/>
      <c r="M37" s="502"/>
      <c r="N37" s="502"/>
      <c r="O37" s="413"/>
    </row>
    <row r="38" spans="1:15" ht="14.5" x14ac:dyDescent="0.35">
      <c r="A38" s="409"/>
      <c r="B38" s="581"/>
      <c r="C38" s="585" t="str">
        <f>IF(PT_Status="Full-time","9",IF(AND(Scheme_Full="2015 Scheme",PT_Status="Part-time"),"10","13"))&amp;". Retirement date for illustration (dd/mm/yyyy)"</f>
        <v>13. Retirement date for illustration (dd/mm/yyyy)</v>
      </c>
      <c r="D38" s="519"/>
      <c r="E38" s="519"/>
      <c r="F38" s="519"/>
      <c r="G38" s="519"/>
      <c r="H38" s="521"/>
      <c r="I38" s="502"/>
      <c r="J38" s="594"/>
      <c r="K38" s="504"/>
      <c r="L38" s="416" t="s">
        <v>177</v>
      </c>
      <c r="M38" s="430"/>
      <c r="N38" s="430"/>
      <c r="O38" s="413"/>
    </row>
    <row r="39" spans="1:15" ht="14.5" x14ac:dyDescent="0.35">
      <c r="A39" s="409"/>
      <c r="B39" s="581"/>
      <c r="C39" s="585"/>
      <c r="D39" s="519"/>
      <c r="E39" s="519"/>
      <c r="F39" s="519"/>
      <c r="G39" s="519"/>
      <c r="H39" s="521"/>
      <c r="I39" s="502"/>
      <c r="J39" s="504"/>
      <c r="K39" s="504"/>
      <c r="L39" s="502"/>
      <c r="M39" s="502"/>
      <c r="N39" s="502"/>
      <c r="O39" s="413"/>
    </row>
    <row r="40" spans="1:15" ht="14.5" x14ac:dyDescent="0.35">
      <c r="A40" s="409"/>
      <c r="B40" s="581"/>
      <c r="C40" s="585" t="s">
        <v>593</v>
      </c>
      <c r="D40" s="519"/>
      <c r="E40" s="519"/>
      <c r="F40" s="519"/>
      <c r="G40" s="519"/>
      <c r="H40" s="521"/>
      <c r="I40" s="502"/>
      <c r="J40" s="498"/>
      <c r="K40" s="522" t="str">
        <f>IF(Parameters!B126,"Yes - input below","No - it will be approximated in the projection calculations")</f>
        <v>Yes - input below</v>
      </c>
      <c r="L40" s="502"/>
      <c r="M40" s="502"/>
      <c r="N40" s="502"/>
      <c r="O40" s="413"/>
    </row>
    <row r="41" spans="1:15" ht="14.5" x14ac:dyDescent="0.35">
      <c r="A41" s="409"/>
      <c r="B41" s="581"/>
      <c r="C41" s="585"/>
      <c r="D41" s="519"/>
      <c r="E41" s="519"/>
      <c r="F41" s="519"/>
      <c r="G41" s="519"/>
      <c r="H41" s="521"/>
      <c r="I41" s="502"/>
      <c r="J41" s="243"/>
      <c r="K41" s="561"/>
      <c r="L41" s="562"/>
      <c r="M41" s="523"/>
      <c r="N41" s="502"/>
      <c r="O41" s="413"/>
    </row>
    <row r="42" spans="1:15" ht="14.5" x14ac:dyDescent="0.35">
      <c r="A42" s="409"/>
      <c r="B42" s="581"/>
      <c r="C42" s="585"/>
      <c r="D42" s="519"/>
      <c r="E42" s="519"/>
      <c r="F42" s="519"/>
      <c r="G42" s="519"/>
      <c r="H42" s="566" t="s">
        <v>679</v>
      </c>
      <c r="I42" s="567" t="s">
        <v>680</v>
      </c>
      <c r="J42" s="597"/>
      <c r="K42" s="563"/>
      <c r="L42" s="565" t="s">
        <v>255</v>
      </c>
      <c r="M42" s="598"/>
      <c r="N42" s="564" t="s">
        <v>177</v>
      </c>
      <c r="O42" s="524"/>
    </row>
    <row r="43" spans="1:15" ht="14.5" x14ac:dyDescent="0.35">
      <c r="A43" s="409"/>
      <c r="B43" s="581"/>
      <c r="C43" s="585"/>
      <c r="D43" s="519"/>
      <c r="E43" s="519"/>
      <c r="F43" s="519"/>
      <c r="G43" s="519"/>
      <c r="H43" s="519"/>
      <c r="I43" s="548"/>
      <c r="J43" s="523"/>
      <c r="K43" s="429"/>
      <c r="L43" s="525"/>
      <c r="M43" s="430"/>
      <c r="N43" s="430"/>
      <c r="O43" s="413"/>
    </row>
    <row r="44" spans="1:15" ht="14.5" x14ac:dyDescent="0.35">
      <c r="A44" s="409"/>
      <c r="B44" s="581"/>
      <c r="C44" s="585" t="s">
        <v>594</v>
      </c>
      <c r="D44" s="519"/>
      <c r="E44" s="519"/>
      <c r="F44" s="519"/>
      <c r="G44" s="519"/>
      <c r="H44" s="519"/>
      <c r="I44" s="430"/>
      <c r="J44" s="595"/>
      <c r="K44" s="429"/>
      <c r="L44" s="416" t="s">
        <v>177</v>
      </c>
      <c r="M44" s="430"/>
      <c r="N44" s="430"/>
      <c r="O44" s="413"/>
    </row>
    <row r="45" spans="1:15" ht="14.5" x14ac:dyDescent="0.35">
      <c r="A45" s="409"/>
      <c r="B45" s="581"/>
      <c r="C45" s="585"/>
      <c r="D45" s="519"/>
      <c r="E45" s="519"/>
      <c r="F45" s="519"/>
      <c r="G45" s="519"/>
      <c r="H45" s="519"/>
      <c r="I45" s="430"/>
      <c r="J45" s="523"/>
      <c r="K45" s="429"/>
      <c r="L45" s="525"/>
      <c r="M45" s="430"/>
      <c r="N45" s="430"/>
      <c r="O45" s="413"/>
    </row>
    <row r="46" spans="1:15" ht="14.5" x14ac:dyDescent="0.35">
      <c r="A46" s="409"/>
      <c r="B46" s="581"/>
      <c r="C46" s="585" t="s">
        <v>595</v>
      </c>
      <c r="D46" s="519"/>
      <c r="E46" s="519"/>
      <c r="F46" s="519"/>
      <c r="G46" s="519"/>
      <c r="H46" s="519"/>
      <c r="I46" s="430"/>
      <c r="J46" s="599"/>
      <c r="K46" s="429"/>
      <c r="L46" s="416" t="s">
        <v>177</v>
      </c>
      <c r="M46" s="430"/>
      <c r="N46" s="430"/>
      <c r="O46" s="413"/>
    </row>
    <row r="47" spans="1:15" ht="14.5" x14ac:dyDescent="0.35">
      <c r="A47" s="409"/>
      <c r="B47" s="581"/>
      <c r="C47" s="585"/>
      <c r="D47" s="519"/>
      <c r="E47" s="519"/>
      <c r="F47" s="519"/>
      <c r="G47" s="519"/>
      <c r="H47" s="519"/>
      <c r="I47" s="430"/>
      <c r="J47" s="526"/>
      <c r="K47" s="429"/>
      <c r="L47" s="527"/>
      <c r="M47" s="430"/>
      <c r="N47" s="430"/>
      <c r="O47" s="413"/>
    </row>
    <row r="48" spans="1:15" ht="14.5" x14ac:dyDescent="0.35">
      <c r="A48" s="409"/>
      <c r="B48" s="581"/>
      <c r="C48" s="585" t="s">
        <v>237</v>
      </c>
      <c r="D48" s="519"/>
      <c r="E48" s="519"/>
      <c r="F48" s="519"/>
      <c r="G48" s="519"/>
      <c r="H48" s="519"/>
      <c r="I48" s="430"/>
      <c r="J48" s="523"/>
      <c r="K48" s="429"/>
      <c r="L48" s="525"/>
      <c r="M48" s="430"/>
      <c r="N48" s="430"/>
      <c r="O48" s="413"/>
    </row>
    <row r="49" spans="1:15" ht="14.5" x14ac:dyDescent="0.35">
      <c r="A49" s="409"/>
      <c r="B49" s="581"/>
      <c r="C49" s="585"/>
      <c r="D49" s="519"/>
      <c r="E49" s="519"/>
      <c r="F49" s="519"/>
      <c r="G49" s="519"/>
      <c r="H49" s="519"/>
      <c r="I49" s="430"/>
      <c r="J49" s="523"/>
      <c r="K49" s="429"/>
      <c r="L49" s="525"/>
      <c r="M49" s="430"/>
      <c r="N49" s="430"/>
      <c r="O49" s="413"/>
    </row>
    <row r="50" spans="1:15" ht="14.5" x14ac:dyDescent="0.35">
      <c r="A50" s="409"/>
      <c r="B50" s="581"/>
      <c r="C50" s="427" t="s">
        <v>596</v>
      </c>
      <c r="D50" s="519"/>
      <c r="E50" s="519"/>
      <c r="F50" s="519"/>
      <c r="G50" s="519"/>
      <c r="H50" s="519"/>
      <c r="I50" s="650">
        <v>43555</v>
      </c>
      <c r="J50" s="601">
        <v>2020</v>
      </c>
      <c r="K50" s="429"/>
      <c r="L50" s="525"/>
      <c r="M50" s="430"/>
      <c r="N50" s="430"/>
      <c r="O50" s="413"/>
    </row>
    <row r="51" spans="1:15" ht="14.5" x14ac:dyDescent="0.35">
      <c r="A51" s="409"/>
      <c r="B51" s="581"/>
      <c r="C51" s="585"/>
      <c r="D51" s="519"/>
      <c r="E51" s="519"/>
      <c r="F51" s="519"/>
      <c r="G51" s="519"/>
      <c r="H51" s="519"/>
      <c r="I51" s="430"/>
      <c r="J51" s="523"/>
      <c r="K51" s="429"/>
      <c r="L51" s="525"/>
      <c r="M51" s="430"/>
      <c r="N51" s="430"/>
      <c r="O51" s="413"/>
    </row>
    <row r="52" spans="1:15" ht="14.5" x14ac:dyDescent="0.35">
      <c r="A52" s="409"/>
      <c r="B52" s="581"/>
      <c r="C52" s="585" t="s">
        <v>597</v>
      </c>
      <c r="D52" s="519"/>
      <c r="E52" s="519"/>
      <c r="F52" s="519"/>
      <c r="G52" s="519"/>
      <c r="H52" s="519"/>
      <c r="I52" s="429"/>
      <c r="J52" s="595"/>
      <c r="K52" s="429" t="s">
        <v>66</v>
      </c>
      <c r="L52" s="416" t="s">
        <v>177</v>
      </c>
      <c r="M52" s="430"/>
      <c r="N52" s="430"/>
      <c r="O52" s="413"/>
    </row>
    <row r="53" spans="1:15" ht="14.5" x14ac:dyDescent="0.35">
      <c r="A53" s="409"/>
      <c r="B53" s="581"/>
      <c r="C53" s="585"/>
      <c r="D53" s="519"/>
      <c r="E53" s="519"/>
      <c r="F53" s="519"/>
      <c r="G53" s="519"/>
      <c r="H53" s="519"/>
      <c r="I53" s="429"/>
      <c r="J53" s="595">
        <v>0</v>
      </c>
      <c r="K53" s="429" t="s">
        <v>69</v>
      </c>
      <c r="L53" s="525"/>
      <c r="M53" s="430"/>
      <c r="N53" s="430"/>
      <c r="O53" s="413"/>
    </row>
    <row r="54" spans="1:15" ht="14.5" x14ac:dyDescent="0.35">
      <c r="A54" s="409"/>
      <c r="B54" s="581"/>
      <c r="C54" s="585"/>
      <c r="D54" s="519"/>
      <c r="E54" s="519"/>
      <c r="F54" s="519"/>
      <c r="G54" s="519"/>
      <c r="H54" s="519"/>
      <c r="I54" s="430"/>
      <c r="J54" s="528"/>
      <c r="K54" s="430"/>
      <c r="L54" s="525"/>
      <c r="M54" s="430"/>
      <c r="N54" s="430"/>
      <c r="O54" s="413"/>
    </row>
    <row r="55" spans="1:15" ht="14" x14ac:dyDescent="0.3">
      <c r="A55" s="409"/>
      <c r="B55" s="581"/>
      <c r="C55" s="427" t="str">
        <f>IF(PT_Status="Full-time","",IF(Scheme_Full="2015 Scheme","","12. If you had a career break that ended before 1 April 2015, how long was it?"))</f>
        <v>12. If you had a career break that ended before 1 April 2015, how long was it?</v>
      </c>
      <c r="D55" s="427"/>
      <c r="E55" s="427"/>
      <c r="F55" s="427"/>
      <c r="G55" s="427"/>
      <c r="H55" s="427"/>
      <c r="I55" s="428"/>
      <c r="J55" s="600">
        <v>0</v>
      </c>
      <c r="K55" s="429" t="s">
        <v>66</v>
      </c>
      <c r="L55" s="416" t="s">
        <v>177</v>
      </c>
      <c r="M55" s="430"/>
      <c r="N55" s="430"/>
      <c r="O55" s="413"/>
    </row>
    <row r="56" spans="1:15" ht="14" x14ac:dyDescent="0.3">
      <c r="A56" s="409"/>
      <c r="B56" s="581"/>
      <c r="C56" s="427"/>
      <c r="D56" s="427"/>
      <c r="E56" s="427"/>
      <c r="F56" s="427"/>
      <c r="G56" s="427"/>
      <c r="H56" s="427"/>
      <c r="I56" s="428"/>
      <c r="J56" s="600">
        <v>0</v>
      </c>
      <c r="K56" s="429" t="s">
        <v>69</v>
      </c>
      <c r="L56" s="430"/>
      <c r="M56" s="430"/>
      <c r="N56" s="430"/>
      <c r="O56" s="413"/>
    </row>
    <row r="57" spans="1:15" ht="14" x14ac:dyDescent="0.3">
      <c r="A57" s="409"/>
      <c r="B57" s="581"/>
      <c r="C57" s="427"/>
      <c r="D57" s="427"/>
      <c r="E57" s="427"/>
      <c r="F57" s="427"/>
      <c r="G57" s="427"/>
      <c r="H57" s="427"/>
      <c r="I57" s="428"/>
      <c r="J57" s="536"/>
      <c r="K57" s="429"/>
      <c r="L57" s="430"/>
      <c r="M57" s="430"/>
      <c r="N57" s="430"/>
      <c r="O57" s="413"/>
    </row>
    <row r="58" spans="1:15" x14ac:dyDescent="0.25">
      <c r="B58" s="583"/>
      <c r="C58" s="578"/>
      <c r="D58" s="243"/>
      <c r="E58" s="243"/>
      <c r="F58" s="243"/>
      <c r="G58" s="243"/>
      <c r="H58" s="243"/>
      <c r="I58" s="243"/>
      <c r="J58" s="243"/>
      <c r="K58" s="243"/>
      <c r="L58" s="243"/>
      <c r="M58" s="243"/>
      <c r="N58" s="243"/>
      <c r="O58" s="412"/>
    </row>
    <row r="59" spans="1:15" ht="14.5" x14ac:dyDescent="0.35">
      <c r="A59" s="409"/>
      <c r="B59" s="584"/>
      <c r="C59" s="592"/>
      <c r="D59" s="529"/>
      <c r="E59" s="529"/>
      <c r="F59" s="529"/>
      <c r="G59" s="529"/>
      <c r="H59" s="529"/>
      <c r="I59" s="503"/>
      <c r="J59" s="530"/>
      <c r="K59" s="503"/>
      <c r="L59" s="531"/>
      <c r="M59" s="503"/>
      <c r="N59" s="503"/>
      <c r="O59" s="415"/>
    </row>
    <row r="60" spans="1:15" ht="23" x14ac:dyDescent="0.5">
      <c r="A60" s="414"/>
      <c r="B60" s="582"/>
      <c r="C60" s="593" t="s">
        <v>179</v>
      </c>
      <c r="D60" s="518"/>
      <c r="E60" s="518"/>
      <c r="F60" s="518"/>
      <c r="G60" s="518"/>
      <c r="H60" s="518"/>
      <c r="I60" s="518"/>
      <c r="J60" s="516"/>
      <c r="K60" s="516"/>
      <c r="L60" s="516"/>
      <c r="M60" s="516"/>
      <c r="N60" s="516"/>
      <c r="O60" s="517"/>
    </row>
    <row r="61" spans="1:15" ht="23" x14ac:dyDescent="0.5">
      <c r="A61" s="414"/>
      <c r="B61" s="591"/>
      <c r="C61" s="586"/>
      <c r="D61" s="515"/>
      <c r="E61" s="515"/>
      <c r="F61" s="515"/>
      <c r="G61" s="515"/>
      <c r="H61" s="515"/>
      <c r="I61" s="515"/>
      <c r="J61" s="430"/>
      <c r="K61" s="430"/>
      <c r="L61" s="430"/>
      <c r="M61" s="430"/>
      <c r="N61" s="430"/>
      <c r="O61" s="413"/>
    </row>
    <row r="62" spans="1:15" ht="18.75" customHeight="1" x14ac:dyDescent="0.3">
      <c r="A62" s="414"/>
      <c r="B62" s="591"/>
      <c r="C62" s="587" t="str">
        <f>IF(Form_Check=TRUE,IF('FPS and NFPS calcs'!F24="Tapered","Date of entering the 2015 scheme: ","")&amp;IF('FPS and NFPS calcs'!F24="Tapered",IF(DJS&gt;=NewSchDate,TEXT(DJS,"d mmmm yyyy"),VLOOKUP('FPS and NFPS calcs'!F24,$C$178:$E$180,3,FALSE)),""),"Insufficient data supplied, please fill in rest of form")</f>
        <v>Insufficient data supplied, please fill in rest of form</v>
      </c>
      <c r="D62" s="515"/>
      <c r="E62" s="515"/>
      <c r="F62" s="515"/>
      <c r="G62" s="515"/>
      <c r="H62" s="515"/>
      <c r="I62" s="515"/>
      <c r="J62" s="429"/>
      <c r="K62" s="429"/>
      <c r="L62" s="429"/>
      <c r="M62" s="429"/>
      <c r="N62" s="429"/>
      <c r="O62" s="524"/>
    </row>
    <row r="63" spans="1:15" ht="8.25" customHeight="1" x14ac:dyDescent="0.5">
      <c r="A63" s="414"/>
      <c r="B63" s="591"/>
      <c r="C63" s="586"/>
      <c r="D63" s="515"/>
      <c r="E63" s="515"/>
      <c r="F63" s="515"/>
      <c r="G63" s="515"/>
      <c r="H63" s="515"/>
      <c r="I63" s="515"/>
      <c r="J63" s="429"/>
      <c r="K63" s="429"/>
      <c r="L63" s="429"/>
      <c r="M63" s="429"/>
      <c r="N63" s="429"/>
      <c r="O63" s="532"/>
    </row>
    <row r="64" spans="1:15" ht="17.5" x14ac:dyDescent="0.35">
      <c r="A64" s="409"/>
      <c r="B64" s="581"/>
      <c r="C64" s="588" t="s">
        <v>157</v>
      </c>
      <c r="D64" s="500"/>
      <c r="E64" s="500"/>
      <c r="F64" s="500"/>
      <c r="G64" s="500"/>
      <c r="H64" s="500"/>
      <c r="I64" s="504"/>
      <c r="J64" s="504"/>
      <c r="K64" s="504"/>
      <c r="L64" s="504"/>
      <c r="M64" s="504"/>
      <c r="N64" s="429"/>
      <c r="O64" s="532"/>
    </row>
    <row r="65" spans="1:15" ht="14" x14ac:dyDescent="0.3">
      <c r="A65" s="409"/>
      <c r="B65" s="581"/>
      <c r="C65" s="504"/>
      <c r="D65" s="504"/>
      <c r="E65" s="504"/>
      <c r="F65" s="504"/>
      <c r="G65" s="504"/>
      <c r="H65" s="504"/>
      <c r="I65" s="504"/>
      <c r="J65" s="504"/>
      <c r="K65" s="504"/>
      <c r="L65" s="504"/>
      <c r="M65" s="504"/>
      <c r="N65" s="429"/>
      <c r="O65" s="532"/>
    </row>
    <row r="66" spans="1:15" ht="14" x14ac:dyDescent="0.3">
      <c r="A66" s="409"/>
      <c r="B66" s="581"/>
      <c r="C66" s="504" t="s">
        <v>301</v>
      </c>
      <c r="D66" s="504"/>
      <c r="E66" s="504"/>
      <c r="F66" s="504"/>
      <c r="G66" s="504"/>
      <c r="H66" s="504"/>
      <c r="I66" s="505">
        <f>Summary!D37</f>
        <v>0</v>
      </c>
      <c r="J66" s="504"/>
      <c r="K66" s="504"/>
      <c r="L66" s="504"/>
      <c r="M66" s="504"/>
      <c r="N66" s="429"/>
      <c r="O66" s="532"/>
    </row>
    <row r="67" spans="1:15" ht="14" x14ac:dyDescent="0.3">
      <c r="A67" s="409"/>
      <c r="B67" s="581"/>
      <c r="C67" s="504" t="s">
        <v>588</v>
      </c>
      <c r="D67" s="504"/>
      <c r="E67" s="504"/>
      <c r="F67" s="504"/>
      <c r="G67" s="504"/>
      <c r="H67" s="504"/>
      <c r="I67" s="545" t="e">
        <f>'FPS and NFPS calcs'!F45</f>
        <v>#N/A</v>
      </c>
      <c r="J67" s="504"/>
      <c r="K67" s="504"/>
      <c r="L67" s="504"/>
      <c r="M67" s="504"/>
      <c r="N67" s="429"/>
      <c r="O67" s="532"/>
    </row>
    <row r="68" spans="1:15" ht="14" x14ac:dyDescent="0.3">
      <c r="A68" s="409"/>
      <c r="B68" s="581"/>
      <c r="C68" s="504"/>
      <c r="D68" s="504"/>
      <c r="E68" s="504"/>
      <c r="F68" s="504"/>
      <c r="G68" s="504"/>
      <c r="H68" s="504"/>
      <c r="I68" s="504"/>
      <c r="J68" s="504"/>
      <c r="K68" s="504"/>
      <c r="L68" s="504"/>
      <c r="M68" s="504"/>
      <c r="N68" s="429"/>
      <c r="O68" s="532"/>
    </row>
    <row r="69" spans="1:15" ht="14" x14ac:dyDescent="0.3">
      <c r="A69" s="409"/>
      <c r="B69" s="581"/>
      <c r="C69" s="504"/>
      <c r="D69" s="504"/>
      <c r="E69" s="504"/>
      <c r="F69" s="504"/>
      <c r="G69" s="504"/>
      <c r="H69" s="504"/>
      <c r="I69" s="688" t="s">
        <v>394</v>
      </c>
      <c r="J69" s="688"/>
      <c r="K69" s="688"/>
      <c r="L69" s="688"/>
      <c r="M69" s="688"/>
      <c r="N69" s="429"/>
      <c r="O69" s="532"/>
    </row>
    <row r="70" spans="1:15" ht="14" x14ac:dyDescent="0.3">
      <c r="A70" s="409"/>
      <c r="B70" s="581"/>
      <c r="C70" s="504"/>
      <c r="D70" s="504"/>
      <c r="E70" s="504"/>
      <c r="F70" s="504"/>
      <c r="G70" s="504"/>
      <c r="H70" s="504"/>
      <c r="I70" s="506" t="s">
        <v>393</v>
      </c>
      <c r="J70" s="507"/>
      <c r="K70" s="506" t="s">
        <v>395</v>
      </c>
      <c r="L70" s="507"/>
      <c r="M70" s="506" t="s">
        <v>396</v>
      </c>
      <c r="N70" s="429"/>
      <c r="O70" s="532"/>
    </row>
    <row r="71" spans="1:15" ht="33" customHeight="1" x14ac:dyDescent="0.3">
      <c r="A71" s="409"/>
      <c r="B71" s="581"/>
      <c r="C71" s="589" t="s">
        <v>417</v>
      </c>
      <c r="D71" s="504"/>
      <c r="E71" s="504"/>
      <c r="F71" s="504"/>
      <c r="G71" s="504"/>
      <c r="H71" s="504"/>
      <c r="I71" s="508"/>
      <c r="J71" s="509"/>
      <c r="K71" s="508"/>
      <c r="L71" s="509"/>
      <c r="M71" s="508"/>
      <c r="N71" s="429"/>
      <c r="O71" s="532"/>
    </row>
    <row r="72" spans="1:15" ht="16.5" x14ac:dyDescent="0.35">
      <c r="A72" s="430"/>
      <c r="B72" s="581"/>
      <c r="C72" s="590" t="s">
        <v>406</v>
      </c>
      <c r="D72" s="504"/>
      <c r="E72" s="504"/>
      <c r="F72" s="504"/>
      <c r="G72" s="504"/>
      <c r="H72" s="504"/>
      <c r="I72" s="504"/>
      <c r="J72" s="504"/>
      <c r="K72" s="504"/>
      <c r="L72" s="504"/>
      <c r="M72" s="504"/>
      <c r="N72" s="429"/>
      <c r="O72" s="532"/>
    </row>
    <row r="73" spans="1:15" ht="14" x14ac:dyDescent="0.3">
      <c r="A73" s="430"/>
      <c r="B73" s="581"/>
      <c r="C73" s="504" t="str">
        <f>Scheme_Full&amp;" pension"</f>
        <v xml:space="preserve"> pension</v>
      </c>
      <c r="D73" s="504"/>
      <c r="E73" s="504"/>
      <c r="F73" s="504"/>
      <c r="G73" s="504"/>
      <c r="H73" s="504"/>
      <c r="I73" s="505" t="e">
        <f>IF(Summary!D39="input error",Summary!D39,TEXT(Summary!D39,"£#,##0")&amp;" pa")</f>
        <v>#N/A</v>
      </c>
      <c r="J73" s="504"/>
      <c r="K73" s="505" t="e">
        <f>IF(Summary!E39="input error",Summary!E39,TEXT(Summary!E39,"£#,##0")&amp;" pa")</f>
        <v>#N/A</v>
      </c>
      <c r="L73" s="504"/>
      <c r="M73" s="505" t="e">
        <f>IF(Summary!F39="input error",Summary!F39,TEXT(Summary!F39,"£#,##0")&amp;" pa")</f>
        <v>#N/A</v>
      </c>
      <c r="N73" s="429"/>
      <c r="O73" s="532"/>
    </row>
    <row r="74" spans="1:15" ht="14" x14ac:dyDescent="0.3">
      <c r="A74" s="430"/>
      <c r="B74" s="581"/>
      <c r="C74" s="504" t="str">
        <f>Scheme_Full&amp;" lump sum"</f>
        <v xml:space="preserve"> lump sum</v>
      </c>
      <c r="D74" s="504"/>
      <c r="E74" s="504"/>
      <c r="F74" s="504"/>
      <c r="G74" s="504"/>
      <c r="H74" s="504"/>
      <c r="I74" s="505" t="e">
        <f>Summary!D40</f>
        <v>#N/A</v>
      </c>
      <c r="J74" s="504"/>
      <c r="K74" s="505" t="e">
        <f>Summary!E40</f>
        <v>#N/A</v>
      </c>
      <c r="L74" s="504"/>
      <c r="M74" s="505" t="e">
        <f>Summary!F40</f>
        <v>#N/A</v>
      </c>
      <c r="N74" s="429"/>
      <c r="O74" s="532"/>
    </row>
    <row r="75" spans="1:15" ht="14" x14ac:dyDescent="0.3">
      <c r="A75" s="430"/>
      <c r="B75" s="581"/>
      <c r="C75" s="504"/>
      <c r="D75" s="504"/>
      <c r="E75" s="504"/>
      <c r="F75" s="504"/>
      <c r="G75" s="504"/>
      <c r="H75" s="504"/>
      <c r="I75" s="505" t="s">
        <v>212</v>
      </c>
      <c r="J75" s="504"/>
      <c r="K75" s="505" t="s">
        <v>212</v>
      </c>
      <c r="L75" s="504"/>
      <c r="M75" s="505" t="s">
        <v>212</v>
      </c>
      <c r="N75" s="429"/>
      <c r="O75" s="532"/>
    </row>
    <row r="76" spans="1:15" ht="14" x14ac:dyDescent="0.3">
      <c r="A76" s="430"/>
      <c r="B76" s="581"/>
      <c r="C76" s="504" t="str">
        <f>"2015 Scheme pension" &amp; IF(ChosenRA&gt;=55,""," deferred until SPA")</f>
        <v>2015 Scheme pension deferred until SPA</v>
      </c>
      <c r="D76" s="504"/>
      <c r="E76" s="504"/>
      <c r="F76" s="504"/>
      <c r="G76" s="504"/>
      <c r="H76" s="504"/>
      <c r="I76" s="505" t="e">
        <f ca="1">IF(Summary!D41="Input Error",Summary!D41,TEXT(Summary!D41,"£#,##0")&amp;" pa")</f>
        <v>#N/A</v>
      </c>
      <c r="J76" s="504"/>
      <c r="K76" s="505" t="e">
        <f ca="1">IF(Summary!E41="Input Error",Summary!E41,TEXT(Summary!E41,"£#,##0")&amp;" pa")</f>
        <v>#N/A</v>
      </c>
      <c r="L76" s="504"/>
      <c r="M76" s="505" t="e">
        <f ca="1">IF(Summary!F41="Input Error",Summary!F41,TEXT(Summary!F41,"£#,##0")&amp;" pa")</f>
        <v>#N/A</v>
      </c>
      <c r="N76" s="429"/>
      <c r="O76" s="532"/>
    </row>
    <row r="77" spans="1:15" ht="14" x14ac:dyDescent="0.3">
      <c r="A77" s="430"/>
      <c r="B77" s="581"/>
      <c r="C77" s="504" t="str">
        <f>"2015 Scheme lump sum" &amp; IF(ChosenRA&gt;=55,""," deferred until SPA")</f>
        <v>2015 Scheme lump sum deferred until SPA</v>
      </c>
      <c r="D77" s="504"/>
      <c r="E77" s="504"/>
      <c r="F77" s="504"/>
      <c r="G77" s="504"/>
      <c r="H77" s="504"/>
      <c r="I77" s="505" t="e">
        <f ca="1">Summary!D42</f>
        <v>#N/A</v>
      </c>
      <c r="J77" s="504"/>
      <c r="K77" s="505" t="e">
        <f ca="1">Summary!E42</f>
        <v>#N/A</v>
      </c>
      <c r="L77" s="504"/>
      <c r="M77" s="505" t="e">
        <f ca="1">Summary!F42</f>
        <v>#N/A</v>
      </c>
      <c r="N77" s="429"/>
      <c r="O77" s="532"/>
    </row>
    <row r="78" spans="1:15" ht="14" x14ac:dyDescent="0.3">
      <c r="A78" s="430"/>
      <c r="B78" s="581"/>
      <c r="C78" s="504"/>
      <c r="D78" s="504"/>
      <c r="E78" s="504"/>
      <c r="F78" s="504"/>
      <c r="G78" s="504"/>
      <c r="H78" s="504"/>
      <c r="I78" s="504"/>
      <c r="J78" s="504"/>
      <c r="K78" s="504"/>
      <c r="L78" s="504"/>
      <c r="M78" s="504"/>
      <c r="N78" s="429"/>
      <c r="O78" s="532"/>
    </row>
    <row r="79" spans="1:15" ht="14" x14ac:dyDescent="0.3">
      <c r="A79" s="430"/>
      <c r="B79" s="581"/>
      <c r="C79" s="504" t="str">
        <f>IF(ChosenRA&gt;=55,"Total pension","")</f>
        <v/>
      </c>
      <c r="D79" s="504"/>
      <c r="E79" s="504"/>
      <c r="F79" s="504"/>
      <c r="G79" s="504"/>
      <c r="H79" s="504"/>
      <c r="I79" s="505" t="str">
        <f>IF(ChosenRA&lt;55,"",IF(OR(Summary!D20&lt;0,Summary!D29&lt;0),"input error",TEXT(Summary!D43,"£#,##0")&amp;" pa"))</f>
        <v/>
      </c>
      <c r="J79" s="504"/>
      <c r="K79" s="505" t="str">
        <f>IF(ChosenRA&lt;55,"",IF(OR(Summary!E20&lt;0,Summary!E29&lt;0),"input error",TEXT(Summary!E43,"£#,##0")&amp;" pa"))</f>
        <v/>
      </c>
      <c r="L79" s="504"/>
      <c r="M79" s="505" t="str">
        <f>IF(ChosenRA&lt;55,"",IF(OR(Summary!F20&lt;0,Summary!F29&lt;0),"input error",TEXT(Summary!F43,"£#,##0")&amp;" pa"))</f>
        <v/>
      </c>
      <c r="N79" s="429"/>
      <c r="O79" s="532"/>
    </row>
    <row r="80" spans="1:15" ht="14" x14ac:dyDescent="0.3">
      <c r="A80" s="430"/>
      <c r="B80" s="581"/>
      <c r="C80" s="504" t="str">
        <f>IF(ChosenRA&gt;=55,"Total lump sum","")</f>
        <v/>
      </c>
      <c r="D80" s="504"/>
      <c r="E80" s="504"/>
      <c r="F80" s="504"/>
      <c r="G80" s="504"/>
      <c r="H80" s="504"/>
      <c r="I80" s="505" t="str">
        <f>IF(ChosenRA&lt;55,"",Summary!D44)</f>
        <v/>
      </c>
      <c r="J80" s="504"/>
      <c r="K80" s="505" t="str">
        <f>IF(ChosenRA&lt;55,"",Summary!E44)</f>
        <v/>
      </c>
      <c r="L80" s="504"/>
      <c r="M80" s="505" t="str">
        <f>IF(ChosenRA&lt;55,"",Summary!F44)</f>
        <v/>
      </c>
      <c r="N80" s="429"/>
      <c r="O80" s="532"/>
    </row>
    <row r="81" spans="1:15" ht="14" x14ac:dyDescent="0.3">
      <c r="A81" s="430"/>
      <c r="B81" s="581"/>
      <c r="C81" s="504"/>
      <c r="D81" s="504"/>
      <c r="E81" s="504"/>
      <c r="F81" s="504"/>
      <c r="G81" s="504"/>
      <c r="H81" s="504"/>
      <c r="I81" s="505"/>
      <c r="J81" s="504"/>
      <c r="K81" s="505"/>
      <c r="L81" s="504"/>
      <c r="M81" s="505"/>
      <c r="N81" s="429"/>
      <c r="O81" s="532"/>
    </row>
    <row r="82" spans="1:15" ht="29.25" customHeight="1" x14ac:dyDescent="0.3">
      <c r="A82" s="409"/>
      <c r="B82" s="581"/>
      <c r="C82" s="589" t="s">
        <v>417</v>
      </c>
      <c r="D82" s="504"/>
      <c r="E82" s="504"/>
      <c r="F82" s="504"/>
      <c r="G82" s="504"/>
      <c r="H82" s="504"/>
      <c r="I82" s="504"/>
      <c r="J82" s="504"/>
      <c r="K82" s="504"/>
      <c r="L82" s="504"/>
      <c r="M82" s="504"/>
      <c r="N82" s="429"/>
      <c r="O82" s="532"/>
    </row>
    <row r="83" spans="1:15" ht="16.5" x14ac:dyDescent="0.35">
      <c r="A83" s="409"/>
      <c r="B83" s="581"/>
      <c r="C83" s="590" t="s">
        <v>407</v>
      </c>
      <c r="D83" s="504"/>
      <c r="E83" s="504"/>
      <c r="F83" s="504"/>
      <c r="G83" s="504"/>
      <c r="H83" s="504"/>
      <c r="I83" s="504"/>
      <c r="J83" s="504"/>
      <c r="K83" s="504"/>
      <c r="L83" s="504"/>
      <c r="M83" s="504"/>
      <c r="N83" s="429"/>
      <c r="O83" s="532"/>
    </row>
    <row r="84" spans="1:15" ht="14" x14ac:dyDescent="0.3">
      <c r="A84" s="409"/>
      <c r="B84" s="581"/>
      <c r="C84" s="504" t="str">
        <f>Scheme_Full&amp;" pension"</f>
        <v xml:space="preserve"> pension</v>
      </c>
      <c r="D84" s="504"/>
      <c r="E84" s="504"/>
      <c r="F84" s="504"/>
      <c r="G84" s="504"/>
      <c r="H84" s="504"/>
      <c r="I84" s="505" t="e">
        <f>IF(Summary!D45="input error",Summary!D45,TEXT(Summary!D45,"£#,##0")&amp;" pa")</f>
        <v>#N/A</v>
      </c>
      <c r="J84" s="504"/>
      <c r="K84" s="505" t="e">
        <f>IF(Summary!E45="input error",Summary!E45,TEXT(Summary!E45,"£#,##0")&amp;" pa")</f>
        <v>#N/A</v>
      </c>
      <c r="L84" s="504"/>
      <c r="M84" s="505" t="e">
        <f>IF(Summary!F45="input error",Summary!F45,TEXT(Summary!F45,"£#,##0")&amp;" pa")</f>
        <v>#N/A</v>
      </c>
      <c r="N84" s="429"/>
      <c r="O84" s="532"/>
    </row>
    <row r="85" spans="1:15" ht="14" x14ac:dyDescent="0.3">
      <c r="A85" s="409"/>
      <c r="B85" s="581"/>
      <c r="C85" s="504" t="str">
        <f>Scheme_Full&amp;" lump sum"</f>
        <v xml:space="preserve"> lump sum</v>
      </c>
      <c r="D85" s="504"/>
      <c r="E85" s="504"/>
      <c r="F85" s="504"/>
      <c r="G85" s="504"/>
      <c r="H85" s="504"/>
      <c r="I85" s="505" t="e">
        <f>Summary!D46</f>
        <v>#N/A</v>
      </c>
      <c r="J85" s="504"/>
      <c r="K85" s="505" t="e">
        <f>IF(CurrentScheme="NPPS",ROUND(Summary!E18,-2),0)</f>
        <v>#N/A</v>
      </c>
      <c r="L85" s="504"/>
      <c r="M85" s="505" t="e">
        <f>IF(CurrentScheme="NPPS",ROUND(Summary!F18,-2),0)</f>
        <v>#N/A</v>
      </c>
      <c r="N85" s="429"/>
      <c r="O85" s="532"/>
    </row>
    <row r="86" spans="1:15" ht="14" x14ac:dyDescent="0.3">
      <c r="A86" s="409"/>
      <c r="B86" s="581"/>
      <c r="C86" s="504"/>
      <c r="D86" s="504"/>
      <c r="E86" s="504"/>
      <c r="F86" s="504"/>
      <c r="G86" s="504"/>
      <c r="H86" s="504"/>
      <c r="I86" s="505" t="s">
        <v>212</v>
      </c>
      <c r="J86" s="504"/>
      <c r="K86" s="505" t="s">
        <v>212</v>
      </c>
      <c r="L86" s="504"/>
      <c r="M86" s="505" t="s">
        <v>212</v>
      </c>
      <c r="N86" s="429"/>
      <c r="O86" s="532"/>
    </row>
    <row r="87" spans="1:15" ht="14" x14ac:dyDescent="0.3">
      <c r="A87" s="409"/>
      <c r="B87" s="581"/>
      <c r="C87" s="504" t="str">
        <f>"2015 Scheme pension" &amp; IF(ChosenRA&gt;=55,""," deferred until SPA")</f>
        <v>2015 Scheme pension deferred until SPA</v>
      </c>
      <c r="D87" s="504"/>
      <c r="E87" s="504"/>
      <c r="F87" s="504"/>
      <c r="G87" s="504"/>
      <c r="H87" s="504"/>
      <c r="I87" s="505" t="e">
        <f ca="1">IF(Summary!D47="input error",Summary!D47,TEXT(Summary!D47,"£#,##0")&amp;" pa")</f>
        <v>#N/A</v>
      </c>
      <c r="J87" s="504"/>
      <c r="K87" s="505" t="e">
        <f ca="1">IF(Summary!E47="input error",Summary!E47,TEXT(Summary!E47,"£#,##0")&amp;" pa")</f>
        <v>#N/A</v>
      </c>
      <c r="L87" s="504"/>
      <c r="M87" s="505" t="e">
        <f ca="1">IF(Summary!F47="input error",Summary!F47,TEXT(Summary!F47,"£#,##0")&amp;" pa")</f>
        <v>#N/A</v>
      </c>
      <c r="N87" s="429"/>
      <c r="O87" s="532"/>
    </row>
    <row r="88" spans="1:15" ht="14" x14ac:dyDescent="0.3">
      <c r="A88" s="409"/>
      <c r="B88" s="581"/>
      <c r="C88" s="504"/>
      <c r="D88" s="504"/>
      <c r="E88" s="504"/>
      <c r="F88" s="504"/>
      <c r="G88" s="504"/>
      <c r="H88" s="504"/>
      <c r="I88" s="505"/>
      <c r="J88" s="504"/>
      <c r="K88" s="505"/>
      <c r="L88" s="504"/>
      <c r="M88" s="505"/>
      <c r="N88" s="429"/>
      <c r="O88" s="532"/>
    </row>
    <row r="89" spans="1:15" ht="14" x14ac:dyDescent="0.3">
      <c r="A89" s="409"/>
      <c r="B89" s="581"/>
      <c r="C89" s="504" t="str">
        <f>IF(ChosenRA&gt;=55,"Total pension","")</f>
        <v/>
      </c>
      <c r="D89" s="504"/>
      <c r="E89" s="504"/>
      <c r="F89" s="504"/>
      <c r="G89" s="504"/>
      <c r="H89" s="504"/>
      <c r="I89" s="505" t="str">
        <f>IF(ChosenRA&lt;55,"",IF(Summary!D48="input error",Summary!D48,TEXT(Summary!D48,"£#,##0")&amp;" pa"))</f>
        <v/>
      </c>
      <c r="J89" s="504"/>
      <c r="K89" s="505" t="str">
        <f>IF(ChosenRA&lt;55,"",IF(Summary!E48="input error",Summary!E48,TEXT(Summary!E48,"£#,##0")&amp;" pa"))</f>
        <v/>
      </c>
      <c r="L89" s="504"/>
      <c r="M89" s="505" t="str">
        <f>IF(ChosenRA&lt;55,"",IF(Summary!F48="input error",Summary!F48,TEXT(Summary!F48,"£#,##0")&amp;" pa"))</f>
        <v/>
      </c>
      <c r="N89" s="429"/>
      <c r="O89" s="532"/>
    </row>
    <row r="90" spans="1:15" ht="14" x14ac:dyDescent="0.3">
      <c r="A90" s="409"/>
      <c r="B90" s="581"/>
      <c r="C90" s="504" t="str">
        <f>IF(ChosenRA&gt;=55,"Total lump sum","")</f>
        <v/>
      </c>
      <c r="D90" s="504"/>
      <c r="E90" s="504"/>
      <c r="F90" s="504"/>
      <c r="G90" s="504"/>
      <c r="H90" s="504"/>
      <c r="I90" s="505" t="str">
        <f>IF(ChosenRA&gt;=55,I85,"")</f>
        <v/>
      </c>
      <c r="J90" s="504"/>
      <c r="K90" s="505" t="str">
        <f>IF(ChosenRA&gt;=55,K85,"")</f>
        <v/>
      </c>
      <c r="L90" s="504"/>
      <c r="M90" s="505" t="str">
        <f>IF(ChosenRA&gt;=55,M85,"")</f>
        <v/>
      </c>
      <c r="N90" s="429"/>
      <c r="O90" s="532"/>
    </row>
    <row r="91" spans="1:15" ht="14" x14ac:dyDescent="0.3">
      <c r="A91" s="409"/>
      <c r="B91" s="584"/>
      <c r="C91" s="511"/>
      <c r="D91" s="510"/>
      <c r="E91" s="510"/>
      <c r="F91" s="510"/>
      <c r="G91" s="510"/>
      <c r="H91" s="510"/>
      <c r="I91" s="511"/>
      <c r="J91" s="511"/>
      <c r="K91" s="511"/>
      <c r="L91" s="511"/>
      <c r="M91" s="511"/>
      <c r="N91" s="512"/>
      <c r="O91" s="533"/>
    </row>
    <row r="92" spans="1:15" ht="14.5" thickBot="1" x14ac:dyDescent="0.35">
      <c r="A92" s="409"/>
      <c r="B92" s="409"/>
      <c r="C92" s="500"/>
      <c r="D92" s="504"/>
      <c r="E92" s="504"/>
      <c r="F92" s="504"/>
      <c r="G92" s="504"/>
      <c r="H92" s="504"/>
      <c r="I92" s="500"/>
      <c r="J92" s="500"/>
      <c r="K92" s="500"/>
      <c r="L92" s="500"/>
      <c r="M92" s="500"/>
      <c r="N92" s="429"/>
      <c r="O92" s="429"/>
    </row>
    <row r="93" spans="1:15" ht="21.75" customHeight="1" x14ac:dyDescent="0.4">
      <c r="A93" s="409"/>
      <c r="B93" s="409"/>
      <c r="C93" s="695" t="s">
        <v>585</v>
      </c>
      <c r="D93" s="696"/>
      <c r="E93" s="697"/>
      <c r="F93" s="409"/>
      <c r="G93" s="701" t="s">
        <v>586</v>
      </c>
      <c r="H93" s="702"/>
      <c r="I93" s="703"/>
      <c r="J93" s="409"/>
      <c r="K93" s="701" t="s">
        <v>587</v>
      </c>
      <c r="L93" s="702"/>
      <c r="M93" s="703"/>
      <c r="N93" s="514"/>
      <c r="O93" s="429"/>
    </row>
    <row r="94" spans="1:15" ht="21.75" customHeight="1" thickBot="1" x14ac:dyDescent="0.45">
      <c r="A94" s="409"/>
      <c r="B94" s="409"/>
      <c r="C94" s="698"/>
      <c r="D94" s="699"/>
      <c r="E94" s="700"/>
      <c r="F94" s="409"/>
      <c r="G94" s="704"/>
      <c r="H94" s="705"/>
      <c r="I94" s="706"/>
      <c r="J94" s="409"/>
      <c r="K94" s="704"/>
      <c r="L94" s="705"/>
      <c r="M94" s="706"/>
      <c r="N94" s="514"/>
      <c r="O94" s="429"/>
    </row>
    <row r="95" spans="1:15" ht="13.5" customHeight="1" x14ac:dyDescent="0.35">
      <c r="A95" s="409"/>
      <c r="B95" s="409"/>
      <c r="C95" s="500"/>
      <c r="D95" s="499"/>
      <c r="E95" s="499"/>
      <c r="F95" s="499"/>
      <c r="G95" s="499"/>
      <c r="H95" s="499"/>
      <c r="I95" s="501"/>
      <c r="J95" s="501"/>
      <c r="K95" s="501"/>
      <c r="L95" s="501"/>
      <c r="M95" s="501"/>
      <c r="N95" s="409"/>
      <c r="O95" s="409"/>
    </row>
    <row r="96" spans="1:15" ht="15.5" x14ac:dyDescent="0.35">
      <c r="A96" s="409"/>
      <c r="B96" s="409"/>
      <c r="C96" s="431"/>
      <c r="D96" s="232"/>
      <c r="E96" s="232"/>
      <c r="F96" s="232"/>
      <c r="G96" s="232"/>
      <c r="H96" s="232"/>
      <c r="I96" s="232"/>
      <c r="J96" s="232"/>
      <c r="K96" s="232"/>
      <c r="L96" s="232"/>
      <c r="M96" s="232"/>
      <c r="N96" s="232"/>
    </row>
    <row r="97" spans="1:15" ht="27" customHeight="1" x14ac:dyDescent="0.25">
      <c r="A97" s="409"/>
      <c r="B97" s="409"/>
      <c r="C97" s="685"/>
      <c r="D97" s="685"/>
      <c r="E97" s="685"/>
      <c r="F97" s="685"/>
      <c r="G97" s="685"/>
      <c r="H97" s="685"/>
      <c r="I97" s="685"/>
      <c r="J97" s="685"/>
      <c r="K97" s="685"/>
      <c r="L97" s="685"/>
      <c r="M97" s="685"/>
      <c r="N97" s="685"/>
    </row>
    <row r="98" spans="1:15" ht="13" x14ac:dyDescent="0.25">
      <c r="A98" s="409"/>
      <c r="B98" s="409"/>
      <c r="C98" s="685"/>
      <c r="D98" s="685"/>
      <c r="E98" s="685"/>
      <c r="F98" s="685"/>
      <c r="G98" s="685"/>
      <c r="H98" s="685"/>
      <c r="I98" s="685"/>
      <c r="J98" s="685"/>
      <c r="K98" s="685"/>
      <c r="L98" s="685"/>
      <c r="M98" s="685"/>
      <c r="N98" s="685"/>
    </row>
    <row r="99" spans="1:15" ht="30.75" customHeight="1" x14ac:dyDescent="0.25">
      <c r="A99" s="409"/>
      <c r="B99" s="409"/>
      <c r="C99" s="685"/>
      <c r="D99" s="684"/>
      <c r="E99" s="684"/>
      <c r="F99" s="684"/>
      <c r="G99" s="684"/>
      <c r="H99" s="684"/>
      <c r="I99" s="684"/>
      <c r="J99" s="684"/>
      <c r="K99" s="684"/>
      <c r="L99" s="684"/>
      <c r="M99" s="684"/>
      <c r="N99" s="684"/>
    </row>
    <row r="100" spans="1:15" ht="13" x14ac:dyDescent="0.25">
      <c r="A100" s="409"/>
      <c r="B100" s="409"/>
      <c r="C100" s="689"/>
      <c r="D100" s="689"/>
      <c r="E100" s="689"/>
      <c r="F100" s="689"/>
      <c r="G100" s="689"/>
      <c r="H100" s="689"/>
      <c r="I100" s="689"/>
      <c r="J100" s="689"/>
      <c r="K100" s="689"/>
      <c r="L100" s="689"/>
      <c r="M100" s="689"/>
      <c r="N100" s="689"/>
    </row>
    <row r="101" spans="1:15" ht="13" x14ac:dyDescent="0.25">
      <c r="A101" s="409"/>
      <c r="B101" s="409"/>
      <c r="C101" s="689"/>
      <c r="D101" s="689"/>
      <c r="E101" s="689"/>
      <c r="F101" s="689"/>
      <c r="G101" s="689"/>
      <c r="H101" s="689"/>
      <c r="I101" s="689"/>
      <c r="J101" s="689"/>
      <c r="K101" s="689"/>
      <c r="L101" s="689"/>
      <c r="M101" s="689"/>
      <c r="N101" s="689"/>
    </row>
    <row r="102" spans="1:15" ht="43.5" customHeight="1" x14ac:dyDescent="0.25">
      <c r="A102" s="409"/>
      <c r="B102" s="409"/>
      <c r="C102" s="685"/>
      <c r="D102" s="684"/>
      <c r="E102" s="684"/>
      <c r="F102" s="684"/>
      <c r="G102" s="684"/>
      <c r="H102" s="684"/>
      <c r="I102" s="684"/>
      <c r="J102" s="684"/>
      <c r="K102" s="684"/>
      <c r="L102" s="684"/>
      <c r="M102" s="684"/>
      <c r="N102" s="684"/>
    </row>
    <row r="103" spans="1:15" ht="42.75" customHeight="1" x14ac:dyDescent="0.25">
      <c r="A103" s="409"/>
      <c r="B103" s="409"/>
      <c r="C103" s="685"/>
      <c r="D103" s="684"/>
      <c r="E103" s="684"/>
      <c r="F103" s="684"/>
      <c r="G103" s="684"/>
      <c r="H103" s="684"/>
      <c r="I103" s="684"/>
      <c r="J103" s="684"/>
      <c r="K103" s="684"/>
      <c r="L103" s="684"/>
      <c r="M103" s="684"/>
      <c r="N103" s="684"/>
    </row>
    <row r="104" spans="1:15" ht="13" x14ac:dyDescent="0.25">
      <c r="A104" s="409"/>
      <c r="B104" s="409"/>
      <c r="C104" s="691"/>
      <c r="D104" s="691"/>
      <c r="E104" s="691"/>
      <c r="F104" s="691"/>
      <c r="G104" s="691"/>
      <c r="H104" s="691"/>
      <c r="I104" s="691"/>
      <c r="J104" s="691"/>
      <c r="K104" s="691"/>
      <c r="L104" s="691"/>
      <c r="M104" s="691"/>
      <c r="N104" s="691"/>
    </row>
    <row r="105" spans="1:15" ht="54" customHeight="1" x14ac:dyDescent="0.25">
      <c r="A105" s="534"/>
      <c r="B105" s="534"/>
      <c r="C105" s="685"/>
      <c r="D105" s="684"/>
      <c r="E105" s="684"/>
      <c r="F105" s="684"/>
      <c r="G105" s="684"/>
      <c r="H105" s="684"/>
      <c r="I105" s="684"/>
      <c r="J105" s="684"/>
      <c r="K105" s="684"/>
      <c r="L105" s="684"/>
      <c r="M105" s="684"/>
      <c r="N105" s="684"/>
    </row>
    <row r="106" spans="1:15" ht="36" customHeight="1" x14ac:dyDescent="0.25">
      <c r="A106" s="534"/>
      <c r="B106" s="534"/>
      <c r="C106" s="685"/>
      <c r="D106" s="685"/>
      <c r="E106" s="685"/>
      <c r="F106" s="685"/>
      <c r="G106" s="685"/>
      <c r="H106" s="685"/>
      <c r="I106" s="685"/>
      <c r="J106" s="685"/>
      <c r="K106" s="685"/>
      <c r="L106" s="685"/>
      <c r="M106" s="685"/>
      <c r="N106" s="685"/>
    </row>
    <row r="107" spans="1:15" ht="42.75" customHeight="1" x14ac:dyDescent="0.25">
      <c r="A107" s="534"/>
      <c r="B107" s="534"/>
      <c r="C107" s="685"/>
      <c r="D107" s="684"/>
      <c r="E107" s="684"/>
      <c r="F107" s="684"/>
      <c r="G107" s="684"/>
      <c r="H107" s="684"/>
      <c r="I107" s="684"/>
      <c r="J107" s="684"/>
      <c r="K107" s="684"/>
      <c r="L107" s="684"/>
      <c r="M107" s="684"/>
      <c r="N107" s="684"/>
    </row>
    <row r="108" spans="1:15" ht="15.75" customHeight="1" x14ac:dyDescent="0.25">
      <c r="A108" s="534"/>
      <c r="B108" s="534"/>
      <c r="C108" s="685"/>
      <c r="D108" s="684"/>
      <c r="E108" s="684"/>
      <c r="F108" s="684"/>
      <c r="G108" s="684"/>
      <c r="H108" s="684"/>
      <c r="I108" s="684"/>
      <c r="J108" s="684"/>
      <c r="K108" s="684"/>
      <c r="L108" s="684"/>
      <c r="M108" s="684"/>
      <c r="N108" s="684"/>
    </row>
    <row r="109" spans="1:15" ht="42" customHeight="1" x14ac:dyDescent="0.25">
      <c r="A109" s="534"/>
      <c r="B109" s="534"/>
      <c r="C109" s="685"/>
      <c r="D109" s="684"/>
      <c r="E109" s="684"/>
      <c r="F109" s="684"/>
      <c r="G109" s="684"/>
      <c r="H109" s="684"/>
      <c r="I109" s="684"/>
      <c r="J109" s="684"/>
      <c r="K109" s="684"/>
      <c r="L109" s="684"/>
      <c r="M109" s="684"/>
      <c r="N109" s="684"/>
    </row>
    <row r="110" spans="1:15" ht="18.75" customHeight="1" x14ac:dyDescent="0.25">
      <c r="A110" s="409"/>
      <c r="B110" s="409"/>
      <c r="C110" s="679"/>
      <c r="D110" s="679"/>
      <c r="E110" s="679"/>
      <c r="F110" s="679"/>
      <c r="G110" s="679"/>
      <c r="H110" s="679"/>
      <c r="I110" s="679"/>
      <c r="J110" s="679"/>
      <c r="K110" s="679"/>
      <c r="L110" s="679"/>
      <c r="M110" s="679"/>
      <c r="N110" s="679"/>
    </row>
    <row r="111" spans="1:15" ht="30.75" customHeight="1" x14ac:dyDescent="0.25">
      <c r="A111" s="409"/>
      <c r="B111" s="409"/>
      <c r="C111" s="684"/>
      <c r="D111" s="684"/>
      <c r="E111" s="684"/>
      <c r="F111" s="684"/>
      <c r="G111" s="684"/>
      <c r="H111" s="684"/>
      <c r="I111" s="684"/>
      <c r="J111" s="684"/>
      <c r="K111" s="684"/>
      <c r="L111" s="684"/>
      <c r="M111" s="684"/>
      <c r="N111" s="684"/>
    </row>
    <row r="112" spans="1:15" ht="28.5" customHeight="1" x14ac:dyDescent="0.25">
      <c r="A112" s="534"/>
      <c r="B112" s="534"/>
      <c r="C112" s="690"/>
      <c r="D112" s="690"/>
      <c r="E112" s="690"/>
      <c r="F112" s="690"/>
      <c r="G112" s="690"/>
      <c r="H112" s="690"/>
      <c r="I112" s="690"/>
      <c r="J112" s="690"/>
      <c r="K112" s="690"/>
      <c r="L112" s="690"/>
      <c r="M112" s="690"/>
      <c r="N112" s="690"/>
      <c r="O112" s="226"/>
    </row>
    <row r="113" spans="1:14" ht="21" customHeight="1" x14ac:dyDescent="0.25">
      <c r="A113" s="534"/>
      <c r="B113" s="534"/>
      <c r="C113" s="686"/>
      <c r="D113" s="687"/>
      <c r="E113" s="687"/>
      <c r="F113" s="687"/>
      <c r="G113" s="687"/>
      <c r="H113" s="687"/>
      <c r="I113" s="687"/>
      <c r="J113" s="687"/>
      <c r="K113" s="687"/>
      <c r="L113" s="687"/>
      <c r="M113" s="687"/>
      <c r="N113" s="687"/>
    </row>
    <row r="114" spans="1:14" ht="18.75" customHeight="1" x14ac:dyDescent="0.35">
      <c r="A114" s="534"/>
      <c r="B114" s="534"/>
      <c r="C114" s="431"/>
      <c r="D114" s="233"/>
      <c r="E114" s="233"/>
      <c r="F114" s="233"/>
      <c r="G114" s="233"/>
      <c r="H114" s="233"/>
      <c r="I114" s="233"/>
      <c r="J114" s="233"/>
      <c r="K114" s="233"/>
      <c r="L114" s="233"/>
      <c r="M114" s="233"/>
      <c r="N114" s="233"/>
    </row>
    <row r="115" spans="1:14" ht="18.75" customHeight="1" x14ac:dyDescent="0.25">
      <c r="A115" s="534"/>
      <c r="B115" s="534"/>
      <c r="C115" s="680"/>
      <c r="D115" s="680"/>
      <c r="E115" s="680"/>
      <c r="F115" s="680"/>
      <c r="G115" s="680"/>
      <c r="H115" s="680"/>
      <c r="I115" s="680"/>
      <c r="J115" s="680"/>
      <c r="K115" s="680"/>
      <c r="L115" s="680"/>
      <c r="M115" s="680"/>
      <c r="N115" s="680"/>
    </row>
    <row r="116" spans="1:14" ht="14.25" customHeight="1" x14ac:dyDescent="0.25">
      <c r="A116" s="534"/>
      <c r="B116" s="534"/>
      <c r="C116" s="677"/>
      <c r="D116" s="677"/>
      <c r="E116" s="677"/>
      <c r="F116" s="677"/>
      <c r="G116" s="677"/>
      <c r="H116" s="677"/>
      <c r="I116" s="677"/>
      <c r="J116" s="677"/>
      <c r="K116" s="677"/>
      <c r="L116" s="677"/>
      <c r="M116" s="677"/>
      <c r="N116" s="677"/>
    </row>
    <row r="117" spans="1:14" ht="28.5" customHeight="1" x14ac:dyDescent="0.25">
      <c r="A117" s="534"/>
      <c r="B117" s="534"/>
      <c r="C117" s="682"/>
      <c r="D117" s="681"/>
      <c r="E117" s="681"/>
      <c r="F117" s="681"/>
      <c r="G117" s="681"/>
      <c r="H117" s="681"/>
      <c r="I117" s="681"/>
      <c r="J117" s="681"/>
      <c r="K117" s="681"/>
      <c r="L117" s="681"/>
      <c r="M117" s="681"/>
      <c r="N117" s="681"/>
    </row>
    <row r="118" spans="1:14" ht="3.75" customHeight="1" x14ac:dyDescent="0.25">
      <c r="A118" s="534"/>
      <c r="B118" s="534"/>
      <c r="C118" s="683"/>
      <c r="D118" s="683"/>
      <c r="E118" s="683"/>
      <c r="F118" s="683"/>
      <c r="G118" s="683"/>
      <c r="H118" s="683"/>
      <c r="I118" s="683"/>
      <c r="J118" s="683"/>
      <c r="K118" s="683"/>
      <c r="L118" s="683"/>
      <c r="M118" s="683"/>
      <c r="N118" s="683"/>
    </row>
    <row r="119" spans="1:14" ht="12.75" customHeight="1" x14ac:dyDescent="0.25">
      <c r="A119" s="534"/>
      <c r="B119" s="534"/>
      <c r="C119" s="432"/>
      <c r="D119" s="234"/>
      <c r="E119" s="234"/>
      <c r="F119" s="234"/>
      <c r="G119" s="234"/>
      <c r="H119" s="234"/>
      <c r="I119" s="234"/>
      <c r="J119" s="234"/>
      <c r="K119" s="234"/>
      <c r="L119" s="234"/>
      <c r="M119" s="234"/>
      <c r="N119" s="234"/>
    </row>
    <row r="120" spans="1:14" ht="13.5" customHeight="1" x14ac:dyDescent="0.25">
      <c r="A120" s="534"/>
      <c r="B120" s="534"/>
      <c r="C120" s="681"/>
      <c r="D120" s="681"/>
      <c r="E120" s="681"/>
      <c r="F120" s="681"/>
      <c r="G120" s="681"/>
      <c r="H120" s="681"/>
      <c r="I120" s="681"/>
      <c r="J120" s="681"/>
      <c r="K120" s="681"/>
      <c r="L120" s="681"/>
      <c r="M120" s="681"/>
      <c r="N120" s="681"/>
    </row>
    <row r="121" spans="1:14" ht="24.75" customHeight="1" x14ac:dyDescent="0.25">
      <c r="A121" s="534"/>
      <c r="B121" s="534"/>
      <c r="C121" s="681"/>
      <c r="D121" s="681"/>
      <c r="E121" s="681"/>
      <c r="F121" s="681"/>
      <c r="G121" s="681"/>
      <c r="H121" s="681"/>
      <c r="I121" s="681"/>
      <c r="J121" s="681"/>
      <c r="K121" s="681"/>
      <c r="L121" s="681"/>
      <c r="M121" s="681"/>
      <c r="N121" s="681"/>
    </row>
    <row r="122" spans="1:14" ht="9" customHeight="1" x14ac:dyDescent="0.25">
      <c r="A122" s="534"/>
      <c r="B122" s="534"/>
      <c r="C122" s="433"/>
      <c r="D122" s="235"/>
      <c r="E122" s="235"/>
      <c r="F122" s="235"/>
      <c r="G122" s="235"/>
      <c r="H122" s="235"/>
      <c r="I122" s="235"/>
      <c r="J122" s="235"/>
      <c r="K122" s="235"/>
      <c r="L122" s="235"/>
      <c r="M122" s="235"/>
      <c r="N122" s="235"/>
    </row>
    <row r="123" spans="1:14" ht="12.75" customHeight="1" x14ac:dyDescent="0.35">
      <c r="A123" s="534"/>
      <c r="B123" s="534"/>
      <c r="C123" s="431"/>
      <c r="D123" s="236"/>
      <c r="E123" s="236"/>
      <c r="F123" s="236"/>
      <c r="G123" s="236"/>
      <c r="H123" s="236"/>
      <c r="I123" s="236"/>
      <c r="J123" s="236"/>
      <c r="K123" s="237"/>
      <c r="L123" s="237"/>
      <c r="M123" s="237"/>
      <c r="N123" s="237"/>
    </row>
    <row r="124" spans="1:14" ht="26.25" customHeight="1" x14ac:dyDescent="0.25">
      <c r="A124" s="534"/>
      <c r="B124" s="534"/>
      <c r="C124" s="682"/>
      <c r="D124" s="682"/>
      <c r="E124" s="682"/>
      <c r="F124" s="682"/>
      <c r="G124" s="682"/>
      <c r="H124" s="682"/>
      <c r="I124" s="682"/>
      <c r="J124" s="682"/>
      <c r="K124" s="682"/>
      <c r="L124" s="682"/>
      <c r="M124" s="682"/>
      <c r="N124" s="682"/>
    </row>
    <row r="125" spans="1:14" ht="12.75" customHeight="1" x14ac:dyDescent="0.25">
      <c r="A125" s="534"/>
      <c r="B125" s="534"/>
      <c r="C125" s="678"/>
      <c r="D125" s="678"/>
      <c r="E125" s="678"/>
      <c r="F125" s="678"/>
      <c r="G125" s="678"/>
      <c r="H125" s="678"/>
      <c r="I125" s="678"/>
      <c r="J125" s="678"/>
      <c r="K125" s="678"/>
      <c r="L125" s="678"/>
      <c r="M125" s="678"/>
      <c r="N125" s="678"/>
    </row>
    <row r="126" spans="1:14" ht="12.75" customHeight="1" x14ac:dyDescent="0.25">
      <c r="A126" s="534"/>
      <c r="B126" s="534"/>
      <c r="C126" s="678"/>
      <c r="D126" s="678"/>
      <c r="E126" s="678"/>
      <c r="F126" s="678"/>
      <c r="G126" s="678"/>
      <c r="H126" s="678"/>
      <c r="I126" s="678"/>
      <c r="J126" s="678"/>
      <c r="K126" s="678"/>
      <c r="L126" s="678"/>
      <c r="M126" s="678"/>
      <c r="N126" s="678"/>
    </row>
    <row r="127" spans="1:14" ht="12.75" customHeight="1" x14ac:dyDescent="0.25">
      <c r="A127" s="534"/>
      <c r="B127" s="534"/>
      <c r="C127" s="677"/>
      <c r="D127" s="678"/>
      <c r="E127" s="678"/>
      <c r="F127" s="678"/>
      <c r="G127" s="678"/>
      <c r="H127" s="678"/>
      <c r="I127" s="678"/>
      <c r="J127" s="678"/>
      <c r="K127" s="678"/>
      <c r="L127" s="678"/>
      <c r="M127" s="678"/>
      <c r="N127" s="678"/>
    </row>
    <row r="133" spans="1:15" x14ac:dyDescent="0.25">
      <c r="G133" s="49"/>
    </row>
    <row r="134" spans="1:15" ht="13" x14ac:dyDescent="0.3">
      <c r="L134" s="50"/>
      <c r="O134" s="52"/>
    </row>
    <row r="135" spans="1:15" ht="13" x14ac:dyDescent="0.3">
      <c r="A135" s="53" t="s">
        <v>134</v>
      </c>
      <c r="B135" s="53"/>
      <c r="C135" s="53"/>
      <c r="D135" s="54"/>
      <c r="L135" s="50"/>
      <c r="O135" s="52"/>
    </row>
    <row r="137" spans="1:15" x14ac:dyDescent="0.25">
      <c r="A137" s="93" t="s">
        <v>117</v>
      </c>
      <c r="B137" s="93"/>
      <c r="C137" s="549">
        <f ca="1">DATE(YEAR(Date_curr)-18,MONTH(Date_curr),DAY(Date_curr))</f>
        <v>37639</v>
      </c>
      <c r="D137" s="55"/>
      <c r="E137" s="49" t="s">
        <v>188</v>
      </c>
      <c r="F137" s="49"/>
      <c r="G137" s="49"/>
      <c r="H137" s="49"/>
      <c r="I137" s="49"/>
      <c r="K137" s="49"/>
      <c r="L137" s="49"/>
      <c r="M137" s="49"/>
      <c r="N137" s="49"/>
    </row>
    <row r="138" spans="1:15" x14ac:dyDescent="0.25">
      <c r="A138" s="55"/>
      <c r="B138" s="55"/>
      <c r="C138" s="549">
        <f>DATE(YEAR(DJS)-18,MONTH(DJS),DAY(DJS))</f>
        <v>687388</v>
      </c>
      <c r="D138" s="49"/>
      <c r="E138" s="49" t="s">
        <v>187</v>
      </c>
      <c r="F138" s="49"/>
      <c r="G138" s="49"/>
      <c r="H138" s="49"/>
      <c r="K138" s="49"/>
      <c r="L138" s="49"/>
      <c r="M138" s="49"/>
      <c r="N138" s="49"/>
    </row>
    <row r="139" spans="1:15" x14ac:dyDescent="0.25">
      <c r="A139" s="55"/>
      <c r="B139" s="55"/>
      <c r="C139" s="549">
        <f ca="1">MIN(C137:C138)</f>
        <v>37639</v>
      </c>
      <c r="D139" s="49"/>
      <c r="E139" s="49" t="s">
        <v>189</v>
      </c>
      <c r="F139" s="49"/>
      <c r="G139" s="49"/>
      <c r="H139" s="49"/>
      <c r="I139" s="49"/>
      <c r="J139" s="550"/>
      <c r="K139" s="49"/>
      <c r="L139" s="49"/>
      <c r="M139" s="49"/>
      <c r="N139" s="49"/>
    </row>
    <row r="140" spans="1:15" x14ac:dyDescent="0.25">
      <c r="A140" s="55"/>
      <c r="B140" s="55"/>
      <c r="C140" s="549">
        <f>DATE(YEAR(Parameters!D98)-65,MONTH(Parameters!D98),DAY(Parameters!D98))</f>
        <v>670312</v>
      </c>
      <c r="D140" s="49"/>
      <c r="E140" s="49" t="s">
        <v>190</v>
      </c>
      <c r="F140" s="49"/>
      <c r="G140" s="49"/>
      <c r="H140" s="49"/>
      <c r="I140" s="49"/>
      <c r="J140" s="49"/>
      <c r="K140" s="49"/>
      <c r="L140" s="49"/>
      <c r="M140" s="49"/>
      <c r="N140" s="49"/>
    </row>
    <row r="141" spans="1:15" x14ac:dyDescent="0.25">
      <c r="A141" s="93" t="s">
        <v>59</v>
      </c>
      <c r="B141" s="93"/>
      <c r="C141" s="94"/>
      <c r="D141" s="49"/>
      <c r="E141" s="49"/>
      <c r="F141" s="49"/>
      <c r="G141" s="49"/>
      <c r="H141" s="49"/>
      <c r="I141" s="49"/>
      <c r="J141" s="49"/>
      <c r="K141" s="49"/>
      <c r="L141" s="49"/>
      <c r="M141" s="49"/>
      <c r="N141" s="49"/>
    </row>
    <row r="142" spans="1:15" x14ac:dyDescent="0.25">
      <c r="A142" s="56"/>
      <c r="B142" s="56"/>
      <c r="C142" s="49" t="str">
        <f>+IF(DJS&gt;=NewSchDate,"2015 Scheme",IF(E142&gt;=18,IF(DJS&gt;G142,"2006 Scheme","1992 Scheme"),"2006 Scheme"))</f>
        <v>1992 Scheme</v>
      </c>
      <c r="D142" s="49"/>
      <c r="E142" s="57">
        <f>+(G142-DoB)/365.25</f>
        <v>106.26420260095824</v>
      </c>
      <c r="F142" s="58" t="s">
        <v>135</v>
      </c>
      <c r="G142" s="549">
        <v>38813</v>
      </c>
      <c r="H142" s="49"/>
      <c r="I142" s="49"/>
      <c r="J142" s="49"/>
      <c r="K142" s="49"/>
      <c r="L142" s="49"/>
      <c r="M142" s="49"/>
      <c r="N142" s="49"/>
    </row>
    <row r="143" spans="1:15" x14ac:dyDescent="0.25">
      <c r="A143" s="56"/>
      <c r="B143" s="56"/>
      <c r="C143" s="49" t="str">
        <f>IF(DJS&gt;=NewSchDate,"",IF(C142="2006 Scheme","","2006 Scheme"))</f>
        <v>2006 Scheme</v>
      </c>
      <c r="D143" s="49" t="str">
        <f>""</f>
        <v/>
      </c>
      <c r="E143" s="49" t="s">
        <v>509</v>
      </c>
      <c r="F143" s="49"/>
      <c r="G143" s="49"/>
      <c r="H143" s="49"/>
      <c r="I143" s="49"/>
      <c r="J143" s="49"/>
      <c r="K143" s="49"/>
      <c r="L143" s="49"/>
      <c r="M143" s="49"/>
      <c r="N143" s="49"/>
    </row>
    <row r="144" spans="1:15" x14ac:dyDescent="0.25">
      <c r="A144" s="56"/>
      <c r="B144" s="56"/>
      <c r="D144" s="49"/>
      <c r="E144" s="49"/>
      <c r="F144" s="49"/>
      <c r="G144" s="49"/>
      <c r="H144" s="49"/>
      <c r="I144" s="49"/>
      <c r="J144" s="49"/>
      <c r="K144" s="49"/>
      <c r="L144" s="49"/>
      <c r="M144" s="49"/>
      <c r="N144" s="49"/>
    </row>
    <row r="145" spans="1:17" x14ac:dyDescent="0.25">
      <c r="A145" s="93" t="s">
        <v>119</v>
      </c>
      <c r="B145" s="93"/>
      <c r="C145" s="49" t="s">
        <v>129</v>
      </c>
      <c r="D145" s="549">
        <f ca="1">Date_curr</f>
        <v>44214</v>
      </c>
      <c r="E145" s="55"/>
      <c r="F145" s="49"/>
      <c r="G145" s="49"/>
      <c r="H145" s="49"/>
      <c r="I145" s="49"/>
      <c r="J145" s="49"/>
      <c r="K145" s="49"/>
      <c r="L145" s="49"/>
      <c r="M145" s="49"/>
      <c r="N145" s="49"/>
    </row>
    <row r="146" spans="1:17" x14ac:dyDescent="0.25">
      <c r="A146" s="49"/>
      <c r="B146" s="49"/>
      <c r="C146" s="49" t="s">
        <v>128</v>
      </c>
      <c r="D146" s="549">
        <f>+DATE(YEAR(DoB)+18,MONTH(DoB),DAY(DoB))</f>
        <v>6575</v>
      </c>
      <c r="E146" s="55"/>
      <c r="F146" s="49" t="s">
        <v>120</v>
      </c>
      <c r="G146" s="49"/>
      <c r="H146" s="49"/>
      <c r="I146" s="49"/>
      <c r="J146" s="49"/>
      <c r="K146" s="49"/>
      <c r="L146" s="49"/>
      <c r="M146" s="49"/>
      <c r="N146" s="49"/>
    </row>
    <row r="147" spans="1:17" x14ac:dyDescent="0.25">
      <c r="A147" s="49"/>
      <c r="B147" s="49"/>
      <c r="D147" s="55"/>
      <c r="E147" s="549">
        <v>38813</v>
      </c>
      <c r="F147" s="49" t="s">
        <v>509</v>
      </c>
      <c r="G147" s="49"/>
      <c r="H147" s="49"/>
      <c r="I147" s="49"/>
      <c r="J147" s="49"/>
      <c r="K147" s="49"/>
      <c r="L147" s="49"/>
      <c r="M147" s="49"/>
      <c r="N147" s="49"/>
    </row>
    <row r="148" spans="1:17" x14ac:dyDescent="0.25">
      <c r="A148" s="93" t="s">
        <v>122</v>
      </c>
      <c r="B148" s="93"/>
      <c r="C148" s="94"/>
      <c r="D148" s="55"/>
      <c r="F148" s="49"/>
      <c r="G148" s="49"/>
      <c r="H148" s="49"/>
      <c r="I148" s="49"/>
      <c r="J148" s="49"/>
      <c r="K148" s="49"/>
      <c r="L148" s="49"/>
      <c r="M148" s="49"/>
      <c r="N148" s="49"/>
    </row>
    <row r="149" spans="1:17" x14ac:dyDescent="0.25">
      <c r="A149" s="49" t="s">
        <v>128</v>
      </c>
      <c r="B149" s="49"/>
      <c r="C149" s="49">
        <v>21000</v>
      </c>
      <c r="E149" s="49"/>
      <c r="F149" s="49"/>
      <c r="G149" s="49"/>
      <c r="H149" s="49"/>
      <c r="I149" s="49"/>
      <c r="J149" s="49"/>
      <c r="K149" s="49"/>
      <c r="L149" s="49"/>
      <c r="M149" s="49"/>
      <c r="N149" s="49"/>
    </row>
    <row r="150" spans="1:17" x14ac:dyDescent="0.25">
      <c r="A150" s="49" t="s">
        <v>129</v>
      </c>
      <c r="B150" s="49"/>
      <c r="C150" s="49">
        <v>140000</v>
      </c>
      <c r="E150" s="49"/>
      <c r="F150" s="49"/>
      <c r="G150" s="49"/>
      <c r="H150" s="49"/>
      <c r="I150" s="49"/>
      <c r="J150" s="49"/>
      <c r="K150" s="49"/>
      <c r="L150" s="49"/>
      <c r="M150" s="49"/>
      <c r="N150" s="49"/>
    </row>
    <row r="151" spans="1:17" x14ac:dyDescent="0.25">
      <c r="A151" s="93" t="s">
        <v>126</v>
      </c>
      <c r="B151" s="93"/>
      <c r="C151" s="93"/>
      <c r="D151" s="93"/>
      <c r="E151" s="49"/>
      <c r="F151" s="49"/>
      <c r="G151" s="49"/>
      <c r="H151" s="49"/>
      <c r="I151" s="49"/>
      <c r="J151" s="49"/>
      <c r="K151" s="49"/>
      <c r="L151" s="49"/>
      <c r="M151" s="49"/>
      <c r="N151" s="49"/>
    </row>
    <row r="152" spans="1:17" x14ac:dyDescent="0.25">
      <c r="A152" s="49" t="s">
        <v>129</v>
      </c>
      <c r="B152" s="49"/>
      <c r="C152" s="59">
        <f>INT((DJS-DATE(YEAR(DoB)+16,MONTH(DoB),DAY(DoB)))/365.25)</f>
        <v>-16</v>
      </c>
      <c r="D152" s="57">
        <f>+IF(TVinYears&gt;=C152,E152,E153)</f>
        <v>0</v>
      </c>
      <c r="E152" s="49">
        <f>+INT(((DJS-DATE(YEAR(DoB)+16,MONTH(DoB),DAY(DoB)))/365.25-INT((DJS-DATE(YEAR(DoB)+16,MONTH(DoB),DAY(DoB)))/365.25))*365.25)</f>
        <v>0</v>
      </c>
      <c r="F152" s="49" t="s">
        <v>127</v>
      </c>
      <c r="G152" s="49"/>
      <c r="H152" s="49"/>
      <c r="I152" s="49"/>
      <c r="J152" s="49"/>
      <c r="K152" s="49"/>
      <c r="L152" s="49"/>
      <c r="M152" s="49"/>
      <c r="N152" s="49"/>
    </row>
    <row r="153" spans="1:17" x14ac:dyDescent="0.25">
      <c r="A153" s="49"/>
      <c r="B153" s="49"/>
      <c r="D153" s="49"/>
      <c r="E153" s="49">
        <v>365</v>
      </c>
      <c r="F153" s="49"/>
      <c r="G153" s="49"/>
      <c r="H153" s="49"/>
      <c r="I153" s="49"/>
      <c r="J153" s="49"/>
      <c r="K153" s="49"/>
      <c r="L153" s="49"/>
      <c r="M153" s="49"/>
      <c r="N153" s="49"/>
    </row>
    <row r="154" spans="1:17" x14ac:dyDescent="0.25">
      <c r="A154" s="93" t="s">
        <v>130</v>
      </c>
      <c r="B154" s="93"/>
      <c r="C154" s="93"/>
      <c r="E154" s="49"/>
      <c r="F154" s="49"/>
      <c r="J154" s="49"/>
      <c r="K154" s="49"/>
      <c r="L154" s="49"/>
      <c r="M154" s="49"/>
      <c r="N154" s="49"/>
    </row>
    <row r="155" spans="1:17" x14ac:dyDescent="0.25">
      <c r="A155" s="56"/>
      <c r="B155" s="56"/>
      <c r="C155" s="56"/>
      <c r="E155" s="49"/>
      <c r="F155" s="49"/>
      <c r="J155" s="49"/>
      <c r="K155" s="49"/>
      <c r="L155" s="49"/>
      <c r="M155" s="49"/>
      <c r="Q155" s="49"/>
    </row>
    <row r="156" spans="1:17" x14ac:dyDescent="0.25">
      <c r="A156" s="56"/>
      <c r="B156" s="56"/>
      <c r="C156" s="56" t="s">
        <v>511</v>
      </c>
      <c r="D156" s="48" t="s">
        <v>654</v>
      </c>
      <c r="E156" s="49" t="s">
        <v>655</v>
      </c>
      <c r="F156" s="49" t="s">
        <v>653</v>
      </c>
      <c r="G156" s="49" t="s">
        <v>649</v>
      </c>
      <c r="H156" s="49" t="s">
        <v>658</v>
      </c>
      <c r="J156" s="49"/>
      <c r="K156" s="49"/>
      <c r="L156" s="49"/>
      <c r="M156" s="49"/>
    </row>
    <row r="157" spans="1:17" ht="12.75" customHeight="1" x14ac:dyDescent="0.25">
      <c r="A157" s="49" t="s">
        <v>128</v>
      </c>
      <c r="B157" s="49"/>
      <c r="C157" s="555">
        <f>D171</f>
        <v>18263</v>
      </c>
      <c r="D157" s="51">
        <f>D168</f>
        <v>20089</v>
      </c>
      <c r="E157" s="549" t="e">
        <f>IF(CurrentScheme=Sch_FPS,C157,D157)</f>
        <v>#N/A</v>
      </c>
      <c r="F157" s="556" t="s">
        <v>647</v>
      </c>
      <c r="G157" s="48">
        <f>age_exact</f>
        <v>0.2518822724161533</v>
      </c>
      <c r="H157" s="48">
        <f>G157</f>
        <v>0.2518822724161533</v>
      </c>
      <c r="K157" s="93" t="s">
        <v>591</v>
      </c>
      <c r="L157" s="49"/>
      <c r="M157" s="49"/>
    </row>
    <row r="158" spans="1:17" ht="37.5" x14ac:dyDescent="0.25">
      <c r="A158" s="49" t="s">
        <v>129</v>
      </c>
      <c r="B158" s="49"/>
      <c r="C158" s="553">
        <v>68</v>
      </c>
      <c r="E158" s="549">
        <f>DATE(YEAR(DoB)+C158,MONTH(DoB),DAY(DoB))</f>
        <v>24837</v>
      </c>
      <c r="F158" s="557" t="s">
        <v>648</v>
      </c>
      <c r="G158" s="559" t="e">
        <f>IF(PT_Status="Part-Time",Reck_Years+Reck_Days/DoY,age_exact-'FPS and NFPS calcs'!D9+'FPS and NFPS calcs'!$D$18)</f>
        <v>#N/A</v>
      </c>
      <c r="H158" s="559" t="e">
        <f>IF(PT_Status="Part-Time",Reck_Years+Reck_Days/DoY,'FPS and NFPS calcs'!D18+(MIN(DoStartSchYear,'FPS and NFPS calcs'!D25)-ProtectDate)/DoY)</f>
        <v>#N/A</v>
      </c>
      <c r="I158" s="558" t="s">
        <v>664</v>
      </c>
      <c r="J158" s="48" t="s">
        <v>598</v>
      </c>
      <c r="K158" s="549">
        <f>DATE(YEAR(DoB)+55,MONTH(DoB),DAY(DoB))</f>
        <v>20089</v>
      </c>
      <c r="M158" s="49"/>
    </row>
    <row r="159" spans="1:17" ht="25" x14ac:dyDescent="0.25">
      <c r="A159" s="49" t="s">
        <v>510</v>
      </c>
      <c r="B159" s="49"/>
      <c r="D159" s="49" t="s">
        <v>511</v>
      </c>
      <c r="E159" s="49"/>
      <c r="F159" s="556" t="s">
        <v>650</v>
      </c>
      <c r="G159" s="559" t="e">
        <f>(25-G158)/IF(PT_Status="Part-Time",future_PTP,1)</f>
        <v>#N/A</v>
      </c>
      <c r="H159" s="559" t="e">
        <f>(25-H158)/IF(PT_Status="Part-Time",future_PTP,1)</f>
        <v>#N/A</v>
      </c>
      <c r="I159" s="558" t="s">
        <v>664</v>
      </c>
      <c r="K159" s="48">
        <f ca="1">IF(PT_Status="Part-time",Reck_Years+Reck_Days/DoY+(MAX(date55,Date_curr)-Date_curr)/DoY*future_PTP,(MAX(date55,Date_curr)-DJS)/DoY)+TVinYears+TVinDays/DoY</f>
        <v>121.05133470225873</v>
      </c>
      <c r="M159" s="49"/>
      <c r="Q159" s="554"/>
    </row>
    <row r="160" spans="1:17" ht="25" x14ac:dyDescent="0.25">
      <c r="A160" s="49" t="s">
        <v>128</v>
      </c>
      <c r="B160" s="49"/>
      <c r="C160" s="59">
        <f>+MAX(55,D166)</f>
        <v>55</v>
      </c>
      <c r="D160" s="49" t="s">
        <v>128</v>
      </c>
      <c r="E160" s="59">
        <f>MAX(ROUND((D171-DoB)/365.25,2),D166)</f>
        <v>50</v>
      </c>
      <c r="F160" s="556" t="s">
        <v>652</v>
      </c>
      <c r="G160" s="560" t="e">
        <f>G157+G159</f>
        <v>#N/A</v>
      </c>
      <c r="H160" s="560" t="e">
        <f ca="1">IF(H159&gt;('FPS and NFPS calcs'!D25-Date_curr)/DoY,55,H157+H159)</f>
        <v>#N/A</v>
      </c>
      <c r="I160" s="558" t="s">
        <v>664</v>
      </c>
      <c r="J160" s="48" t="s">
        <v>592</v>
      </c>
      <c r="K160" s="49" t="b">
        <f ca="1">AND(K159&lt;25,age_lbd&lt;55)</f>
        <v>0</v>
      </c>
      <c r="M160" s="49" t="s">
        <v>676</v>
      </c>
      <c r="Q160" s="51"/>
    </row>
    <row r="161" spans="1:15" ht="25" x14ac:dyDescent="0.25">
      <c r="A161" s="49" t="s">
        <v>129</v>
      </c>
      <c r="B161" s="49"/>
      <c r="C161" s="59">
        <v>65</v>
      </c>
      <c r="D161" s="49" t="s">
        <v>129</v>
      </c>
      <c r="E161" s="59">
        <v>65</v>
      </c>
      <c r="F161" s="556" t="s">
        <v>651</v>
      </c>
      <c r="G161" s="51" t="e">
        <f>EDATE(DoB,G160*12)</f>
        <v>#N/A</v>
      </c>
      <c r="H161" s="51" t="e">
        <f ca="1">EDATE(DoB,H160*12)</f>
        <v>#N/A</v>
      </c>
      <c r="I161" s="558" t="s">
        <v>664</v>
      </c>
      <c r="J161" s="49"/>
      <c r="K161" s="49"/>
      <c r="L161" s="49"/>
      <c r="M161" s="49"/>
      <c r="N161" s="49"/>
      <c r="O161" s="49"/>
    </row>
    <row r="162" spans="1:15" ht="25" x14ac:dyDescent="0.25">
      <c r="A162" s="49"/>
      <c r="B162" s="49"/>
      <c r="C162" s="59"/>
      <c r="D162" s="49"/>
      <c r="E162" s="59"/>
      <c r="F162" s="556" t="s">
        <v>675</v>
      </c>
      <c r="G162" s="560" t="e">
        <f>(30-G158)/IF(PT_Status="Part-Time",future_PTP,1)</f>
        <v>#N/A</v>
      </c>
      <c r="H162" s="560" t="e">
        <f>(30-H158)/IF(PT_Status="Part-Time",future_PTP,1)</f>
        <v>#N/A</v>
      </c>
      <c r="I162" s="558"/>
      <c r="J162" s="49"/>
      <c r="K162" s="49"/>
      <c r="L162" s="49"/>
      <c r="M162" s="49"/>
      <c r="N162" s="49"/>
      <c r="O162" s="49"/>
    </row>
    <row r="163" spans="1:15" ht="25" x14ac:dyDescent="0.25">
      <c r="A163" s="49"/>
      <c r="B163" s="49"/>
      <c r="C163" s="59"/>
      <c r="D163" s="49"/>
      <c r="E163" s="59"/>
      <c r="F163" s="556" t="s">
        <v>673</v>
      </c>
      <c r="G163" s="560" t="e">
        <f>G157+G162</f>
        <v>#N/A</v>
      </c>
      <c r="H163" s="51" t="e">
        <f ca="1">IF(H159&gt;('FPS and NFPS calcs'!D25-Date_curr)/DoY,55,H157+H162)</f>
        <v>#N/A</v>
      </c>
      <c r="I163" s="558"/>
      <c r="J163" s="49"/>
      <c r="K163" s="49"/>
      <c r="L163" s="49"/>
      <c r="M163" s="49"/>
      <c r="N163" s="49"/>
      <c r="O163" s="49"/>
    </row>
    <row r="164" spans="1:15" ht="25" x14ac:dyDescent="0.25">
      <c r="A164" s="49"/>
      <c r="B164" s="49"/>
      <c r="C164" s="59"/>
      <c r="D164" s="49"/>
      <c r="E164" s="59"/>
      <c r="F164" s="556" t="s">
        <v>674</v>
      </c>
      <c r="G164" s="51" t="e">
        <f>EDATE(DoB,12*G163)</f>
        <v>#N/A</v>
      </c>
      <c r="H164" s="51" t="e">
        <f ca="1">EDATE(DoB,H163*12)</f>
        <v>#N/A</v>
      </c>
      <c r="I164" s="558"/>
      <c r="J164" s="49"/>
      <c r="K164" s="49"/>
      <c r="L164" s="49"/>
      <c r="M164" s="49"/>
      <c r="N164" s="49"/>
      <c r="O164" s="49"/>
    </row>
    <row r="165" spans="1:15" x14ac:dyDescent="0.25">
      <c r="A165" s="56" t="s">
        <v>141</v>
      </c>
      <c r="B165" s="56"/>
      <c r="C165" s="59"/>
      <c r="D165" s="49"/>
      <c r="E165" s="55">
        <f>+DATE(YEAR(DJS)-TVinYears,MONTH(DJS),DAY(DJS))-TVinDays</f>
        <v>0</v>
      </c>
      <c r="F165" s="558" t="s">
        <v>665</v>
      </c>
      <c r="G165" s="215" t="e">
        <f>DoB+G160*365.25</f>
        <v>#N/A</v>
      </c>
      <c r="H165" s="215" t="e">
        <f ca="1">DoB+H160*365.25</f>
        <v>#N/A</v>
      </c>
      <c r="J165" s="49"/>
      <c r="K165" s="49"/>
      <c r="L165" s="49"/>
      <c r="M165" s="49"/>
      <c r="N165" s="49"/>
      <c r="O165" s="49"/>
    </row>
    <row r="166" spans="1:15" x14ac:dyDescent="0.25">
      <c r="A166" s="56"/>
      <c r="B166" s="56"/>
      <c r="C166" s="59"/>
      <c r="D166" s="57">
        <f>+ROUNDUP((DoStartSchYear-DoB)/365.25,0)</f>
        <v>1</v>
      </c>
      <c r="E166" s="55" t="s">
        <v>168</v>
      </c>
      <c r="F166" s="49"/>
      <c r="G166" s="55"/>
      <c r="H166" s="49"/>
      <c r="J166" s="49"/>
      <c r="K166" s="49"/>
      <c r="L166" s="49"/>
      <c r="M166" s="49"/>
      <c r="N166" s="49"/>
      <c r="O166" s="49"/>
    </row>
    <row r="167" spans="1:15" x14ac:dyDescent="0.25">
      <c r="A167" s="49"/>
      <c r="B167" s="49"/>
      <c r="C167" s="55"/>
      <c r="D167" s="549">
        <f>+DATE(YEAR(E165)+30,MONTH(E165),DAY(E165))</f>
        <v>10958</v>
      </c>
      <c r="E167" s="49" t="s">
        <v>512</v>
      </c>
      <c r="F167" s="49"/>
      <c r="G167" s="49"/>
      <c r="H167" s="49"/>
      <c r="J167" s="49"/>
      <c r="K167" s="49"/>
      <c r="L167" s="49"/>
      <c r="M167" s="49"/>
      <c r="N167" s="49"/>
    </row>
    <row r="168" spans="1:15" x14ac:dyDescent="0.25">
      <c r="A168" s="49"/>
      <c r="B168" s="49"/>
      <c r="D168" s="549">
        <f>+DATE(YEAR(DoB)+55,MONTH(DoB),DAY(DoB))</f>
        <v>20089</v>
      </c>
      <c r="E168" s="49" t="s">
        <v>131</v>
      </c>
      <c r="F168" s="49"/>
      <c r="G168" s="49"/>
      <c r="H168" s="49"/>
      <c r="J168" s="49"/>
      <c r="K168" s="49"/>
      <c r="L168" s="49"/>
      <c r="M168" s="49"/>
      <c r="N168" s="49"/>
    </row>
    <row r="169" spans="1:15" x14ac:dyDescent="0.25">
      <c r="A169" s="49"/>
      <c r="B169" s="49"/>
      <c r="D169" s="549">
        <f>+DATE(YEAR(E165)+25,MONTH(E165),DAY(E165))</f>
        <v>9132</v>
      </c>
      <c r="E169" s="49" t="s">
        <v>513</v>
      </c>
      <c r="F169" s="49"/>
      <c r="G169" s="49"/>
      <c r="H169" s="49"/>
      <c r="J169" s="49"/>
      <c r="K169" s="49"/>
      <c r="L169" s="49"/>
      <c r="M169" s="49"/>
      <c r="N169" s="49"/>
    </row>
    <row r="170" spans="1:15" x14ac:dyDescent="0.25">
      <c r="A170" s="49"/>
      <c r="B170" s="49"/>
      <c r="C170" s="55"/>
      <c r="D170" s="549">
        <f>+DATE(YEAR(DoB)+50,MONTH(DoB),DAY(DoB))</f>
        <v>18263</v>
      </c>
      <c r="E170" s="49" t="s">
        <v>132</v>
      </c>
      <c r="F170" s="49"/>
      <c r="G170" s="49"/>
      <c r="H170" s="49"/>
      <c r="J170" s="49"/>
      <c r="K170" s="49"/>
      <c r="L170" s="49"/>
      <c r="M170" s="49"/>
      <c r="N170" s="49"/>
    </row>
    <row r="171" spans="1:15" ht="13" x14ac:dyDescent="0.3">
      <c r="A171" s="50" t="s">
        <v>133</v>
      </c>
      <c r="B171" s="50"/>
      <c r="D171" s="549">
        <f>+MAX(D170,MIN(D167,D168,MAX(D169,D170)))</f>
        <v>18263</v>
      </c>
      <c r="E171" s="49" t="s">
        <v>514</v>
      </c>
      <c r="G171" s="49"/>
      <c r="H171" s="49"/>
      <c r="I171" s="49"/>
      <c r="J171" s="49"/>
      <c r="K171" s="49"/>
      <c r="L171" s="49"/>
      <c r="M171" s="49"/>
      <c r="N171" s="49"/>
    </row>
    <row r="172" spans="1:15" x14ac:dyDescent="0.25">
      <c r="L172" s="49"/>
      <c r="M172" s="49"/>
      <c r="N172" s="49"/>
    </row>
    <row r="173" spans="1:15" ht="13" x14ac:dyDescent="0.3">
      <c r="C173" s="50" t="s">
        <v>72</v>
      </c>
      <c r="E173" s="48" t="e">
        <f>'FPS and NFPS calcs'!F24</f>
        <v>#N/A</v>
      </c>
      <c r="L173" s="49"/>
      <c r="M173" s="49"/>
      <c r="N173" s="49"/>
    </row>
    <row r="174" spans="1:15" ht="13" x14ac:dyDescent="0.3">
      <c r="C174" s="50" t="s">
        <v>80</v>
      </c>
      <c r="E174" s="550" t="e">
        <f>'FPS and NFPS calcs'!F25</f>
        <v>#N/A</v>
      </c>
      <c r="F174" s="48" t="e">
        <f>TEXT(E174,"d mmmm yyyy")</f>
        <v>#N/A</v>
      </c>
      <c r="L174" s="49"/>
      <c r="M174" s="49"/>
      <c r="N174" s="49"/>
    </row>
    <row r="175" spans="1:15" ht="13" x14ac:dyDescent="0.3">
      <c r="C175" s="50" t="s">
        <v>70</v>
      </c>
      <c r="E175" s="550" t="str">
        <f>IFERROR(E174+1,"N/A")</f>
        <v>N/A</v>
      </c>
      <c r="F175" s="48" t="str">
        <f>TEXT(E175,"d mmmm yyyy")</f>
        <v>N/A</v>
      </c>
      <c r="L175" s="49"/>
      <c r="M175" s="49"/>
      <c r="N175" s="49"/>
    </row>
    <row r="176" spans="1:15" ht="13" x14ac:dyDescent="0.3">
      <c r="C176" s="50"/>
      <c r="L176" s="49"/>
      <c r="M176" s="49"/>
      <c r="N176" s="49"/>
    </row>
    <row r="177" spans="1:12" ht="12.75" customHeight="1" x14ac:dyDescent="0.3">
      <c r="A177" s="50"/>
      <c r="B177" s="50"/>
      <c r="C177" s="63" t="s">
        <v>203</v>
      </c>
      <c r="D177" s="62"/>
      <c r="E177" s="63" t="s">
        <v>204</v>
      </c>
      <c r="J177" s="49"/>
      <c r="K177" s="49"/>
      <c r="L177" s="49"/>
    </row>
    <row r="178" spans="1:12" x14ac:dyDescent="0.25">
      <c r="C178" s="49" t="s">
        <v>200</v>
      </c>
      <c r="D178" s="49"/>
      <c r="E178" s="49" t="s">
        <v>216</v>
      </c>
      <c r="J178" s="49"/>
      <c r="K178" s="49"/>
      <c r="L178" s="49"/>
    </row>
    <row r="179" spans="1:12" x14ac:dyDescent="0.25">
      <c r="A179" s="49"/>
      <c r="B179" s="49"/>
      <c r="C179" s="49" t="s">
        <v>201</v>
      </c>
      <c r="D179" s="49"/>
      <c r="E179" s="49" t="str">
        <f>F175</f>
        <v>N/A</v>
      </c>
      <c r="F179" s="49"/>
      <c r="G179" s="49"/>
      <c r="H179" s="49"/>
      <c r="I179" s="49"/>
      <c r="J179" s="49"/>
      <c r="K179" s="49"/>
      <c r="L179" s="49"/>
    </row>
    <row r="180" spans="1:12" x14ac:dyDescent="0.25">
      <c r="C180" s="49" t="s">
        <v>202</v>
      </c>
      <c r="D180" s="49"/>
      <c r="E180" s="188" t="s">
        <v>317</v>
      </c>
    </row>
    <row r="181" spans="1:12" x14ac:dyDescent="0.25">
      <c r="D181" s="49"/>
      <c r="E181" s="49"/>
    </row>
    <row r="182" spans="1:12" x14ac:dyDescent="0.25">
      <c r="C182" s="49" t="s">
        <v>230</v>
      </c>
      <c r="D182" s="49"/>
      <c r="E182" s="49">
        <f>YEARFRAC(DJS,DoStartSchYear)</f>
        <v>0.25277777777777777</v>
      </c>
    </row>
    <row r="183" spans="1:12" x14ac:dyDescent="0.25">
      <c r="C183" s="49" t="s">
        <v>233</v>
      </c>
      <c r="D183" s="49"/>
      <c r="E183" s="55">
        <f>DoStartSchYear</f>
        <v>92</v>
      </c>
    </row>
    <row r="184" spans="1:12" x14ac:dyDescent="0.25">
      <c r="D184" s="49"/>
      <c r="E184" s="55" t="str">
        <f>basis1</f>
        <v>CPI + 0%</v>
      </c>
      <c r="F184" s="48" t="str">
        <f>basis2</f>
        <v>CPI + 1%</v>
      </c>
      <c r="G184" s="48" t="str">
        <f>basis3</f>
        <v>CPI + 2%</v>
      </c>
    </row>
    <row r="185" spans="1:12" x14ac:dyDescent="0.25">
      <c r="C185" s="49" t="s">
        <v>240</v>
      </c>
      <c r="D185" s="49"/>
      <c r="E185" s="66" t="e">
        <f>ROUND(IF(CurrentScheme="NPPS",0.5*CurrentSal,2/3*CurrentSal),-2)</f>
        <v>#N/A</v>
      </c>
    </row>
    <row r="186" spans="1:12" x14ac:dyDescent="0.25">
      <c r="C186" s="49" t="s">
        <v>241</v>
      </c>
      <c r="D186" s="49"/>
      <c r="E186" s="66">
        <f>ROUND(4*0.5*CurrentSal,-2)</f>
        <v>0</v>
      </c>
    </row>
    <row r="187" spans="1:12" x14ac:dyDescent="0.25">
      <c r="C187" s="49" t="s">
        <v>242</v>
      </c>
      <c r="D187" s="49"/>
      <c r="E187" s="66"/>
      <c r="I187" s="55"/>
    </row>
    <row r="188" spans="1:12" x14ac:dyDescent="0.25">
      <c r="D188" s="49"/>
      <c r="E188" s="66"/>
    </row>
    <row r="190" spans="1:12" ht="13" x14ac:dyDescent="0.3">
      <c r="A190" s="60" t="s">
        <v>116</v>
      </c>
      <c r="B190" s="60"/>
      <c r="C190" s="65"/>
      <c r="D190" s="61"/>
      <c r="E190" s="61"/>
      <c r="F190" s="61"/>
      <c r="G190" s="61"/>
      <c r="H190" s="61"/>
      <c r="I190" s="61"/>
      <c r="J190" s="61"/>
      <c r="K190" s="61"/>
    </row>
    <row r="191" spans="1:12" x14ac:dyDescent="0.25">
      <c r="A191" s="61"/>
      <c r="B191" s="61"/>
      <c r="C191" s="65"/>
      <c r="D191" s="61"/>
      <c r="E191" s="61"/>
      <c r="F191" s="61"/>
      <c r="G191" s="61"/>
      <c r="H191" s="61"/>
      <c r="I191" s="61"/>
      <c r="J191" s="61"/>
      <c r="K191" s="61"/>
    </row>
    <row r="192" spans="1:12" x14ac:dyDescent="0.25">
      <c r="A192" s="61" t="s">
        <v>117</v>
      </c>
      <c r="B192" s="61"/>
      <c r="C192" s="65" t="s">
        <v>118</v>
      </c>
      <c r="D192" s="61"/>
      <c r="E192" s="61"/>
      <c r="F192" s="61"/>
      <c r="G192" s="61"/>
      <c r="H192" s="61"/>
      <c r="I192" s="61"/>
      <c r="J192" s="61"/>
      <c r="K192" s="61"/>
    </row>
    <row r="193" spans="1:11" x14ac:dyDescent="0.25">
      <c r="A193" s="61" t="s">
        <v>119</v>
      </c>
      <c r="B193" s="61"/>
      <c r="C193" s="65" t="s">
        <v>120</v>
      </c>
      <c r="D193" s="61"/>
      <c r="E193" s="61"/>
      <c r="F193" s="61"/>
      <c r="G193" s="61"/>
      <c r="H193" s="61"/>
      <c r="I193" s="61"/>
      <c r="J193" s="61"/>
      <c r="K193" s="61"/>
    </row>
    <row r="194" spans="1:11" x14ac:dyDescent="0.25">
      <c r="A194" s="61"/>
      <c r="B194" s="61"/>
      <c r="C194" s="65" t="s">
        <v>121</v>
      </c>
      <c r="D194" s="61"/>
      <c r="E194" s="61"/>
      <c r="F194" s="61"/>
      <c r="G194" s="61"/>
      <c r="H194" s="61"/>
      <c r="I194" s="61"/>
      <c r="J194" s="61"/>
      <c r="K194" s="61"/>
    </row>
    <row r="195" spans="1:11" x14ac:dyDescent="0.25">
      <c r="A195" s="61" t="s">
        <v>122</v>
      </c>
      <c r="B195" s="61"/>
      <c r="C195" s="65" t="s">
        <v>123</v>
      </c>
      <c r="D195" s="61"/>
      <c r="E195" s="61"/>
      <c r="F195" s="61"/>
      <c r="G195" s="61"/>
      <c r="H195" s="61"/>
      <c r="I195" s="61"/>
      <c r="J195" s="61"/>
      <c r="K195" s="61"/>
    </row>
    <row r="196" spans="1:11" x14ac:dyDescent="0.25">
      <c r="A196" s="61" t="s">
        <v>124</v>
      </c>
      <c r="B196" s="61"/>
      <c r="C196" s="65" t="s">
        <v>515</v>
      </c>
      <c r="D196" s="61"/>
      <c r="E196" s="61"/>
      <c r="F196" s="61"/>
      <c r="G196" s="61"/>
      <c r="H196" s="61"/>
      <c r="I196" s="61"/>
      <c r="J196" s="61"/>
      <c r="K196" s="61"/>
    </row>
    <row r="197" spans="1:11" x14ac:dyDescent="0.25">
      <c r="A197" s="61"/>
      <c r="B197" s="61"/>
      <c r="C197" s="65" t="s">
        <v>516</v>
      </c>
      <c r="D197" s="61"/>
      <c r="E197" s="61"/>
      <c r="F197" s="61"/>
      <c r="G197" s="61"/>
      <c r="H197" s="61"/>
      <c r="I197" s="61"/>
      <c r="J197" s="61"/>
      <c r="K197" s="61"/>
    </row>
    <row r="198" spans="1:11" x14ac:dyDescent="0.25">
      <c r="A198" s="61" t="s">
        <v>81</v>
      </c>
      <c r="B198" s="61"/>
      <c r="C198" s="65" t="s">
        <v>125</v>
      </c>
      <c r="D198" s="61"/>
      <c r="E198" s="61"/>
      <c r="F198" s="61"/>
      <c r="G198" s="61"/>
      <c r="H198" s="61"/>
      <c r="I198" s="61"/>
      <c r="J198" s="61"/>
      <c r="K198" s="61"/>
    </row>
    <row r="199" spans="1:11" x14ac:dyDescent="0.25">
      <c r="A199" s="61" t="s">
        <v>126</v>
      </c>
      <c r="B199" s="61"/>
      <c r="C199" s="65" t="s">
        <v>127</v>
      </c>
      <c r="D199" s="61"/>
      <c r="E199" s="61"/>
      <c r="F199" s="61"/>
      <c r="G199" s="61"/>
      <c r="H199" s="61"/>
      <c r="I199" s="61"/>
      <c r="J199" s="61"/>
      <c r="K199" s="61"/>
    </row>
    <row r="200" spans="1:11" x14ac:dyDescent="0.25">
      <c r="A200" s="65" t="s">
        <v>231</v>
      </c>
      <c r="B200" s="65"/>
      <c r="C200" s="65"/>
      <c r="D200" s="61"/>
      <c r="E200" s="61"/>
      <c r="F200" s="61"/>
      <c r="G200" s="61"/>
      <c r="H200" s="61"/>
      <c r="I200" s="61"/>
      <c r="J200" s="61"/>
      <c r="K200" s="61"/>
    </row>
    <row r="201" spans="1:11" x14ac:dyDescent="0.25">
      <c r="A201" s="65" t="s">
        <v>232</v>
      </c>
      <c r="B201" s="65"/>
      <c r="C201" s="65"/>
      <c r="D201" s="61"/>
      <c r="E201" s="61"/>
      <c r="F201" s="61"/>
      <c r="G201" s="61"/>
      <c r="H201" s="61"/>
      <c r="I201" s="61"/>
      <c r="J201" s="61"/>
      <c r="K201" s="61"/>
    </row>
    <row r="203" spans="1:11" x14ac:dyDescent="0.25">
      <c r="A203" s="49" t="s">
        <v>221</v>
      </c>
      <c r="B203" s="49"/>
    </row>
    <row r="204" spans="1:11" x14ac:dyDescent="0.25">
      <c r="A204" s="49" t="s">
        <v>222</v>
      </c>
      <c r="B204" s="49"/>
    </row>
    <row r="205" spans="1:11" x14ac:dyDescent="0.25">
      <c r="E205" s="51"/>
      <c r="G205" s="51"/>
    </row>
  </sheetData>
  <sheetProtection algorithmName="SHA-512" hashValue="t+ufYqSQTofwtMhkucosY5kdBYSTJ0bu4fKpPn9fJdEl9JBiD6NQSY8pGeLdrYjuKhgYy4MqmhaCN/Py+PgdnQ==" saltValue="zcCcYY/MIcsYbDgLDcqD+A==" spinCount="100000" sheet="1" objects="1" scenarios="1"/>
  <dataConsolidate/>
  <mergeCells count="39">
    <mergeCell ref="C18:N18"/>
    <mergeCell ref="C98:N98"/>
    <mergeCell ref="C19:N19"/>
    <mergeCell ref="C20:N20"/>
    <mergeCell ref="J27:K27"/>
    <mergeCell ref="C93:E94"/>
    <mergeCell ref="G93:I94"/>
    <mergeCell ref="K93:M94"/>
    <mergeCell ref="C21:N21"/>
    <mergeCell ref="C120:N120"/>
    <mergeCell ref="C124:N124"/>
    <mergeCell ref="C113:N113"/>
    <mergeCell ref="I69:M69"/>
    <mergeCell ref="C97:N97"/>
    <mergeCell ref="C100:N100"/>
    <mergeCell ref="C112:N112"/>
    <mergeCell ref="C107:N107"/>
    <mergeCell ref="C104:N104"/>
    <mergeCell ref="C99:N99"/>
    <mergeCell ref="C102:N102"/>
    <mergeCell ref="C103:N103"/>
    <mergeCell ref="C105:N105"/>
    <mergeCell ref="C101:N101"/>
    <mergeCell ref="C15:N15"/>
    <mergeCell ref="C16:N16"/>
    <mergeCell ref="C17:N17"/>
    <mergeCell ref="C127:N127"/>
    <mergeCell ref="C110:N110"/>
    <mergeCell ref="C115:N115"/>
    <mergeCell ref="C116:N116"/>
    <mergeCell ref="C121:N121"/>
    <mergeCell ref="C117:N117"/>
    <mergeCell ref="C126:N126"/>
    <mergeCell ref="C118:N118"/>
    <mergeCell ref="C111:N111"/>
    <mergeCell ref="C108:N108"/>
    <mergeCell ref="C109:N109"/>
    <mergeCell ref="C106:N106"/>
    <mergeCell ref="C125:N125"/>
  </mergeCells>
  <phoneticPr fontId="2" type="noConversion"/>
  <conditionalFormatting sqref="D73:N75">
    <cfRule type="expression" dxfId="21" priority="43">
      <formula>DJS&gt;=NewSchDate</formula>
    </cfRule>
  </conditionalFormatting>
  <conditionalFormatting sqref="D84:N86">
    <cfRule type="expression" dxfId="20" priority="53" stopIfTrue="1">
      <formula>DJS&gt;=NewSchDate</formula>
    </cfRule>
  </conditionalFormatting>
  <conditionalFormatting sqref="D79:N80">
    <cfRule type="expression" dxfId="19" priority="52">
      <formula>ChosenRA&lt;55</formula>
    </cfRule>
  </conditionalFormatting>
  <conditionalFormatting sqref="C84:C85">
    <cfRule type="expression" dxfId="18" priority="46" stopIfTrue="1">
      <formula>DJS&gt;=NewSchDate</formula>
    </cfRule>
  </conditionalFormatting>
  <conditionalFormatting sqref="D89:N90">
    <cfRule type="expression" dxfId="17" priority="44">
      <formula>ChosenRA&lt;55</formula>
    </cfRule>
  </conditionalFormatting>
  <conditionalFormatting sqref="C62">
    <cfRule type="expression" dxfId="16" priority="37">
      <formula>Form_Check=FALSE</formula>
    </cfRule>
  </conditionalFormatting>
  <conditionalFormatting sqref="D46:L56">
    <cfRule type="expression" dxfId="15" priority="25">
      <formula>$J$44="Full-time"</formula>
    </cfRule>
  </conditionalFormatting>
  <conditionalFormatting sqref="C46:C55">
    <cfRule type="expression" dxfId="14" priority="23">
      <formula>$J$44="Full-time"</formula>
    </cfRule>
  </conditionalFormatting>
  <conditionalFormatting sqref="C48:C53">
    <cfRule type="expression" dxfId="13" priority="22">
      <formula>$J$31="2015 Scheme"</formula>
    </cfRule>
  </conditionalFormatting>
  <conditionalFormatting sqref="D48:M56">
    <cfRule type="expression" dxfId="12" priority="21">
      <formula>$J$31="2015 Scheme"</formula>
    </cfRule>
  </conditionalFormatting>
  <conditionalFormatting sqref="C73:C74">
    <cfRule type="expression" dxfId="11" priority="20">
      <formula>DJS&gt;=NewSchDate</formula>
    </cfRule>
  </conditionalFormatting>
  <conditionalFormatting sqref="C79:C80">
    <cfRule type="expression" dxfId="10" priority="18">
      <formula>ChosenRA&lt;55</formula>
    </cfRule>
  </conditionalFormatting>
  <conditionalFormatting sqref="C89:C90">
    <cfRule type="expression" dxfId="9" priority="17">
      <formula>ChosenRA&lt;55</formula>
    </cfRule>
  </conditionalFormatting>
  <conditionalFormatting sqref="H42">
    <cfRule type="expression" dxfId="8" priority="7">
      <formula>$J$31="2015 Scheme"</formula>
    </cfRule>
  </conditionalFormatting>
  <conditionalFormatting sqref="I42">
    <cfRule type="expression" dxfId="7" priority="5">
      <formula>$J$31="2015 Scheme"</formula>
    </cfRule>
  </conditionalFormatting>
  <conditionalFormatting sqref="J42">
    <cfRule type="expression" dxfId="6" priority="3">
      <formula>$J$31="2015 Scheme"</formula>
    </cfRule>
  </conditionalFormatting>
  <conditionalFormatting sqref="J42">
    <cfRule type="expression" dxfId="5" priority="2">
      <formula>$J$31="2015 Scheme"</formula>
    </cfRule>
  </conditionalFormatting>
  <dataValidations count="19">
    <dataValidation type="decimal" showInputMessage="1" showErrorMessage="1" error="Please enter a value between 0% and 100%." sqref="J46:J47">
      <formula1>0</formula1>
      <formula2>1</formula2>
    </dataValidation>
    <dataValidation type="decimal" allowBlank="1" showInputMessage="1" showErrorMessage="1" errorTitle="Invalid Earnings" error="You can only enter and amount between £23,000 and £140,000 into the calculator." sqref="J36">
      <formula1>C149</formula1>
      <formula2>C150</formula2>
    </dataValidation>
    <dataValidation type="decimal" allowBlank="1" showInputMessage="1" showErrorMessage="1" errorTitle="Invalid Transfer In Service" error="You cannot enter an amount greater than the period between your sixteenth birthday and your date joined scheme as entered above." sqref="J34">
      <formula1>0</formula1>
      <formula2>D152</formula2>
    </dataValidation>
    <dataValidation type="whole" allowBlank="1" showInputMessage="1" showErrorMessage="1" sqref="J45">
      <formula1>C165</formula1>
      <formula2>C166</formula2>
    </dataValidation>
    <dataValidation type="whole" allowBlank="1" showInputMessage="1" showErrorMessage="1" sqref="J51">
      <formula1>C161</formula1>
      <formula2>C165</formula2>
    </dataValidation>
    <dataValidation type="decimal" allowBlank="1" showInputMessage="1" showErrorMessage="1" errorTitle="Invalid Transfer In Service" error="You cannot enter an amount greater than the period between your sixteenth birthday and your date joined scheme as entered above." sqref="J33">
      <formula1>0</formula1>
      <formula2>C152</formula2>
    </dataValidation>
    <dataValidation type="decimal" allowBlank="1" showInputMessage="1" showErrorMessage="1" errorTitle="Invalid reckonable service" error="You cannot enter an amount greater than the period between your date of joining and your benefit statement date" sqref="J52">
      <formula1>0</formula1>
      <formula2>E182</formula2>
    </dataValidation>
    <dataValidation type="list" allowBlank="1" showInputMessage="1" showErrorMessage="1" errorTitle="Invalid Scheme" error="Please select an option from the drop down list" sqref="J31">
      <formula1>IF(sch_2="",sch_1,sch)</formula1>
    </dataValidation>
    <dataValidation type="list" allowBlank="1" showInputMessage="1" showErrorMessage="1" sqref="J44">
      <formula1>$A$203:$A$204</formula1>
    </dataValidation>
    <dataValidation type="whole" allowBlank="1" showInputMessage="1" showErrorMessage="1" sqref="J59">
      <formula1>C167</formula1>
      <formula2>C168</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7"/>
    <dataValidation type="whole" allowBlank="1" showInputMessage="1" showErrorMessage="1" sqref="J43">
      <formula1>C159</formula1>
      <formula2>C160</formula2>
    </dataValidation>
    <dataValidation type="decimal" allowBlank="1" showInputMessage="1" showErrorMessage="1" errorTitle="Invalid Transfer In Service" error="You cannot enter an amount greater than the period between your sixteenth birthday and your date joined scheme as entered above." sqref="J55">
      <formula1>0</formula1>
      <formula2>C152</formula2>
    </dataValidation>
    <dataValidation type="whole" allowBlank="1" showInputMessage="1" showErrorMessage="1" sqref="J54">
      <formula1>C161</formula1>
      <formula2>C165</formula2>
    </dataValidation>
    <dataValidation type="decimal" allowBlank="1" showInputMessage="1" showErrorMessage="1" errorTitle="Invalid Transfer In Service" error="You cannot enter an amount greater than the period between your sixteenth birthday and your date joined scheme as entered above." sqref="J56:J57">
      <formula1>0</formula1>
      <formula2>D152</formula2>
    </dataValidation>
    <dataValidation type="whole" allowBlank="1" showInputMessage="1" showErrorMessage="1" sqref="J48:J49">
      <formula1>C161</formula1>
      <formula2>C165</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J25">
      <formula1>C137</formula1>
      <formula2>C136</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9">
      <formula1>D143</formula1>
      <formula2>D142</formula2>
    </dataValidation>
    <dataValidation type="time" allowBlank="1" showInputMessage="1" showErrorMessage="1" sqref="J38">
      <formula1>E154</formula1>
      <formula2>E155</formula2>
    </dataValidation>
  </dataValidations>
  <hyperlinks>
    <hyperlink ref="G93:I94" r:id="rId1" display="2015 Microsite"/>
    <hyperlink ref="K93:M94" r:id="rId2" display="Scheme Guides"/>
    <hyperlink ref="C93:E94"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5"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9</xdr:col>
                    <xdr:colOff>603250</xdr:colOff>
                    <xdr:row>38</xdr:row>
                    <xdr:rowOff>88900</xdr:rowOff>
                  </from>
                  <to>
                    <xdr:col>9</xdr:col>
                    <xdr:colOff>831850</xdr:colOff>
                    <xdr:row>40</xdr:row>
                    <xdr:rowOff>127000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8" stopIfTrue="1" id="{B8ADE307-E7A4-4357-AC02-1F74D37D4BDC}">
            <xm:f>Parameters!$B$126=FALSE</xm:f>
            <x14:dxf>
              <font>
                <color theme="0"/>
              </font>
              <fill>
                <patternFill patternType="solid">
                  <bgColor theme="0"/>
                </patternFill>
              </fill>
              <border>
                <left/>
                <right/>
                <top/>
                <bottom/>
              </border>
            </x14:dxf>
          </x14:cfRule>
          <xm:sqref>H42:N42</xm:sqref>
        </x14:conditionalFormatting>
        <x14:conditionalFormatting xmlns:xm="http://schemas.microsoft.com/office/excel/2006/main">
          <x14:cfRule type="expression" priority="1" id="{7D5AAA5F-F945-4ABC-92AE-0EF56A0D6C65}">
            <xm:f>Parameters!$B$126=TRUE</xm:f>
            <x14:dxf>
              <font>
                <color theme="0"/>
              </font>
              <fill>
                <patternFill>
                  <bgColor theme="0"/>
                </patternFill>
              </fill>
              <border>
                <left/>
                <right/>
                <top/>
                <bottom/>
                <vertical/>
                <horizontal/>
              </border>
            </x14:dxf>
          </x14:cfRule>
          <xm:sqref>C50:J50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Parameters!$B$133:$B$142</xm:f>
          </x14:formula1>
          <xm:sqref>J50 J42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L53"/>
  <sheetViews>
    <sheetView workbookViewId="0">
      <selection activeCell="E13" sqref="E13"/>
    </sheetView>
  </sheetViews>
  <sheetFormatPr defaultColWidth="9.1796875" defaultRowHeight="12.5" x14ac:dyDescent="0.25"/>
  <cols>
    <col min="1" max="2" width="2.54296875" style="263" customWidth="1"/>
    <col min="3" max="3" width="29.81640625" style="263" customWidth="1"/>
    <col min="4" max="4" width="18.1796875" style="263" customWidth="1"/>
    <col min="5" max="5" width="12.54296875" style="263" bestFit="1" customWidth="1"/>
    <col min="6" max="6" width="10.453125" style="263" customWidth="1"/>
    <col min="7" max="7" width="9.1796875" style="263"/>
    <col min="8" max="8" width="3.453125" style="263" customWidth="1"/>
    <col min="9" max="9" width="9.1796875" style="263" hidden="1" customWidth="1"/>
    <col min="10" max="10" width="0.1796875" style="263" hidden="1" customWidth="1"/>
    <col min="11" max="12" width="9.1796875" style="263" hidden="1" customWidth="1"/>
    <col min="13" max="13" width="2.453125" style="263" customWidth="1"/>
    <col min="14" max="14" width="1.453125" style="263" customWidth="1"/>
    <col min="15" max="16384" width="9.1796875" style="263"/>
  </cols>
  <sheetData>
    <row r="1" spans="2:7" ht="11.25" customHeight="1" x14ac:dyDescent="0.25"/>
    <row r="2" spans="2:7" ht="36" customHeight="1" x14ac:dyDescent="0.25"/>
    <row r="3" spans="2:7" ht="24" customHeight="1" x14ac:dyDescent="0.25"/>
    <row r="4" spans="2:7" ht="37.5" customHeight="1" x14ac:dyDescent="0.4">
      <c r="B4" s="551" t="s">
        <v>657</v>
      </c>
      <c r="C4" s="552"/>
      <c r="D4" s="552"/>
      <c r="E4" s="264"/>
      <c r="F4" s="264"/>
      <c r="G4" s="264"/>
    </row>
    <row r="5" spans="2:7" x14ac:dyDescent="0.25">
      <c r="B5" s="264"/>
      <c r="C5" s="264"/>
      <c r="D5" s="264"/>
      <c r="E5" s="264"/>
      <c r="F5" s="264"/>
      <c r="G5" s="264"/>
    </row>
    <row r="6" spans="2:7" ht="12.75" customHeight="1" x14ac:dyDescent="0.25">
      <c r="B6" s="709" t="s">
        <v>499</v>
      </c>
      <c r="C6" s="709"/>
      <c r="D6" s="709"/>
      <c r="E6" s="709"/>
      <c r="F6" s="709"/>
      <c r="G6" s="709"/>
    </row>
    <row r="7" spans="2:7" x14ac:dyDescent="0.25">
      <c r="B7" s="709"/>
      <c r="C7" s="709"/>
      <c r="D7" s="709"/>
      <c r="E7" s="709"/>
      <c r="F7" s="709"/>
      <c r="G7" s="709"/>
    </row>
    <row r="8" spans="2:7" x14ac:dyDescent="0.25">
      <c r="B8" s="709"/>
      <c r="C8" s="709"/>
      <c r="D8" s="709"/>
      <c r="E8" s="709"/>
      <c r="F8" s="709"/>
      <c r="G8" s="709"/>
    </row>
    <row r="9" spans="2:7" ht="13" x14ac:dyDescent="0.25">
      <c r="B9" s="286"/>
      <c r="C9" s="286"/>
      <c r="D9" s="286"/>
      <c r="E9" s="286"/>
      <c r="F9" s="286"/>
      <c r="G9" s="286"/>
    </row>
    <row r="10" spans="2:7" ht="13" x14ac:dyDescent="0.3">
      <c r="B10" s="278" t="s">
        <v>500</v>
      </c>
      <c r="C10" s="286"/>
      <c r="D10" s="286"/>
      <c r="E10" s="286"/>
      <c r="F10" s="286"/>
      <c r="G10" s="286"/>
    </row>
    <row r="11" spans="2:7" ht="13" thickBot="1" x14ac:dyDescent="0.3">
      <c r="B11" s="264"/>
      <c r="C11" s="264"/>
      <c r="D11" s="264"/>
      <c r="E11" s="264"/>
      <c r="F11" s="264"/>
      <c r="G11" s="264"/>
    </row>
    <row r="12" spans="2:7" x14ac:dyDescent="0.25">
      <c r="B12" s="265"/>
      <c r="C12" s="266"/>
      <c r="D12" s="266"/>
      <c r="E12" s="266"/>
      <c r="F12" s="266"/>
      <c r="G12" s="267"/>
    </row>
    <row r="13" spans="2:7" ht="15.5" x14ac:dyDescent="0.35">
      <c r="B13" s="602"/>
      <c r="C13" s="603" t="s">
        <v>491</v>
      </c>
      <c r="D13" s="603"/>
      <c r="E13" s="604" t="str">
        <f>IF(DoR="","",DoR)</f>
        <v/>
      </c>
      <c r="F13" s="603"/>
      <c r="G13" s="605"/>
    </row>
    <row r="14" spans="2:7" ht="15.5" x14ac:dyDescent="0.35">
      <c r="B14" s="602"/>
      <c r="C14" s="603"/>
      <c r="D14" s="603"/>
      <c r="E14" s="606"/>
      <c r="F14" s="603"/>
      <c r="G14" s="605"/>
    </row>
    <row r="15" spans="2:7" ht="15.5" x14ac:dyDescent="0.35">
      <c r="B15" s="602"/>
      <c r="C15" s="603" t="s">
        <v>492</v>
      </c>
      <c r="D15" s="603"/>
      <c r="E15" s="713" t="str">
        <f>IF(Name_member="","",Name_member)</f>
        <v/>
      </c>
      <c r="F15" s="714"/>
      <c r="G15" s="607"/>
    </row>
    <row r="16" spans="2:7" ht="15.5" x14ac:dyDescent="0.35">
      <c r="B16" s="602"/>
      <c r="C16" s="603"/>
      <c r="D16" s="603"/>
      <c r="E16" s="608"/>
      <c r="F16" s="608"/>
      <c r="G16" s="605"/>
    </row>
    <row r="17" spans="2:7" ht="15.5" x14ac:dyDescent="0.35">
      <c r="B17" s="602"/>
      <c r="C17" s="603" t="s">
        <v>62</v>
      </c>
      <c r="D17" s="603"/>
      <c r="E17" s="604" t="str">
        <f>IF(DoB="","",DoB)</f>
        <v/>
      </c>
      <c r="F17" s="603"/>
      <c r="G17" s="605"/>
    </row>
    <row r="18" spans="2:7" ht="15.5" x14ac:dyDescent="0.35">
      <c r="B18" s="602"/>
      <c r="C18" s="603"/>
      <c r="D18" s="603"/>
      <c r="E18" s="606"/>
      <c r="F18" s="603"/>
      <c r="G18" s="605"/>
    </row>
    <row r="19" spans="2:7" ht="15.5" x14ac:dyDescent="0.35">
      <c r="B19" s="602"/>
      <c r="C19" s="603" t="s">
        <v>493</v>
      </c>
      <c r="D19" s="603"/>
      <c r="E19" s="604" t="str">
        <f>IF(DJS="","",DJS)</f>
        <v/>
      </c>
      <c r="F19" s="603"/>
      <c r="G19" s="605"/>
    </row>
    <row r="20" spans="2:7" ht="15.5" x14ac:dyDescent="0.35">
      <c r="B20" s="602"/>
      <c r="C20" s="603"/>
      <c r="D20" s="603"/>
      <c r="E20" s="603"/>
      <c r="F20" s="603"/>
      <c r="G20" s="605"/>
    </row>
    <row r="21" spans="2:7" ht="15.5" x14ac:dyDescent="0.35">
      <c r="B21" s="602"/>
      <c r="C21" s="603" t="s">
        <v>494</v>
      </c>
      <c r="D21" s="603"/>
      <c r="E21" s="609" t="str">
        <f>IF(CurrentSal="","",CurrentSal)</f>
        <v/>
      </c>
      <c r="F21" s="603"/>
      <c r="G21" s="605"/>
    </row>
    <row r="22" spans="2:7" ht="16" thickBot="1" x14ac:dyDescent="0.4">
      <c r="B22" s="610"/>
      <c r="C22" s="611"/>
      <c r="D22" s="611"/>
      <c r="E22" s="612"/>
      <c r="F22" s="611"/>
      <c r="G22" s="613"/>
    </row>
    <row r="23" spans="2:7" ht="13.5" customHeight="1" x14ac:dyDescent="0.35">
      <c r="B23" s="614"/>
      <c r="C23" s="603"/>
      <c r="D23" s="603"/>
      <c r="E23" s="615"/>
      <c r="F23" s="603"/>
      <c r="G23" s="616"/>
    </row>
    <row r="24" spans="2:7" ht="31.5" customHeight="1" x14ac:dyDescent="0.35">
      <c r="B24" s="716" t="s">
        <v>495</v>
      </c>
      <c r="C24" s="716"/>
      <c r="D24" s="716"/>
      <c r="E24" s="716"/>
      <c r="F24" s="617"/>
      <c r="G24" s="614"/>
    </row>
    <row r="25" spans="2:7" ht="14.25" customHeight="1" x14ac:dyDescent="0.35">
      <c r="B25" s="614" t="s">
        <v>498</v>
      </c>
      <c r="C25" s="285"/>
      <c r="D25" s="618"/>
      <c r="E25" s="619"/>
      <c r="F25" s="617"/>
      <c r="G25" s="614"/>
    </row>
    <row r="26" spans="2:7" ht="14.25" customHeight="1" thickBot="1" x14ac:dyDescent="0.4">
      <c r="B26" s="620" t="str">
        <f>IF(Form_Check=TRUE,"","Insufficient data supplied, please fill in rest of form")</f>
        <v>Insufficient data supplied, please fill in rest of form</v>
      </c>
      <c r="C26" s="280"/>
      <c r="D26" s="618"/>
      <c r="E26" s="617"/>
      <c r="F26" s="617"/>
      <c r="G26" s="614"/>
    </row>
    <row r="27" spans="2:7" ht="15.5" x14ac:dyDescent="0.35">
      <c r="B27" s="621"/>
      <c r="C27" s="274"/>
      <c r="D27" s="622"/>
      <c r="E27" s="622"/>
      <c r="F27" s="622"/>
      <c r="G27" s="623"/>
    </row>
    <row r="28" spans="2:7" ht="15.5" x14ac:dyDescent="0.35">
      <c r="B28" s="602"/>
      <c r="C28" s="624" t="str">
        <f>"Projected pension at "&amp;IF(DoR="","",TEXT(DoR,"d mmmm yyy")) &amp;":"</f>
        <v>Projected pension at :</v>
      </c>
      <c r="D28" s="603"/>
      <c r="E28" s="625" t="str">
        <f>IF(Form_Check=TRUE,IF(ChosenRA&gt;=55,Calculator!I89,Calculator!I84),"")</f>
        <v/>
      </c>
      <c r="F28" s="603"/>
      <c r="G28" s="605"/>
    </row>
    <row r="29" spans="2:7" ht="15.5" x14ac:dyDescent="0.35">
      <c r="B29" s="602"/>
      <c r="C29" s="603"/>
      <c r="D29" s="603"/>
      <c r="E29" s="603"/>
      <c r="F29" s="603"/>
      <c r="G29" s="605"/>
    </row>
    <row r="30" spans="2:7" ht="15.5" x14ac:dyDescent="0.35">
      <c r="B30" s="602"/>
      <c r="C30" s="603"/>
      <c r="D30" s="603"/>
      <c r="E30" s="603"/>
      <c r="F30" s="603"/>
      <c r="G30" s="605"/>
    </row>
    <row r="31" spans="2:7" ht="45.75" customHeight="1" x14ac:dyDescent="0.35">
      <c r="B31" s="602"/>
      <c r="C31" s="710" t="s">
        <v>656</v>
      </c>
      <c r="D31" s="711"/>
      <c r="E31" s="712"/>
      <c r="F31" s="603"/>
      <c r="G31" s="605"/>
    </row>
    <row r="32" spans="2:7" ht="15.5" x14ac:dyDescent="0.35">
      <c r="B32" s="602"/>
      <c r="C32" s="603"/>
      <c r="D32" s="603"/>
      <c r="E32" s="603"/>
      <c r="F32" s="603"/>
      <c r="G32" s="605"/>
    </row>
    <row r="33" spans="2:7" ht="15.5" x14ac:dyDescent="0.35">
      <c r="B33" s="602"/>
      <c r="C33" s="603" t="s">
        <v>496</v>
      </c>
      <c r="D33" s="603"/>
      <c r="E33" s="603"/>
      <c r="F33" s="603"/>
      <c r="G33" s="605"/>
    </row>
    <row r="34" spans="2:7" ht="15.5" x14ac:dyDescent="0.35">
      <c r="B34" s="602"/>
      <c r="C34" s="603"/>
      <c r="D34" s="603"/>
      <c r="E34" s="603"/>
      <c r="F34" s="603"/>
      <c r="G34" s="605"/>
    </row>
    <row r="35" spans="2:7" ht="15.5" x14ac:dyDescent="0.35">
      <c r="B35" s="602"/>
      <c r="C35" s="624" t="s">
        <v>501</v>
      </c>
      <c r="D35" s="603"/>
      <c r="E35" s="625" t="str">
        <f>IF(Form_Check=TRUE,IF(ChosenRA&gt;=55,Calculator!I79,Calculator!I73),"")</f>
        <v/>
      </c>
      <c r="F35" s="603"/>
      <c r="G35" s="605"/>
    </row>
    <row r="36" spans="2:7" ht="15.5" x14ac:dyDescent="0.35">
      <c r="B36" s="602"/>
      <c r="C36" s="603"/>
      <c r="D36" s="603"/>
      <c r="E36" s="626"/>
      <c r="F36" s="603"/>
      <c r="G36" s="605"/>
    </row>
    <row r="37" spans="2:7" ht="15.5" x14ac:dyDescent="0.35">
      <c r="B37" s="602"/>
      <c r="C37" s="624" t="s">
        <v>497</v>
      </c>
      <c r="D37" s="603"/>
      <c r="E37" s="609" t="str">
        <f>IF(Form_Check=TRUE,IF(ChosenRA&gt;=55,Calculator!I80,Calculator!I74),"")</f>
        <v/>
      </c>
      <c r="F37" s="603"/>
      <c r="G37" s="605"/>
    </row>
    <row r="38" spans="2:7" ht="16" thickBot="1" x14ac:dyDescent="0.4">
      <c r="B38" s="610"/>
      <c r="C38" s="627"/>
      <c r="D38" s="611"/>
      <c r="E38" s="628"/>
      <c r="F38" s="611"/>
      <c r="G38" s="613"/>
    </row>
    <row r="39" spans="2:7" ht="15.75" customHeight="1" x14ac:dyDescent="0.25">
      <c r="B39" s="268"/>
      <c r="C39" s="715"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39" s="715"/>
      <c r="E39" s="715"/>
      <c r="F39" s="715"/>
      <c r="G39" s="270"/>
    </row>
    <row r="40" spans="2:7" ht="15.75" customHeight="1" x14ac:dyDescent="0.25">
      <c r="B40" s="268"/>
      <c r="C40" s="715"/>
      <c r="D40" s="715"/>
      <c r="E40" s="715"/>
      <c r="F40" s="715"/>
      <c r="G40" s="270"/>
    </row>
    <row r="41" spans="2:7" ht="15.75" customHeight="1" x14ac:dyDescent="0.25">
      <c r="B41" s="268"/>
      <c r="C41" s="715"/>
      <c r="D41" s="715"/>
      <c r="E41" s="715"/>
      <c r="F41" s="715"/>
      <c r="G41" s="270"/>
    </row>
    <row r="42" spans="2:7" ht="15.75" customHeight="1" x14ac:dyDescent="0.35">
      <c r="B42" s="268"/>
      <c r="C42" s="284"/>
      <c r="D42" s="284"/>
      <c r="E42" s="284"/>
      <c r="F42" s="284"/>
      <c r="G42" s="270"/>
    </row>
    <row r="43" spans="2:7" ht="15.5" x14ac:dyDescent="0.35">
      <c r="B43" s="268"/>
      <c r="C43" s="275" t="str">
        <f>IF(ChosenRA&gt;=55,"","Deferred 2015 pension payable at SPA")</f>
        <v>Deferred 2015 pension payable at SPA</v>
      </c>
      <c r="D43" s="269"/>
      <c r="E43" s="281" t="str">
        <f>IF(Form_Check=TRUE,IF(ChosenRA&gt;=55,"",Calculator!I87),"")</f>
        <v/>
      </c>
      <c r="F43" s="269"/>
      <c r="G43" s="270"/>
    </row>
    <row r="44" spans="2:7" ht="15.5" x14ac:dyDescent="0.35">
      <c r="B44" s="268"/>
      <c r="C44" s="275"/>
      <c r="D44" s="269"/>
      <c r="E44" s="283"/>
      <c r="F44" s="269"/>
      <c r="G44" s="270"/>
    </row>
    <row r="45" spans="2:7" ht="15.5" x14ac:dyDescent="0.35">
      <c r="B45" s="268"/>
      <c r="C45" s="275" t="str">
        <f>IF(ChosenRA&gt;=55,"","After maximum commutation:")</f>
        <v>After maximum commutation:</v>
      </c>
      <c r="D45" s="269"/>
      <c r="E45" s="283"/>
      <c r="F45" s="269"/>
      <c r="G45" s="270"/>
    </row>
    <row r="46" spans="2:7" ht="15.5" x14ac:dyDescent="0.35">
      <c r="B46" s="268"/>
      <c r="C46" s="275" t="str">
        <f>IF(ChosenRA&gt;=55,"","Pension")</f>
        <v>Pension</v>
      </c>
      <c r="D46" s="269"/>
      <c r="E46" s="281" t="str">
        <f>IF(Form_Check=TRUE,IF(ChosenRA&gt;=55,"",Calculator!I76),"")</f>
        <v/>
      </c>
      <c r="F46" s="269"/>
      <c r="G46" s="270"/>
    </row>
    <row r="47" spans="2:7" ht="15.5" x14ac:dyDescent="0.35">
      <c r="B47" s="268"/>
      <c r="C47" s="275"/>
      <c r="D47" s="269"/>
      <c r="E47" s="282"/>
      <c r="F47" s="269"/>
      <c r="G47" s="270"/>
    </row>
    <row r="48" spans="2:7" ht="15.5" x14ac:dyDescent="0.35">
      <c r="B48" s="268"/>
      <c r="C48" s="275" t="str">
        <f>IF(ChosenRA&gt;=55,"","Lump sum")</f>
        <v>Lump sum</v>
      </c>
      <c r="D48" s="269"/>
      <c r="E48" s="279" t="str">
        <f>IF(Form_Check=TRUE,IF(ChosenRA&gt;=55,"",Calculator!I77),"")</f>
        <v/>
      </c>
      <c r="F48" s="269"/>
      <c r="G48" s="270"/>
    </row>
    <row r="49" spans="2:7" ht="13" thickBot="1" x14ac:dyDescent="0.3">
      <c r="B49" s="271"/>
      <c r="C49" s="276"/>
      <c r="D49" s="276"/>
      <c r="E49" s="276"/>
      <c r="F49" s="276"/>
      <c r="G49" s="272"/>
    </row>
    <row r="50" spans="2:7" x14ac:dyDescent="0.25">
      <c r="B50" s="264"/>
      <c r="C50" s="273"/>
      <c r="D50" s="273"/>
      <c r="E50" s="273"/>
      <c r="F50" s="273"/>
      <c r="G50" s="273"/>
    </row>
    <row r="51" spans="2:7" x14ac:dyDescent="0.25">
      <c r="B51" s="264" t="str">
        <f>IF(ChosenRA&gt;=55,"","** The deferred pension is payable at a reduced rate from age 55")</f>
        <v>** The deferred pension is payable at a reduced rate from age 55</v>
      </c>
      <c r="D51" s="264"/>
      <c r="E51" s="264"/>
      <c r="F51" s="264"/>
      <c r="G51" s="264"/>
    </row>
    <row r="52" spans="2:7" x14ac:dyDescent="0.25">
      <c r="B52" s="264"/>
      <c r="D52" s="264"/>
      <c r="E52" s="264"/>
      <c r="F52" s="264"/>
      <c r="G52" s="264"/>
    </row>
    <row r="53" spans="2:7" x14ac:dyDescent="0.25">
      <c r="C53" s="264" t="s">
        <v>503</v>
      </c>
      <c r="D53" s="277">
        <f ca="1">Date_curr</f>
        <v>44214</v>
      </c>
    </row>
  </sheetData>
  <sheetProtection algorithmName="SHA-512" hashValue="ToQNl+dEGslX1JavTWIhqHiv8AlCJLrhu/QZVogwvQyhIk/gC+NaKJlVrc/6joaBOADpQKqJ+J2GGp5E8UB2sQ==" saltValue="5LGF8Tf7shjDGrJjTlczsA==" spinCount="100000" sheet="1" objects="1" scenarios="1"/>
  <mergeCells count="5">
    <mergeCell ref="B6:G8"/>
    <mergeCell ref="C31:E31"/>
    <mergeCell ref="E15:F15"/>
    <mergeCell ref="C39:F41"/>
    <mergeCell ref="B24:E24"/>
  </mergeCells>
  <conditionalFormatting sqref="B38:G38">
    <cfRule type="expression" dxfId="2" priority="2">
      <formula>ChosenRA&lt;55</formula>
    </cfRule>
  </conditionalFormatting>
  <conditionalFormatting sqref="C43:F48">
    <cfRule type="expression" dxfId="1" priority="3">
      <formula>ChosenRA&gt;=55</formula>
    </cfRule>
  </conditionalFormatting>
  <conditionalFormatting sqref="B39:G49">
    <cfRule type="expression" dxfId="0" priority="1">
      <formula>ChosenRA&gt;=55</formula>
    </cfRule>
  </conditionalFormatting>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L142"/>
  <sheetViews>
    <sheetView workbookViewId="0"/>
  </sheetViews>
  <sheetFormatPr defaultRowHeight="13" x14ac:dyDescent="0.3"/>
  <cols>
    <col min="2" max="2" width="9.81640625" style="1" customWidth="1"/>
    <col min="3" max="3" width="10.1796875" bestFit="1" customWidth="1"/>
    <col min="4" max="5" width="10.453125" bestFit="1" customWidth="1"/>
    <col min="6" max="6" width="9" customWidth="1"/>
    <col min="7" max="8" width="27.453125" customWidth="1"/>
    <col min="11" max="11" width="11.54296875" bestFit="1" customWidth="1"/>
    <col min="12" max="12" width="10.54296875" bestFit="1" customWidth="1"/>
  </cols>
  <sheetData>
    <row r="1" spans="1:9" ht="20" x14ac:dyDescent="0.4">
      <c r="A1" s="13" t="s">
        <v>19</v>
      </c>
      <c r="B1" s="31"/>
      <c r="C1" s="12"/>
      <c r="D1" s="12"/>
      <c r="E1" s="12"/>
      <c r="F1" s="12"/>
      <c r="G1" s="12"/>
      <c r="H1" s="12"/>
      <c r="I1" s="12"/>
    </row>
    <row r="2" spans="1:9" ht="15.5" x14ac:dyDescent="0.35">
      <c r="A2" s="27" t="str">
        <f>IF(title="&gt; Enter workbook title here","Enter workbook title in Cover sheet",title)</f>
        <v>Scottish Fire pension  projection calculator</v>
      </c>
      <c r="B2" s="32"/>
      <c r="C2" s="11"/>
      <c r="D2" s="11"/>
      <c r="E2" s="11"/>
      <c r="F2" s="11"/>
      <c r="G2" s="11"/>
      <c r="H2" s="11"/>
      <c r="I2" s="11"/>
    </row>
    <row r="3" spans="1:9" ht="15.5" x14ac:dyDescent="0.35">
      <c r="A3" s="76" t="s">
        <v>77</v>
      </c>
      <c r="B3" s="32"/>
      <c r="C3" s="11"/>
      <c r="D3" s="11"/>
      <c r="E3" s="11"/>
      <c r="F3" s="11"/>
      <c r="G3" s="11"/>
      <c r="H3" s="11"/>
      <c r="I3" s="11"/>
    </row>
    <row r="4" spans="1:9" x14ac:dyDescent="0.3">
      <c r="A4" s="7" t="str">
        <f ca="1">CELL("filename",A1)</f>
        <v>C:\Users\u418711\AppData\Local\Microsoft\Windows\INetCache\Content.Outlook\PTLKNQ86\[Copy of Fire Scotland - Benefit Calculator - 22Dec2020.xlsx]Parameters</v>
      </c>
    </row>
    <row r="6" spans="1:9" x14ac:dyDescent="0.3">
      <c r="E6" s="29"/>
    </row>
    <row r="7" spans="1:9" x14ac:dyDescent="0.3">
      <c r="B7" s="1" t="s">
        <v>59</v>
      </c>
      <c r="E7" s="33" t="s">
        <v>511</v>
      </c>
    </row>
    <row r="8" spans="1:9" x14ac:dyDescent="0.3">
      <c r="E8" s="33" t="s">
        <v>510</v>
      </c>
    </row>
    <row r="9" spans="1:9" x14ac:dyDescent="0.3">
      <c r="E9" s="33"/>
    </row>
    <row r="10" spans="1:9" x14ac:dyDescent="0.3">
      <c r="B10" s="1" t="s">
        <v>76</v>
      </c>
      <c r="E10" s="34">
        <v>41000</v>
      </c>
    </row>
    <row r="11" spans="1:9" x14ac:dyDescent="0.3">
      <c r="E11" s="33"/>
    </row>
    <row r="12" spans="1:9" x14ac:dyDescent="0.3">
      <c r="B12" s="1" t="s">
        <v>70</v>
      </c>
      <c r="D12" s="29"/>
      <c r="E12" s="34">
        <v>42095</v>
      </c>
    </row>
    <row r="13" spans="1:9" x14ac:dyDescent="0.3">
      <c r="D13" s="29"/>
      <c r="E13" s="34"/>
    </row>
    <row r="14" spans="1:9" x14ac:dyDescent="0.3">
      <c r="B14" s="1" t="s">
        <v>68</v>
      </c>
      <c r="D14" s="29"/>
      <c r="E14" s="36">
        <v>365.25</v>
      </c>
    </row>
    <row r="15" spans="1:9" x14ac:dyDescent="0.3">
      <c r="D15" s="29"/>
    </row>
    <row r="16" spans="1:9" x14ac:dyDescent="0.3">
      <c r="B16" s="1" t="s">
        <v>146</v>
      </c>
      <c r="D16" s="29"/>
      <c r="E16" s="29" t="s">
        <v>511</v>
      </c>
      <c r="F16" s="33">
        <v>30</v>
      </c>
    </row>
    <row r="17" spans="2:7" x14ac:dyDescent="0.3">
      <c r="D17" s="29"/>
      <c r="E17" s="29" t="s">
        <v>510</v>
      </c>
      <c r="F17" s="33">
        <v>45</v>
      </c>
    </row>
    <row r="18" spans="2:7" x14ac:dyDescent="0.3">
      <c r="D18" s="29"/>
    </row>
    <row r="19" spans="2:7" x14ac:dyDescent="0.3">
      <c r="B19" s="1" t="s">
        <v>60</v>
      </c>
      <c r="E19" s="29" t="s">
        <v>511</v>
      </c>
      <c r="F19" s="33">
        <f>1/60</f>
        <v>1.6666666666666666E-2</v>
      </c>
      <c r="G19" s="29"/>
    </row>
    <row r="20" spans="2:7" x14ac:dyDescent="0.3">
      <c r="E20" s="29" t="s">
        <v>510</v>
      </c>
      <c r="F20" s="33">
        <f>1/60</f>
        <v>1.6666666666666666E-2</v>
      </c>
    </row>
    <row r="21" spans="2:7" x14ac:dyDescent="0.3">
      <c r="E21" s="29" t="s">
        <v>61</v>
      </c>
      <c r="F21" s="292">
        <f>1/61.6</f>
        <v>1.6233766233766232E-2</v>
      </c>
      <c r="G21" s="86" t="s">
        <v>640</v>
      </c>
    </row>
    <row r="22" spans="2:7" x14ac:dyDescent="0.3">
      <c r="F22" s="33"/>
    </row>
    <row r="24" spans="2:7" x14ac:dyDescent="0.3">
      <c r="B24" s="1" t="s">
        <v>74</v>
      </c>
    </row>
    <row r="25" spans="2:7" x14ac:dyDescent="0.3">
      <c r="D25" s="717" t="s">
        <v>75</v>
      </c>
      <c r="E25" s="717"/>
    </row>
    <row r="26" spans="2:7" x14ac:dyDescent="0.3">
      <c r="D26" s="30" t="s">
        <v>64</v>
      </c>
      <c r="E26" s="30" t="s">
        <v>65</v>
      </c>
    </row>
    <row r="27" spans="2:7" x14ac:dyDescent="0.3">
      <c r="D27" s="42">
        <v>18359</v>
      </c>
      <c r="E27" s="45">
        <v>19788</v>
      </c>
      <c r="F27" s="33">
        <v>65</v>
      </c>
    </row>
    <row r="28" spans="2:7" x14ac:dyDescent="0.3">
      <c r="D28" s="43">
        <v>19789</v>
      </c>
      <c r="E28" s="46">
        <v>22164</v>
      </c>
      <c r="F28" s="33">
        <v>66</v>
      </c>
    </row>
    <row r="29" spans="2:7" x14ac:dyDescent="0.3">
      <c r="D29" s="43">
        <v>22165</v>
      </c>
      <c r="E29" s="46">
        <v>28373</v>
      </c>
      <c r="F29" s="33">
        <v>67</v>
      </c>
    </row>
    <row r="30" spans="2:7" x14ac:dyDescent="0.3">
      <c r="D30" s="44">
        <v>28374</v>
      </c>
      <c r="E30" s="47"/>
      <c r="F30" s="33">
        <v>68</v>
      </c>
    </row>
    <row r="34" spans="2:10" x14ac:dyDescent="0.3">
      <c r="B34" s="1" t="s">
        <v>528</v>
      </c>
      <c r="E34" s="68">
        <v>38813</v>
      </c>
    </row>
    <row r="35" spans="2:10" x14ac:dyDescent="0.3">
      <c r="E35" s="34"/>
    </row>
    <row r="36" spans="2:10" x14ac:dyDescent="0.3">
      <c r="B36" s="1" t="s">
        <v>529</v>
      </c>
      <c r="E36" s="34"/>
      <c r="G36" s="369">
        <f>(ProtectDate-NFPSstart)/DoY</f>
        <v>5.9876796714579053</v>
      </c>
    </row>
    <row r="38" spans="2:10" x14ac:dyDescent="0.3">
      <c r="B38" s="1" t="s">
        <v>530</v>
      </c>
    </row>
    <row r="39" spans="2:10" ht="13.5" thickBot="1" x14ac:dyDescent="0.35">
      <c r="B39" s="1" t="s">
        <v>531</v>
      </c>
    </row>
    <row r="40" spans="2:10" ht="13.5" thickBot="1" x14ac:dyDescent="0.35">
      <c r="B40" s="295"/>
      <c r="C40" s="718" t="s">
        <v>110</v>
      </c>
      <c r="D40" s="719"/>
      <c r="E40" s="719"/>
      <c r="F40" s="719"/>
      <c r="G40" s="719"/>
      <c r="H40" s="720"/>
      <c r="J40" t="s">
        <v>540</v>
      </c>
    </row>
    <row r="41" spans="2:10" ht="13.5" thickBot="1" x14ac:dyDescent="0.35">
      <c r="B41" s="197" t="s">
        <v>519</v>
      </c>
      <c r="C41" s="296" t="s">
        <v>520</v>
      </c>
      <c r="D41" s="297">
        <v>56</v>
      </c>
      <c r="E41" s="297">
        <v>57</v>
      </c>
      <c r="F41" s="297">
        <v>58</v>
      </c>
      <c r="G41" s="297">
        <v>59</v>
      </c>
      <c r="H41" s="298">
        <v>60</v>
      </c>
    </row>
    <row r="42" spans="2:10" ht="12.5" x14ac:dyDescent="0.25">
      <c r="B42" s="294">
        <v>17</v>
      </c>
      <c r="C42" s="299">
        <v>1.4</v>
      </c>
      <c r="D42" s="300">
        <v>1.39</v>
      </c>
      <c r="E42" s="300">
        <v>1.38</v>
      </c>
      <c r="F42" s="300">
        <v>1.36</v>
      </c>
      <c r="G42" s="300">
        <v>1.35</v>
      </c>
      <c r="H42" s="301">
        <v>1.33</v>
      </c>
    </row>
    <row r="43" spans="2:10" ht="12.5" x14ac:dyDescent="0.25">
      <c r="B43" s="302">
        <v>18</v>
      </c>
      <c r="C43" s="299">
        <v>1.4</v>
      </c>
      <c r="D43" s="300">
        <v>1.39</v>
      </c>
      <c r="E43" s="300">
        <v>1.38</v>
      </c>
      <c r="F43" s="300">
        <v>1.36</v>
      </c>
      <c r="G43" s="300">
        <v>1.35</v>
      </c>
      <c r="H43" s="301">
        <v>1.33</v>
      </c>
    </row>
    <row r="44" spans="2:10" ht="12.5" x14ac:dyDescent="0.25">
      <c r="B44" s="294">
        <v>19</v>
      </c>
      <c r="C44" s="299">
        <v>1.4</v>
      </c>
      <c r="D44" s="300">
        <v>1.39</v>
      </c>
      <c r="E44" s="300">
        <v>1.38</v>
      </c>
      <c r="F44" s="300">
        <v>1.36</v>
      </c>
      <c r="G44" s="300">
        <v>1.35</v>
      </c>
      <c r="H44" s="301">
        <v>1.33</v>
      </c>
    </row>
    <row r="45" spans="2:10" ht="12.5" x14ac:dyDescent="0.25">
      <c r="B45" s="302">
        <v>20</v>
      </c>
      <c r="C45" s="299">
        <v>1.4</v>
      </c>
      <c r="D45" s="300">
        <v>1.39</v>
      </c>
      <c r="E45" s="300">
        <v>1.38</v>
      </c>
      <c r="F45" s="300">
        <v>1.36</v>
      </c>
      <c r="G45" s="300">
        <v>1.35</v>
      </c>
      <c r="H45" s="301">
        <v>1.33</v>
      </c>
    </row>
    <row r="46" spans="2:10" ht="12.5" x14ac:dyDescent="0.25">
      <c r="B46" s="294">
        <v>21</v>
      </c>
      <c r="C46" s="299">
        <v>1.4</v>
      </c>
      <c r="D46" s="300">
        <v>1.39</v>
      </c>
      <c r="E46" s="300">
        <v>1.38</v>
      </c>
      <c r="F46" s="300">
        <v>1.36</v>
      </c>
      <c r="G46" s="300">
        <v>1.35</v>
      </c>
      <c r="H46" s="301">
        <v>1.33</v>
      </c>
    </row>
    <row r="47" spans="2:10" ht="12.5" x14ac:dyDescent="0.25">
      <c r="B47" s="302">
        <v>22</v>
      </c>
      <c r="C47" s="299">
        <v>1.4</v>
      </c>
      <c r="D47" s="300">
        <v>1.39</v>
      </c>
      <c r="E47" s="300">
        <v>1.38</v>
      </c>
      <c r="F47" s="300">
        <v>1.36</v>
      </c>
      <c r="G47" s="300">
        <v>1.35</v>
      </c>
      <c r="H47" s="301">
        <v>1.33</v>
      </c>
    </row>
    <row r="48" spans="2:10" ht="12.5" x14ac:dyDescent="0.25">
      <c r="B48" s="294">
        <v>23</v>
      </c>
      <c r="C48" s="299">
        <v>1.4</v>
      </c>
      <c r="D48" s="300">
        <v>1.39</v>
      </c>
      <c r="E48" s="300">
        <v>1.38</v>
      </c>
      <c r="F48" s="300">
        <v>1.36</v>
      </c>
      <c r="G48" s="300">
        <v>1.35</v>
      </c>
      <c r="H48" s="301">
        <v>1.33</v>
      </c>
    </row>
    <row r="49" spans="2:8" ht="12.5" x14ac:dyDescent="0.25">
      <c r="B49" s="302">
        <v>24</v>
      </c>
      <c r="C49" s="299">
        <v>1.4</v>
      </c>
      <c r="D49" s="300">
        <v>1.39</v>
      </c>
      <c r="E49" s="300">
        <v>1.38</v>
      </c>
      <c r="F49" s="300">
        <v>1.36</v>
      </c>
      <c r="G49" s="300">
        <v>1.35</v>
      </c>
      <c r="H49" s="301">
        <v>1.33</v>
      </c>
    </row>
    <row r="50" spans="2:8" ht="12.5" x14ac:dyDescent="0.25">
      <c r="B50" s="294">
        <v>25</v>
      </c>
      <c r="C50" s="299">
        <v>1.4</v>
      </c>
      <c r="D50" s="300">
        <v>1.39</v>
      </c>
      <c r="E50" s="300">
        <v>1.38</v>
      </c>
      <c r="F50" s="300">
        <v>1.36</v>
      </c>
      <c r="G50" s="300">
        <v>1.35</v>
      </c>
      <c r="H50" s="301">
        <v>1.33</v>
      </c>
    </row>
    <row r="51" spans="2:8" ht="12.5" x14ac:dyDescent="0.25">
      <c r="B51" s="302">
        <v>26</v>
      </c>
      <c r="C51" s="299">
        <v>1.38</v>
      </c>
      <c r="D51" s="300">
        <v>1.39</v>
      </c>
      <c r="E51" s="300">
        <v>1.38</v>
      </c>
      <c r="F51" s="300">
        <v>1.36</v>
      </c>
      <c r="G51" s="300">
        <v>1.35</v>
      </c>
      <c r="H51" s="301">
        <v>1.33</v>
      </c>
    </row>
    <row r="52" spans="2:8" ht="12.5" x14ac:dyDescent="0.25">
      <c r="B52" s="302">
        <v>27</v>
      </c>
      <c r="C52" s="299">
        <v>1.36</v>
      </c>
      <c r="D52" s="300">
        <v>1.37</v>
      </c>
      <c r="E52" s="300">
        <v>1.38</v>
      </c>
      <c r="F52" s="300">
        <v>1.36</v>
      </c>
      <c r="G52" s="300">
        <v>1.35</v>
      </c>
      <c r="H52" s="301">
        <v>1.33</v>
      </c>
    </row>
    <row r="53" spans="2:8" ht="12.5" x14ac:dyDescent="0.25">
      <c r="B53" s="302">
        <v>28</v>
      </c>
      <c r="C53" s="299">
        <v>1.33</v>
      </c>
      <c r="D53" s="300">
        <v>1.35</v>
      </c>
      <c r="E53" s="300">
        <v>1.36</v>
      </c>
      <c r="F53" s="300">
        <v>1.36</v>
      </c>
      <c r="G53" s="300">
        <v>1.35</v>
      </c>
      <c r="H53" s="301">
        <v>1.33</v>
      </c>
    </row>
    <row r="54" spans="2:8" ht="12.5" x14ac:dyDescent="0.25">
      <c r="B54" s="302">
        <v>29</v>
      </c>
      <c r="C54" s="299">
        <v>1.3</v>
      </c>
      <c r="D54" s="300">
        <v>1.32</v>
      </c>
      <c r="E54" s="300">
        <v>1.33</v>
      </c>
      <c r="F54" s="300">
        <v>1.34</v>
      </c>
      <c r="G54" s="300">
        <v>1.35</v>
      </c>
      <c r="H54" s="301">
        <v>1.33</v>
      </c>
    </row>
    <row r="55" spans="2:8" ht="12.5" x14ac:dyDescent="0.25">
      <c r="B55" s="302">
        <v>30</v>
      </c>
      <c r="C55" s="299">
        <v>1.27</v>
      </c>
      <c r="D55" s="300">
        <v>1.29</v>
      </c>
      <c r="E55" s="300">
        <v>1.3</v>
      </c>
      <c r="F55" s="300">
        <v>1.32</v>
      </c>
      <c r="G55" s="300">
        <v>1.33</v>
      </c>
      <c r="H55" s="301">
        <v>1.33</v>
      </c>
    </row>
    <row r="56" spans="2:8" ht="12.5" x14ac:dyDescent="0.25">
      <c r="B56" s="302">
        <v>31</v>
      </c>
      <c r="C56" s="299">
        <v>1.24</v>
      </c>
      <c r="D56" s="300">
        <v>1.26</v>
      </c>
      <c r="E56" s="300">
        <v>1.28</v>
      </c>
      <c r="F56" s="300">
        <v>1.29</v>
      </c>
      <c r="G56" s="300">
        <v>1.3</v>
      </c>
      <c r="H56" s="301">
        <v>1.31</v>
      </c>
    </row>
    <row r="57" spans="2:8" ht="12.5" x14ac:dyDescent="0.25">
      <c r="B57" s="302">
        <v>32</v>
      </c>
      <c r="C57" s="299">
        <v>1.2</v>
      </c>
      <c r="D57" s="300">
        <v>1.23</v>
      </c>
      <c r="E57" s="300">
        <v>1.25</v>
      </c>
      <c r="F57" s="300">
        <v>1.26</v>
      </c>
      <c r="G57" s="300">
        <v>1.27</v>
      </c>
      <c r="H57" s="301">
        <v>1.29</v>
      </c>
    </row>
    <row r="58" spans="2:8" ht="12.5" x14ac:dyDescent="0.25">
      <c r="B58" s="302">
        <v>33</v>
      </c>
      <c r="C58" s="299">
        <v>1.1599999999999999</v>
      </c>
      <c r="D58" s="300">
        <v>1.19</v>
      </c>
      <c r="E58" s="300">
        <v>1.21</v>
      </c>
      <c r="F58" s="300">
        <v>1.23</v>
      </c>
      <c r="G58" s="300">
        <v>1.25</v>
      </c>
      <c r="H58" s="301">
        <v>1.26</v>
      </c>
    </row>
    <row r="59" spans="2:8" ht="12.5" x14ac:dyDescent="0.25">
      <c r="B59" s="302">
        <v>34</v>
      </c>
      <c r="C59" s="299">
        <v>1.1200000000000001</v>
      </c>
      <c r="D59" s="300">
        <v>1.1499999999999999</v>
      </c>
      <c r="E59" s="300">
        <v>1.18</v>
      </c>
      <c r="F59" s="300">
        <v>1.2</v>
      </c>
      <c r="G59" s="300">
        <v>1.22</v>
      </c>
      <c r="H59" s="301">
        <v>1.23</v>
      </c>
    </row>
    <row r="60" spans="2:8" ht="12.5" x14ac:dyDescent="0.25">
      <c r="B60" s="302">
        <v>35</v>
      </c>
      <c r="C60" s="299">
        <v>1.07</v>
      </c>
      <c r="D60" s="300">
        <v>1.1100000000000001</v>
      </c>
      <c r="E60" s="300">
        <v>1.1399999999999999</v>
      </c>
      <c r="F60" s="300">
        <v>1.1599999999999999</v>
      </c>
      <c r="G60" s="300">
        <v>1.18</v>
      </c>
      <c r="H60" s="301">
        <v>1.2</v>
      </c>
    </row>
    <row r="61" spans="2:8" ht="12.5" x14ac:dyDescent="0.25">
      <c r="B61" s="302">
        <v>36</v>
      </c>
      <c r="C61" s="299">
        <v>1.07</v>
      </c>
      <c r="D61" s="300">
        <v>1.06</v>
      </c>
      <c r="E61" s="300">
        <v>1.0900000000000001</v>
      </c>
      <c r="F61" s="300">
        <v>1.1200000000000001</v>
      </c>
      <c r="G61" s="300">
        <v>1.1499999999999999</v>
      </c>
      <c r="H61" s="301">
        <v>1.17</v>
      </c>
    </row>
    <row r="62" spans="2:8" ht="12.5" x14ac:dyDescent="0.25">
      <c r="B62" s="302">
        <v>37</v>
      </c>
      <c r="C62" s="299">
        <v>1.07</v>
      </c>
      <c r="D62" s="300">
        <v>1.06</v>
      </c>
      <c r="E62" s="300">
        <v>1.05</v>
      </c>
      <c r="F62" s="300">
        <v>1.08</v>
      </c>
      <c r="G62" s="300">
        <v>1.1100000000000001</v>
      </c>
      <c r="H62" s="301">
        <v>1.1299999999999999</v>
      </c>
    </row>
    <row r="63" spans="2:8" ht="12.5" x14ac:dyDescent="0.25">
      <c r="B63" s="302">
        <v>38</v>
      </c>
      <c r="C63" s="299">
        <v>1.07</v>
      </c>
      <c r="D63" s="300">
        <v>1.06</v>
      </c>
      <c r="E63" s="300">
        <v>1.05</v>
      </c>
      <c r="F63" s="300">
        <v>1.03</v>
      </c>
      <c r="G63" s="300">
        <v>1.06</v>
      </c>
      <c r="H63" s="301">
        <v>1.0900000000000001</v>
      </c>
    </row>
    <row r="64" spans="2:8" ht="12.5" x14ac:dyDescent="0.25">
      <c r="B64" s="302">
        <v>39</v>
      </c>
      <c r="C64" s="299">
        <v>1.07</v>
      </c>
      <c r="D64" s="300">
        <v>1.06</v>
      </c>
      <c r="E64" s="300">
        <v>1.05</v>
      </c>
      <c r="F64" s="300">
        <v>1.03</v>
      </c>
      <c r="G64" s="300">
        <v>1.02</v>
      </c>
      <c r="H64" s="301">
        <v>1.05</v>
      </c>
    </row>
    <row r="65" spans="2:8" ht="12.5" x14ac:dyDescent="0.25">
      <c r="B65" s="302">
        <v>40</v>
      </c>
      <c r="C65" s="299">
        <v>1.07</v>
      </c>
      <c r="D65" s="300">
        <v>1.06</v>
      </c>
      <c r="E65" s="300">
        <v>1.05</v>
      </c>
      <c r="F65" s="300">
        <v>1.03</v>
      </c>
      <c r="G65" s="300">
        <v>1.02</v>
      </c>
      <c r="H65" s="301">
        <v>1</v>
      </c>
    </row>
    <row r="66" spans="2:8" ht="12.5" x14ac:dyDescent="0.25">
      <c r="B66" s="302">
        <v>41</v>
      </c>
      <c r="C66" s="299">
        <v>1.07</v>
      </c>
      <c r="D66" s="300">
        <v>1.06</v>
      </c>
      <c r="E66" s="300">
        <v>1.05</v>
      </c>
      <c r="F66" s="300">
        <v>1.03</v>
      </c>
      <c r="G66" s="300">
        <v>1.02</v>
      </c>
      <c r="H66" s="301">
        <v>1</v>
      </c>
    </row>
    <row r="67" spans="2:8" ht="12.5" x14ac:dyDescent="0.25">
      <c r="B67" s="302">
        <v>42</v>
      </c>
      <c r="C67" s="299">
        <v>1.07</v>
      </c>
      <c r="D67" s="300">
        <v>1.06</v>
      </c>
      <c r="E67" s="300">
        <v>1.05</v>
      </c>
      <c r="F67" s="300">
        <v>1.03</v>
      </c>
      <c r="G67" s="300">
        <v>1.02</v>
      </c>
      <c r="H67" s="301">
        <v>1</v>
      </c>
    </row>
    <row r="68" spans="2:8" ht="12.5" x14ac:dyDescent="0.25">
      <c r="B68" s="302">
        <v>43</v>
      </c>
      <c r="C68" s="299">
        <v>1.07</v>
      </c>
      <c r="D68" s="300">
        <v>1.06</v>
      </c>
      <c r="E68" s="300">
        <v>1.05</v>
      </c>
      <c r="F68" s="300">
        <v>1.03</v>
      </c>
      <c r="G68" s="300">
        <v>1.02</v>
      </c>
      <c r="H68" s="301">
        <v>1</v>
      </c>
    </row>
    <row r="69" spans="2:8" ht="12.5" x14ac:dyDescent="0.25">
      <c r="B69" s="302">
        <v>44</v>
      </c>
      <c r="C69" s="299">
        <v>1.07</v>
      </c>
      <c r="D69" s="300">
        <v>1.06</v>
      </c>
      <c r="E69" s="300">
        <v>1.05</v>
      </c>
      <c r="F69" s="300">
        <v>1.03</v>
      </c>
      <c r="G69" s="300">
        <v>1.02</v>
      </c>
      <c r="H69" s="301">
        <v>1</v>
      </c>
    </row>
    <row r="70" spans="2:8" ht="12.5" x14ac:dyDescent="0.25">
      <c r="B70" s="302">
        <v>45</v>
      </c>
      <c r="C70" s="299">
        <v>1.07</v>
      </c>
      <c r="D70" s="300">
        <v>1.06</v>
      </c>
      <c r="E70" s="300">
        <v>1.05</v>
      </c>
      <c r="F70" s="300">
        <v>1.03</v>
      </c>
      <c r="G70" s="300">
        <v>1.02</v>
      </c>
      <c r="H70" s="301">
        <v>1</v>
      </c>
    </row>
    <row r="71" spans="2:8" ht="12.5" x14ac:dyDescent="0.25">
      <c r="B71" s="302">
        <v>46</v>
      </c>
      <c r="C71" s="299">
        <v>1.07</v>
      </c>
      <c r="D71" s="300">
        <v>1.06</v>
      </c>
      <c r="E71" s="300">
        <v>1.05</v>
      </c>
      <c r="F71" s="300">
        <v>1.03</v>
      </c>
      <c r="G71" s="300">
        <v>1.02</v>
      </c>
      <c r="H71" s="301">
        <v>1</v>
      </c>
    </row>
    <row r="72" spans="2:8" ht="12.5" x14ac:dyDescent="0.25">
      <c r="B72" s="302">
        <v>47</v>
      </c>
      <c r="C72" s="299">
        <v>1.07</v>
      </c>
      <c r="D72" s="300">
        <v>1.06</v>
      </c>
      <c r="E72" s="300">
        <v>1.05</v>
      </c>
      <c r="F72" s="300">
        <v>1.03</v>
      </c>
      <c r="G72" s="300">
        <v>1.02</v>
      </c>
      <c r="H72" s="301">
        <v>1</v>
      </c>
    </row>
    <row r="73" spans="2:8" ht="12.5" x14ac:dyDescent="0.25">
      <c r="B73" s="302">
        <v>48</v>
      </c>
      <c r="C73" s="299">
        <v>1.07</v>
      </c>
      <c r="D73" s="300">
        <v>1.06</v>
      </c>
      <c r="E73" s="300">
        <v>1.05</v>
      </c>
      <c r="F73" s="300">
        <v>1.03</v>
      </c>
      <c r="G73" s="300">
        <v>1.02</v>
      </c>
      <c r="H73" s="301">
        <v>1</v>
      </c>
    </row>
    <row r="74" spans="2:8" ht="12.5" x14ac:dyDescent="0.25">
      <c r="B74" s="302">
        <v>49</v>
      </c>
      <c r="C74" s="299">
        <v>1.07</v>
      </c>
      <c r="D74" s="300">
        <v>1.06</v>
      </c>
      <c r="E74" s="300">
        <v>1.05</v>
      </c>
      <c r="F74" s="300">
        <v>1.03</v>
      </c>
      <c r="G74" s="300">
        <v>1.02</v>
      </c>
      <c r="H74" s="301">
        <v>1</v>
      </c>
    </row>
    <row r="75" spans="2:8" ht="12.5" x14ac:dyDescent="0.25">
      <c r="B75" s="302">
        <v>50</v>
      </c>
      <c r="C75" s="299">
        <v>1.07</v>
      </c>
      <c r="D75" s="300">
        <v>1.06</v>
      </c>
      <c r="E75" s="300">
        <v>1.05</v>
      </c>
      <c r="F75" s="300">
        <v>1.03</v>
      </c>
      <c r="G75" s="300">
        <v>1.02</v>
      </c>
      <c r="H75" s="301">
        <v>1</v>
      </c>
    </row>
    <row r="76" spans="2:8" ht="12.5" x14ac:dyDescent="0.25">
      <c r="B76" s="302">
        <v>51</v>
      </c>
      <c r="C76" s="299">
        <v>1.07</v>
      </c>
      <c r="D76" s="300">
        <v>1.06</v>
      </c>
      <c r="E76" s="300">
        <v>1.05</v>
      </c>
      <c r="F76" s="300">
        <v>1.03</v>
      </c>
      <c r="G76" s="300">
        <v>1.02</v>
      </c>
      <c r="H76" s="301">
        <v>1</v>
      </c>
    </row>
    <row r="77" spans="2:8" ht="12.5" x14ac:dyDescent="0.25">
      <c r="B77" s="302">
        <v>52</v>
      </c>
      <c r="C77" s="299">
        <v>1.07</v>
      </c>
      <c r="D77" s="300">
        <v>1.06</v>
      </c>
      <c r="E77" s="300">
        <v>1.05</v>
      </c>
      <c r="F77" s="300">
        <v>1.03</v>
      </c>
      <c r="G77" s="300">
        <v>1.02</v>
      </c>
      <c r="H77" s="301">
        <v>1</v>
      </c>
    </row>
    <row r="78" spans="2:8" ht="12.5" x14ac:dyDescent="0.25">
      <c r="B78" s="302">
        <v>53</v>
      </c>
      <c r="C78" s="299">
        <v>1.07</v>
      </c>
      <c r="D78" s="300">
        <v>1.06</v>
      </c>
      <c r="E78" s="300">
        <v>1.05</v>
      </c>
      <c r="F78" s="300">
        <v>1.03</v>
      </c>
      <c r="G78" s="300">
        <v>1.02</v>
      </c>
      <c r="H78" s="301">
        <v>1</v>
      </c>
    </row>
    <row r="79" spans="2:8" ht="12.5" x14ac:dyDescent="0.25">
      <c r="B79" s="302">
        <v>54</v>
      </c>
      <c r="C79" s="299">
        <v>1.07</v>
      </c>
      <c r="D79" s="300">
        <v>1.06</v>
      </c>
      <c r="E79" s="300">
        <v>1.05</v>
      </c>
      <c r="F79" s="300">
        <v>1.03</v>
      </c>
      <c r="G79" s="300">
        <v>1.02</v>
      </c>
      <c r="H79" s="301">
        <v>1</v>
      </c>
    </row>
    <row r="80" spans="2:8" ht="12.5" x14ac:dyDescent="0.25">
      <c r="B80" s="302">
        <v>55</v>
      </c>
      <c r="C80" s="299">
        <v>1.07</v>
      </c>
      <c r="D80" s="300">
        <v>1.06</v>
      </c>
      <c r="E80" s="300">
        <v>1.05</v>
      </c>
      <c r="F80" s="300">
        <v>1.03</v>
      </c>
      <c r="G80" s="300">
        <v>1.02</v>
      </c>
      <c r="H80" s="301">
        <v>1</v>
      </c>
    </row>
    <row r="81" spans="1:8" ht="12.5" x14ac:dyDescent="0.25">
      <c r="B81" s="302">
        <v>56</v>
      </c>
      <c r="C81" s="299">
        <v>1.07</v>
      </c>
      <c r="D81" s="300">
        <v>1.06</v>
      </c>
      <c r="E81" s="300">
        <v>1.05</v>
      </c>
      <c r="F81" s="300">
        <v>1.03</v>
      </c>
      <c r="G81" s="300">
        <v>1.02</v>
      </c>
      <c r="H81" s="301">
        <v>1</v>
      </c>
    </row>
    <row r="82" spans="1:8" ht="12.5" x14ac:dyDescent="0.25">
      <c r="B82" s="302">
        <v>57</v>
      </c>
      <c r="C82" s="299">
        <v>1.07</v>
      </c>
      <c r="D82" s="300">
        <v>1.06</v>
      </c>
      <c r="E82" s="300">
        <v>1.05</v>
      </c>
      <c r="F82" s="300">
        <v>1.03</v>
      </c>
      <c r="G82" s="300">
        <v>1.02</v>
      </c>
      <c r="H82" s="301">
        <v>1</v>
      </c>
    </row>
    <row r="83" spans="1:8" ht="12.5" x14ac:dyDescent="0.25">
      <c r="B83" s="302">
        <v>58</v>
      </c>
      <c r="C83" s="299">
        <v>1.07</v>
      </c>
      <c r="D83" s="300">
        <v>1.06</v>
      </c>
      <c r="E83" s="300">
        <v>1.05</v>
      </c>
      <c r="F83" s="300">
        <v>1.03</v>
      </c>
      <c r="G83" s="300">
        <v>1.02</v>
      </c>
      <c r="H83" s="301">
        <v>1</v>
      </c>
    </row>
    <row r="84" spans="1:8" ht="12.5" x14ac:dyDescent="0.25">
      <c r="B84" s="302">
        <v>59</v>
      </c>
      <c r="C84" s="299">
        <v>1.07</v>
      </c>
      <c r="D84" s="300">
        <v>1.06</v>
      </c>
      <c r="E84" s="300">
        <v>1.05</v>
      </c>
      <c r="F84" s="300">
        <v>1.03</v>
      </c>
      <c r="G84" s="300">
        <v>1.02</v>
      </c>
      <c r="H84" s="301">
        <v>1</v>
      </c>
    </row>
    <row r="85" spans="1:8" thickBot="1" x14ac:dyDescent="0.3">
      <c r="B85" s="303">
        <v>60</v>
      </c>
      <c r="C85" s="304">
        <v>1.07</v>
      </c>
      <c r="D85" s="305">
        <v>1.06</v>
      </c>
      <c r="E85" s="305">
        <v>1.05</v>
      </c>
      <c r="F85" s="305">
        <v>1.03</v>
      </c>
      <c r="G85" s="305">
        <v>1.02</v>
      </c>
      <c r="H85" s="306">
        <v>1</v>
      </c>
    </row>
    <row r="87" spans="1:8" x14ac:dyDescent="0.3">
      <c r="C87" s="1" t="s">
        <v>273</v>
      </c>
      <c r="G87" s="130">
        <v>0.02</v>
      </c>
      <c r="H87" t="s">
        <v>659</v>
      </c>
    </row>
    <row r="88" spans="1:8" x14ac:dyDescent="0.3">
      <c r="A88" s="29" t="s">
        <v>319</v>
      </c>
      <c r="B88" s="1" t="s">
        <v>292</v>
      </c>
      <c r="C88" s="1" t="s">
        <v>295</v>
      </c>
      <c r="G88" s="130">
        <f>cpi+H88</f>
        <v>0.01</v>
      </c>
      <c r="H88" s="85">
        <f>IF(DoR&lt;DATE(2020,4,1),-1%,0%)</f>
        <v>-0.01</v>
      </c>
    </row>
    <row r="89" spans="1:8" x14ac:dyDescent="0.3">
      <c r="A89" s="29" t="s">
        <v>319</v>
      </c>
      <c r="B89" s="1" t="s">
        <v>293</v>
      </c>
      <c r="C89" s="1" t="s">
        <v>296</v>
      </c>
      <c r="G89" s="130">
        <f>cpi+1%</f>
        <v>0.03</v>
      </c>
    </row>
    <row r="90" spans="1:8" x14ac:dyDescent="0.3">
      <c r="A90" s="29" t="s">
        <v>319</v>
      </c>
      <c r="B90" s="1" t="s">
        <v>294</v>
      </c>
      <c r="C90" s="1" t="s">
        <v>297</v>
      </c>
      <c r="G90" s="130">
        <f>cpi+2%</f>
        <v>0.04</v>
      </c>
    </row>
    <row r="91" spans="1:8" x14ac:dyDescent="0.3">
      <c r="C91" s="1" t="s">
        <v>660</v>
      </c>
      <c r="G91" s="129">
        <f>G87+1.0000000001%</f>
        <v>3.0000000001000001E-2</v>
      </c>
      <c r="H91" s="86" t="s">
        <v>670</v>
      </c>
    </row>
    <row r="92" spans="1:8" x14ac:dyDescent="0.3">
      <c r="C92" s="1"/>
      <c r="G92" s="129"/>
    </row>
    <row r="93" spans="1:8" x14ac:dyDescent="0.3">
      <c r="C93" s="1" t="s">
        <v>143</v>
      </c>
      <c r="G93" s="38">
        <f>cpi</f>
        <v>0.02</v>
      </c>
      <c r="H93" s="86" t="s">
        <v>275</v>
      </c>
    </row>
    <row r="95" spans="1:8" x14ac:dyDescent="0.3">
      <c r="C95" s="29"/>
      <c r="D95" s="29"/>
      <c r="E95" s="29"/>
    </row>
    <row r="96" spans="1:8" ht="12.5" x14ac:dyDescent="0.25">
      <c r="B96" s="29" t="s">
        <v>252</v>
      </c>
      <c r="D96" s="216">
        <f ca="1">TODAY()</f>
        <v>44214</v>
      </c>
      <c r="F96" s="48"/>
      <c r="G96" s="49"/>
    </row>
    <row r="97" spans="2:12" ht="12.5" x14ac:dyDescent="0.25">
      <c r="B97" s="64">
        <f ca="1">DATE(YEAR(Date_curr)-1,4,1)</f>
        <v>43922</v>
      </c>
      <c r="C97" s="55">
        <f ca="1">DATE(YEAR(Date_curr),4,1)</f>
        <v>44287</v>
      </c>
      <c r="D97" s="55">
        <f ca="1">DATE(YEAR(Date_curr)+1,4,1)</f>
        <v>44652</v>
      </c>
      <c r="E97" s="55"/>
      <c r="F97" s="49"/>
      <c r="G97" s="59"/>
    </row>
    <row r="98" spans="2:12" ht="12.5" x14ac:dyDescent="0.25">
      <c r="B98" s="49" t="s">
        <v>356</v>
      </c>
      <c r="D98" s="216">
        <f>IF(B126=TRUE,DATE(ABSEndDate1,4,1),IF(PT_Status="Part-time",DATE(ABSEndDate,4,1),IF(AND(Date_curr&lt;C97,Date_curr&gt;=B97),B97,IF(AND(Date_curr&lt;D97,Date_curr&gt;=C97),C97,D97))))</f>
        <v>92</v>
      </c>
      <c r="E98" s="215"/>
    </row>
    <row r="99" spans="2:12" x14ac:dyDescent="0.3">
      <c r="D99" s="8"/>
    </row>
    <row r="100" spans="2:12" x14ac:dyDescent="0.3">
      <c r="K100" s="8"/>
    </row>
    <row r="101" spans="2:12" x14ac:dyDescent="0.3">
      <c r="B101" s="1" t="s">
        <v>367</v>
      </c>
      <c r="K101" s="8"/>
    </row>
    <row r="102" spans="2:12" ht="12.5" x14ac:dyDescent="0.25">
      <c r="B102" s="49" t="s">
        <v>283</v>
      </c>
      <c r="C102" s="49" t="s">
        <v>280</v>
      </c>
      <c r="D102" s="49" t="s">
        <v>281</v>
      </c>
      <c r="E102" s="55" t="s">
        <v>279</v>
      </c>
      <c r="F102" s="49" t="s">
        <v>443</v>
      </c>
      <c r="G102" s="49" t="s">
        <v>282</v>
      </c>
      <c r="H102" s="49"/>
      <c r="I102" s="49"/>
      <c r="J102" s="49"/>
      <c r="K102" s="260"/>
      <c r="L102" s="259"/>
    </row>
    <row r="103" spans="2:12" ht="12.5" x14ac:dyDescent="0.25">
      <c r="B103" s="49" t="s">
        <v>284</v>
      </c>
      <c r="C103" s="92">
        <v>55</v>
      </c>
      <c r="D103" s="92">
        <v>55</v>
      </c>
      <c r="E103" s="92">
        <v>55</v>
      </c>
      <c r="F103" s="92">
        <v>55</v>
      </c>
      <c r="G103" s="92">
        <v>55</v>
      </c>
      <c r="H103" s="92"/>
      <c r="I103" s="92"/>
      <c r="J103" s="92"/>
      <c r="K103" s="92"/>
      <c r="L103" s="92"/>
    </row>
    <row r="105" spans="2:12" x14ac:dyDescent="0.3">
      <c r="B105" s="1" t="s">
        <v>401</v>
      </c>
    </row>
    <row r="106" spans="2:12" ht="12.5" x14ac:dyDescent="0.25">
      <c r="B106" s="240" t="s">
        <v>508</v>
      </c>
      <c r="C106" s="241" t="s">
        <v>511</v>
      </c>
    </row>
    <row r="107" spans="2:12" ht="12.5" x14ac:dyDescent="0.25">
      <c r="B107" s="240" t="s">
        <v>400</v>
      </c>
      <c r="C107" s="241" t="s">
        <v>510</v>
      </c>
    </row>
    <row r="108" spans="2:12" ht="12.5" x14ac:dyDescent="0.25">
      <c r="B108" s="240" t="s">
        <v>399</v>
      </c>
      <c r="C108" s="241" t="s">
        <v>61</v>
      </c>
    </row>
    <row r="109" spans="2:12" ht="12.5" x14ac:dyDescent="0.25">
      <c r="B109" s="49"/>
    </row>
    <row r="110" spans="2:12" x14ac:dyDescent="0.3">
      <c r="B110" s="1" t="s">
        <v>81</v>
      </c>
    </row>
    <row r="111" spans="2:12" ht="12.5" x14ac:dyDescent="0.25">
      <c r="B111" s="49" t="e">
        <f>INDEX(Parameters!$C$106:$C$108,MATCH(Calculator!J31,Parameters!$B$106:$B$108,0),1)</f>
        <v>#N/A</v>
      </c>
    </row>
    <row r="112" spans="2:12" ht="12.5" x14ac:dyDescent="0.25">
      <c r="B112" s="49"/>
    </row>
    <row r="113" spans="2:9" x14ac:dyDescent="0.3">
      <c r="B113" s="242" t="s">
        <v>404</v>
      </c>
      <c r="G113" s="229"/>
    </row>
    <row r="114" spans="2:9" ht="12.5" x14ac:dyDescent="0.25">
      <c r="B114" s="55">
        <f>DoR</f>
        <v>0</v>
      </c>
      <c r="F114" t="s">
        <v>428</v>
      </c>
    </row>
    <row r="115" spans="2:9" ht="12.5" x14ac:dyDescent="0.25">
      <c r="B115" s="55" t="s">
        <v>265</v>
      </c>
      <c r="C115" s="29" t="s">
        <v>421</v>
      </c>
      <c r="D115" s="29" t="s">
        <v>422</v>
      </c>
      <c r="F115" t="s">
        <v>430</v>
      </c>
      <c r="G115" t="s">
        <v>431</v>
      </c>
      <c r="H115" t="s">
        <v>432</v>
      </c>
      <c r="I115" t="s">
        <v>429</v>
      </c>
    </row>
    <row r="116" spans="2:9" ht="12.5" x14ac:dyDescent="0.25">
      <c r="B116">
        <f>DATEDIF(DoB,DoR,"y")</f>
        <v>0</v>
      </c>
      <c r="C116" s="649">
        <f>ROUND((DATEDIF(DoB,DoR,"m")/12-B116)*12,0)</f>
        <v>0</v>
      </c>
      <c r="D116" s="229">
        <f>DoR-DATE(YEAR(DoB)+RA_Year,MONTH(DoB),DAY(DoB))</f>
        <v>0</v>
      </c>
      <c r="F116">
        <f>YEARFRAC(DoB,DoR)</f>
        <v>0</v>
      </c>
      <c r="G116">
        <f>INT(F116)</f>
        <v>0</v>
      </c>
      <c r="H116">
        <f>F116-G116</f>
        <v>0</v>
      </c>
      <c r="I116">
        <f>ROUNDUP(H116*12,0)</f>
        <v>0</v>
      </c>
    </row>
    <row r="117" spans="2:9" x14ac:dyDescent="0.3">
      <c r="B117" s="1" t="s">
        <v>405</v>
      </c>
      <c r="G117">
        <f>60-G116-RA_month_roundup/12</f>
        <v>60</v>
      </c>
      <c r="H117">
        <f>INT(G117)</f>
        <v>60</v>
      </c>
      <c r="I117">
        <f>G117*12-12</f>
        <v>708</v>
      </c>
    </row>
    <row r="118" spans="2:9" ht="12.5" x14ac:dyDescent="0.25">
      <c r="B118" s="59">
        <f>B116+D116/DoY</f>
        <v>0</v>
      </c>
    </row>
    <row r="119" spans="2:9" x14ac:dyDescent="0.3">
      <c r="B119" s="1" t="s">
        <v>433</v>
      </c>
      <c r="C119" s="29"/>
    </row>
    <row r="120" spans="2:9" ht="12.5" x14ac:dyDescent="0.25">
      <c r="B120" s="64">
        <f>DATE(YEAR(DoB)+60,MONTH(DoB),DAY(DoB))</f>
        <v>21915</v>
      </c>
      <c r="E120" s="8"/>
      <c r="F120" s="69"/>
    </row>
    <row r="122" spans="2:9" x14ac:dyDescent="0.3">
      <c r="B122" s="1" t="s">
        <v>463</v>
      </c>
    </row>
    <row r="123" spans="2:9" ht="12.5" x14ac:dyDescent="0.25">
      <c r="B123" s="216">
        <v>44651</v>
      </c>
    </row>
    <row r="125" spans="2:9" x14ac:dyDescent="0.3">
      <c r="B125" s="1" t="s">
        <v>480</v>
      </c>
    </row>
    <row r="126" spans="2:9" x14ac:dyDescent="0.3">
      <c r="B126" s="1" t="b">
        <v>1</v>
      </c>
    </row>
    <row r="129" spans="2:2" x14ac:dyDescent="0.3">
      <c r="B129" s="1" t="s">
        <v>490</v>
      </c>
    </row>
    <row r="130" spans="2:2" ht="12.5" x14ac:dyDescent="0.25">
      <c r="B130" s="29" t="b">
        <f>AND(DoB&lt;&gt;"",DJS&lt;&gt;"",Scheme_Full&lt;&gt;"",CurrentSal&lt;&gt;"",DoR&lt;&gt;"")</f>
        <v>0</v>
      </c>
    </row>
    <row r="132" spans="2:2" x14ac:dyDescent="0.3">
      <c r="B132" s="1" t="s">
        <v>544</v>
      </c>
    </row>
    <row r="133" spans="2:2" ht="12.5" x14ac:dyDescent="0.25">
      <c r="B133" s="29">
        <v>2016</v>
      </c>
    </row>
    <row r="134" spans="2:2" ht="12.5" x14ac:dyDescent="0.25">
      <c r="B134" s="29">
        <v>2017</v>
      </c>
    </row>
    <row r="135" spans="2:2" ht="12.5" x14ac:dyDescent="0.25">
      <c r="B135" s="29">
        <v>2018</v>
      </c>
    </row>
    <row r="136" spans="2:2" ht="12.5" x14ac:dyDescent="0.25">
      <c r="B136" s="29">
        <v>2019</v>
      </c>
    </row>
    <row r="137" spans="2:2" ht="12.5" x14ac:dyDescent="0.25">
      <c r="B137" s="29">
        <v>2020</v>
      </c>
    </row>
    <row r="138" spans="2:2" ht="12.5" x14ac:dyDescent="0.25">
      <c r="B138" s="29">
        <v>2021</v>
      </c>
    </row>
    <row r="139" spans="2:2" ht="12.5" x14ac:dyDescent="0.25">
      <c r="B139" s="29">
        <v>2022</v>
      </c>
    </row>
    <row r="140" spans="2:2" ht="12.5" x14ac:dyDescent="0.25">
      <c r="B140" s="29">
        <v>2023</v>
      </c>
    </row>
    <row r="141" spans="2:2" ht="12.5" x14ac:dyDescent="0.25">
      <c r="B141" s="29">
        <v>2024</v>
      </c>
    </row>
    <row r="142" spans="2:2" ht="12.5" x14ac:dyDescent="0.25">
      <c r="B142" s="29">
        <v>2025</v>
      </c>
    </row>
  </sheetData>
  <mergeCells count="2">
    <mergeCell ref="D25:E25"/>
    <mergeCell ref="C40:H40"/>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V115"/>
  <sheetViews>
    <sheetView workbookViewId="0"/>
  </sheetViews>
  <sheetFormatPr defaultRowHeight="12.5" x14ac:dyDescent="0.25"/>
  <cols>
    <col min="2" max="3" width="10.1796875" bestFit="1" customWidth="1"/>
    <col min="6" max="6" width="9.1796875" customWidth="1"/>
    <col min="11" max="11" width="11.1796875" customWidth="1"/>
    <col min="13" max="14" width="10.1796875" bestFit="1" customWidth="1"/>
    <col min="17" max="17" width="10.1796875" bestFit="1" customWidth="1"/>
    <col min="18" max="18" width="10" bestFit="1" customWidth="1"/>
    <col min="20" max="20" width="11.1796875" bestFit="1" customWidth="1"/>
    <col min="22" max="22" width="10.1796875" customWidth="1"/>
    <col min="23" max="23" width="10.1796875" bestFit="1" customWidth="1"/>
    <col min="29" max="29" width="11.1796875" bestFit="1" customWidth="1"/>
  </cols>
  <sheetData>
    <row r="1" spans="1:22" ht="20" x14ac:dyDescent="0.4">
      <c r="A1" s="13" t="s">
        <v>19</v>
      </c>
      <c r="B1" s="12"/>
      <c r="C1" s="12"/>
      <c r="D1" s="12"/>
      <c r="E1" s="12"/>
      <c r="F1" s="12"/>
      <c r="G1" s="12"/>
      <c r="H1" s="12"/>
      <c r="I1" s="12"/>
    </row>
    <row r="2" spans="1:22" ht="15.5" x14ac:dyDescent="0.35">
      <c r="A2" s="27" t="str">
        <f>IF(title="&gt; Enter workbook title here","Enter workbook title in Cover sheet",title)</f>
        <v>Scottish Fire pension  projection calculator</v>
      </c>
      <c r="B2" s="11"/>
      <c r="C2" s="11"/>
      <c r="D2" s="11"/>
      <c r="E2" s="11"/>
      <c r="F2" s="11"/>
      <c r="G2" s="11"/>
      <c r="H2" s="11"/>
      <c r="I2" s="11"/>
    </row>
    <row r="3" spans="1:22" ht="15.5" x14ac:dyDescent="0.35">
      <c r="A3" s="76" t="s">
        <v>78</v>
      </c>
      <c r="B3" s="11"/>
      <c r="C3" s="11"/>
      <c r="D3" s="11"/>
      <c r="E3" s="11"/>
      <c r="F3" s="11"/>
      <c r="G3" s="11"/>
      <c r="H3" s="11"/>
      <c r="I3" s="11"/>
    </row>
    <row r="4" spans="1:22" x14ac:dyDescent="0.25">
      <c r="A4" s="7" t="str">
        <f ca="1">CELL("filename",A1)</f>
        <v>C:\Users\u418711\AppData\Local\Microsoft\Windows\INetCache\Content.Outlook\PTLKNQ86\[Copy of Fire Scotland - Benefit Calculator - 22Dec2020.xlsx]Tapers</v>
      </c>
    </row>
    <row r="6" spans="1:22" ht="13" x14ac:dyDescent="0.3">
      <c r="B6" s="1" t="s">
        <v>67</v>
      </c>
      <c r="C6" s="35" t="s">
        <v>570</v>
      </c>
      <c r="D6" s="29" t="s">
        <v>641</v>
      </c>
    </row>
    <row r="7" spans="1:22" x14ac:dyDescent="0.25">
      <c r="B7" s="29" t="s">
        <v>511</v>
      </c>
      <c r="C7" s="29"/>
      <c r="F7" s="29" t="s">
        <v>510</v>
      </c>
      <c r="J7" s="29" t="s">
        <v>599</v>
      </c>
      <c r="N7" s="29" t="s">
        <v>601</v>
      </c>
      <c r="R7" s="29" t="s">
        <v>600</v>
      </c>
    </row>
    <row r="8" spans="1:22" x14ac:dyDescent="0.25">
      <c r="B8" s="537" t="s">
        <v>621</v>
      </c>
      <c r="C8" s="542"/>
      <c r="D8" s="441"/>
      <c r="E8" s="441"/>
      <c r="F8" s="537" t="s">
        <v>621</v>
      </c>
      <c r="G8" s="441"/>
      <c r="H8" s="441"/>
      <c r="I8" s="441"/>
      <c r="J8" s="537" t="s">
        <v>640</v>
      </c>
      <c r="K8" s="442"/>
      <c r="L8" s="543"/>
      <c r="M8" s="544"/>
      <c r="N8" s="537" t="s">
        <v>640</v>
      </c>
      <c r="O8" s="443"/>
      <c r="P8" s="443"/>
      <c r="Q8" s="443"/>
      <c r="R8" s="537" t="s">
        <v>640</v>
      </c>
      <c r="S8" s="443"/>
      <c r="T8" s="443"/>
      <c r="U8" s="443"/>
      <c r="V8" s="444"/>
    </row>
    <row r="9" spans="1:22" x14ac:dyDescent="0.25">
      <c r="B9" s="440" t="s">
        <v>545</v>
      </c>
      <c r="F9" s="440" t="s">
        <v>547</v>
      </c>
      <c r="J9" s="440" t="s">
        <v>549</v>
      </c>
      <c r="N9" s="440" t="s">
        <v>551</v>
      </c>
      <c r="R9" s="440" t="s">
        <v>555</v>
      </c>
    </row>
    <row r="10" spans="1:22" ht="13" thickBot="1" x14ac:dyDescent="0.3">
      <c r="B10" s="440" t="s">
        <v>546</v>
      </c>
      <c r="F10" s="440" t="s">
        <v>548</v>
      </c>
      <c r="J10" s="440" t="s">
        <v>550</v>
      </c>
      <c r="N10" s="440" t="s">
        <v>552</v>
      </c>
      <c r="R10" s="440" t="s">
        <v>556</v>
      </c>
    </row>
    <row r="11" spans="1:22" ht="52.5" thickBot="1" x14ac:dyDescent="0.3">
      <c r="B11" s="721" t="s">
        <v>62</v>
      </c>
      <c r="C11" s="722"/>
      <c r="D11" s="436" t="s">
        <v>63</v>
      </c>
      <c r="F11" s="721" t="s">
        <v>62</v>
      </c>
      <c r="G11" s="722"/>
      <c r="H11" s="446" t="s">
        <v>63</v>
      </c>
      <c r="J11" s="721" t="s">
        <v>62</v>
      </c>
      <c r="K11" s="722"/>
      <c r="L11" s="436" t="s">
        <v>63</v>
      </c>
      <c r="N11" s="721" t="s">
        <v>553</v>
      </c>
      <c r="O11" s="722"/>
      <c r="P11" s="436" t="s">
        <v>63</v>
      </c>
      <c r="R11" s="721" t="s">
        <v>554</v>
      </c>
      <c r="S11" s="722"/>
      <c r="T11" s="436" t="s">
        <v>63</v>
      </c>
    </row>
    <row r="12" spans="1:22" ht="13.5" thickBot="1" x14ac:dyDescent="0.35">
      <c r="B12" s="437" t="s">
        <v>64</v>
      </c>
      <c r="C12" s="434" t="s">
        <v>65</v>
      </c>
      <c r="D12" s="438"/>
      <c r="F12" s="447" t="s">
        <v>64</v>
      </c>
      <c r="G12" s="445" t="s">
        <v>65</v>
      </c>
      <c r="H12" s="448"/>
      <c r="J12" s="437" t="s">
        <v>64</v>
      </c>
      <c r="K12" s="434" t="s">
        <v>65</v>
      </c>
      <c r="L12" s="438"/>
      <c r="N12" s="437" t="s">
        <v>66</v>
      </c>
      <c r="O12" s="434" t="s">
        <v>71</v>
      </c>
      <c r="P12" s="438"/>
      <c r="R12" s="454" t="s">
        <v>66</v>
      </c>
      <c r="S12" s="453" t="s">
        <v>71</v>
      </c>
      <c r="T12" s="448"/>
    </row>
    <row r="13" spans="1:22" ht="13" thickBot="1" x14ac:dyDescent="0.3">
      <c r="B13" s="439">
        <v>24564</v>
      </c>
      <c r="C13" s="435">
        <v>24593</v>
      </c>
      <c r="D13" s="435">
        <v>44651</v>
      </c>
      <c r="F13" s="439">
        <v>22738</v>
      </c>
      <c r="G13" s="435">
        <v>22767</v>
      </c>
      <c r="H13" s="435">
        <v>44651</v>
      </c>
      <c r="J13" s="450">
        <v>26391</v>
      </c>
      <c r="K13" s="449">
        <v>26420</v>
      </c>
      <c r="L13" s="449">
        <v>44651</v>
      </c>
      <c r="N13" s="452">
        <f t="shared" ref="N13:N21" si="0">16+O13/12</f>
        <v>16</v>
      </c>
      <c r="O13" s="451">
        <v>0</v>
      </c>
      <c r="P13" s="449">
        <v>42148</v>
      </c>
      <c r="Q13" s="8"/>
      <c r="R13" s="452">
        <f t="shared" ref="R13:R24" si="1">56+S13/12</f>
        <v>56</v>
      </c>
      <c r="S13" s="451">
        <v>0</v>
      </c>
      <c r="T13" s="449">
        <v>42148</v>
      </c>
    </row>
    <row r="14" spans="1:22" ht="13" thickBot="1" x14ac:dyDescent="0.3">
      <c r="B14" s="439">
        <v>24594</v>
      </c>
      <c r="C14" s="435">
        <v>24624</v>
      </c>
      <c r="D14" s="435">
        <v>44598</v>
      </c>
      <c r="F14" s="439">
        <v>22768</v>
      </c>
      <c r="G14" s="435">
        <v>22798</v>
      </c>
      <c r="H14" s="435">
        <v>44598</v>
      </c>
      <c r="J14" s="450">
        <v>26421</v>
      </c>
      <c r="K14" s="449">
        <v>26451</v>
      </c>
      <c r="L14" s="449">
        <v>44598</v>
      </c>
      <c r="N14" s="452">
        <f t="shared" si="0"/>
        <v>16.083333333333332</v>
      </c>
      <c r="O14" s="451">
        <v>1</v>
      </c>
      <c r="P14" s="449">
        <v>42197</v>
      </c>
      <c r="Q14" s="8"/>
      <c r="R14" s="452">
        <f t="shared" si="1"/>
        <v>56.083333333333336</v>
      </c>
      <c r="S14" s="451">
        <v>1</v>
      </c>
      <c r="T14" s="449">
        <v>42197</v>
      </c>
    </row>
    <row r="15" spans="1:22" ht="13" thickBot="1" x14ac:dyDescent="0.3">
      <c r="B15" s="439">
        <v>24625</v>
      </c>
      <c r="C15" s="435">
        <v>24654</v>
      </c>
      <c r="D15" s="435">
        <v>44544</v>
      </c>
      <c r="F15" s="439">
        <v>22799</v>
      </c>
      <c r="G15" s="435">
        <v>22828</v>
      </c>
      <c r="H15" s="435">
        <v>44544</v>
      </c>
      <c r="J15" s="450">
        <v>26452</v>
      </c>
      <c r="K15" s="449">
        <v>26481</v>
      </c>
      <c r="L15" s="449">
        <v>44544</v>
      </c>
      <c r="N15" s="452">
        <f t="shared" si="0"/>
        <v>16.166666666666668</v>
      </c>
      <c r="O15" s="451">
        <v>2</v>
      </c>
      <c r="P15" s="449">
        <v>42252</v>
      </c>
      <c r="Q15" s="8"/>
      <c r="R15" s="452">
        <f t="shared" si="1"/>
        <v>56.166666666666664</v>
      </c>
      <c r="S15" s="451">
        <v>2</v>
      </c>
      <c r="T15" s="449">
        <v>42252</v>
      </c>
    </row>
    <row r="16" spans="1:22" ht="13" thickBot="1" x14ac:dyDescent="0.3">
      <c r="B16" s="439">
        <v>24655</v>
      </c>
      <c r="C16" s="435">
        <v>24685</v>
      </c>
      <c r="D16" s="435">
        <v>44492</v>
      </c>
      <c r="F16" s="439">
        <v>22829</v>
      </c>
      <c r="G16" s="435">
        <v>22859</v>
      </c>
      <c r="H16" s="435">
        <v>44492</v>
      </c>
      <c r="J16" s="450">
        <v>26482</v>
      </c>
      <c r="K16" s="449">
        <v>26512</v>
      </c>
      <c r="L16" s="449">
        <v>44492</v>
      </c>
      <c r="N16" s="452">
        <f t="shared" si="0"/>
        <v>16.25</v>
      </c>
      <c r="O16" s="451">
        <v>3</v>
      </c>
      <c r="P16" s="449">
        <v>42306</v>
      </c>
      <c r="Q16" s="8"/>
      <c r="R16" s="452">
        <f t="shared" si="1"/>
        <v>56.25</v>
      </c>
      <c r="S16" s="451">
        <v>3</v>
      </c>
      <c r="T16" s="449">
        <v>42306</v>
      </c>
    </row>
    <row r="17" spans="2:20" ht="13" thickBot="1" x14ac:dyDescent="0.3">
      <c r="B17" s="439">
        <v>24686</v>
      </c>
      <c r="C17" s="435">
        <v>24716</v>
      </c>
      <c r="D17" s="435">
        <v>44437</v>
      </c>
      <c r="F17" s="439">
        <v>22860</v>
      </c>
      <c r="G17" s="435">
        <v>22890</v>
      </c>
      <c r="H17" s="435">
        <v>44437</v>
      </c>
      <c r="J17" s="450">
        <v>26513</v>
      </c>
      <c r="K17" s="449">
        <v>26543</v>
      </c>
      <c r="L17" s="449">
        <v>44437</v>
      </c>
      <c r="N17" s="452">
        <f t="shared" si="0"/>
        <v>16.333333333333332</v>
      </c>
      <c r="O17" s="451">
        <v>4</v>
      </c>
      <c r="P17" s="449">
        <v>42358</v>
      </c>
      <c r="Q17" s="8"/>
      <c r="R17" s="452">
        <f t="shared" si="1"/>
        <v>56.333333333333336</v>
      </c>
      <c r="S17" s="451">
        <v>4</v>
      </c>
      <c r="T17" s="449">
        <v>42358</v>
      </c>
    </row>
    <row r="18" spans="2:20" ht="13" thickBot="1" x14ac:dyDescent="0.3">
      <c r="B18" s="439">
        <v>24717</v>
      </c>
      <c r="C18" s="435">
        <v>24746</v>
      </c>
      <c r="D18" s="435">
        <v>44383</v>
      </c>
      <c r="F18" s="439">
        <v>22891</v>
      </c>
      <c r="G18" s="435">
        <v>22920</v>
      </c>
      <c r="H18" s="435">
        <v>44383</v>
      </c>
      <c r="J18" s="450">
        <v>26544</v>
      </c>
      <c r="K18" s="449">
        <v>26573</v>
      </c>
      <c r="L18" s="449">
        <v>44383</v>
      </c>
      <c r="N18" s="452">
        <f t="shared" si="0"/>
        <v>16.416666666666668</v>
      </c>
      <c r="O18" s="451">
        <v>5</v>
      </c>
      <c r="P18" s="449">
        <v>42413</v>
      </c>
      <c r="Q18" s="8"/>
      <c r="R18" s="452">
        <f t="shared" si="1"/>
        <v>56.416666666666664</v>
      </c>
      <c r="S18" s="451">
        <v>5</v>
      </c>
      <c r="T18" s="449">
        <v>42413</v>
      </c>
    </row>
    <row r="19" spans="2:20" ht="13" thickBot="1" x14ac:dyDescent="0.3">
      <c r="B19" s="439">
        <v>24747</v>
      </c>
      <c r="C19" s="435">
        <v>24777</v>
      </c>
      <c r="D19" s="435">
        <v>44331</v>
      </c>
      <c r="F19" s="439">
        <v>22921</v>
      </c>
      <c r="G19" s="435">
        <v>22951</v>
      </c>
      <c r="H19" s="435">
        <v>44331</v>
      </c>
      <c r="J19" s="450">
        <v>26574</v>
      </c>
      <c r="K19" s="449">
        <v>26604</v>
      </c>
      <c r="L19" s="449">
        <v>44331</v>
      </c>
      <c r="N19" s="452">
        <f t="shared" si="0"/>
        <v>16.5</v>
      </c>
      <c r="O19" s="451">
        <v>6</v>
      </c>
      <c r="P19" s="449">
        <v>42465</v>
      </c>
      <c r="Q19" s="8"/>
      <c r="R19" s="452">
        <f t="shared" si="1"/>
        <v>56.5</v>
      </c>
      <c r="S19" s="451">
        <v>6</v>
      </c>
      <c r="T19" s="449">
        <v>42465</v>
      </c>
    </row>
    <row r="20" spans="2:20" ht="13" thickBot="1" x14ac:dyDescent="0.3">
      <c r="B20" s="439">
        <v>24778</v>
      </c>
      <c r="C20" s="435">
        <v>24807</v>
      </c>
      <c r="D20" s="435">
        <v>44276</v>
      </c>
      <c r="F20" s="439">
        <v>22952</v>
      </c>
      <c r="G20" s="435">
        <v>22981</v>
      </c>
      <c r="H20" s="435">
        <v>44276</v>
      </c>
      <c r="J20" s="450">
        <v>26605</v>
      </c>
      <c r="K20" s="449">
        <v>26634</v>
      </c>
      <c r="L20" s="449">
        <v>44276</v>
      </c>
      <c r="N20" s="452">
        <f t="shared" si="0"/>
        <v>16.583333333333332</v>
      </c>
      <c r="O20" s="451">
        <v>7</v>
      </c>
      <c r="P20" s="449">
        <v>42519</v>
      </c>
      <c r="Q20" s="8"/>
      <c r="R20" s="452">
        <f t="shared" si="1"/>
        <v>56.583333333333336</v>
      </c>
      <c r="S20" s="451">
        <v>7</v>
      </c>
      <c r="T20" s="449">
        <v>42519</v>
      </c>
    </row>
    <row r="21" spans="2:20" ht="13" thickBot="1" x14ac:dyDescent="0.3">
      <c r="B21" s="439">
        <v>24808</v>
      </c>
      <c r="C21" s="435">
        <v>24838</v>
      </c>
      <c r="D21" s="435">
        <v>44224</v>
      </c>
      <c r="F21" s="439">
        <v>22982</v>
      </c>
      <c r="G21" s="435">
        <v>23012</v>
      </c>
      <c r="H21" s="435">
        <v>44224</v>
      </c>
      <c r="J21" s="450">
        <v>26635</v>
      </c>
      <c r="K21" s="449">
        <v>26665</v>
      </c>
      <c r="L21" s="449">
        <v>44224</v>
      </c>
      <c r="N21" s="452">
        <f t="shared" si="0"/>
        <v>16.666666666666668</v>
      </c>
      <c r="O21" s="451">
        <v>8</v>
      </c>
      <c r="P21" s="449">
        <v>42574</v>
      </c>
      <c r="Q21" s="8"/>
      <c r="R21" s="452">
        <f t="shared" si="1"/>
        <v>56.666666666666664</v>
      </c>
      <c r="S21" s="451">
        <v>8</v>
      </c>
      <c r="T21" s="449">
        <v>42574</v>
      </c>
    </row>
    <row r="22" spans="2:20" ht="13" thickBot="1" x14ac:dyDescent="0.3">
      <c r="B22" s="439">
        <v>24839</v>
      </c>
      <c r="C22" s="435">
        <v>24869</v>
      </c>
      <c r="D22" s="435">
        <v>44170</v>
      </c>
      <c r="F22" s="439">
        <v>23013</v>
      </c>
      <c r="G22" s="435">
        <v>23043</v>
      </c>
      <c r="H22" s="435">
        <v>44170</v>
      </c>
      <c r="J22" s="450">
        <v>26666</v>
      </c>
      <c r="K22" s="449">
        <v>26696</v>
      </c>
      <c r="L22" s="449">
        <v>44170</v>
      </c>
      <c r="N22" s="452">
        <f t="shared" ref="N22:N24" si="2">16+O22/12</f>
        <v>16.75</v>
      </c>
      <c r="O22" s="451">
        <v>9</v>
      </c>
      <c r="P22" s="449">
        <v>42626</v>
      </c>
      <c r="Q22" s="8"/>
      <c r="R22" s="452">
        <f t="shared" si="1"/>
        <v>56.75</v>
      </c>
      <c r="S22" s="451">
        <v>9</v>
      </c>
      <c r="T22" s="449">
        <v>42626</v>
      </c>
    </row>
    <row r="23" spans="2:20" ht="13" thickBot="1" x14ac:dyDescent="0.3">
      <c r="B23" s="439">
        <v>24870</v>
      </c>
      <c r="C23" s="435">
        <v>24898</v>
      </c>
      <c r="D23" s="435">
        <v>44115</v>
      </c>
      <c r="F23" s="439">
        <v>23044</v>
      </c>
      <c r="G23" s="435">
        <v>23071</v>
      </c>
      <c r="H23" s="435">
        <v>44115</v>
      </c>
      <c r="J23" s="450">
        <v>26697</v>
      </c>
      <c r="K23" s="449">
        <v>26724</v>
      </c>
      <c r="L23" s="449">
        <v>44115</v>
      </c>
      <c r="N23" s="452">
        <f t="shared" si="2"/>
        <v>16.833333333333332</v>
      </c>
      <c r="O23" s="451">
        <v>10</v>
      </c>
      <c r="P23" s="449">
        <v>42680</v>
      </c>
      <c r="Q23" s="8"/>
      <c r="R23" s="452">
        <f t="shared" si="1"/>
        <v>56.833333333333336</v>
      </c>
      <c r="S23" s="451">
        <v>10</v>
      </c>
      <c r="T23" s="449">
        <v>42680</v>
      </c>
    </row>
    <row r="24" spans="2:20" ht="13" thickBot="1" x14ac:dyDescent="0.3">
      <c r="B24" s="439">
        <v>24899</v>
      </c>
      <c r="C24" s="435">
        <v>24929</v>
      </c>
      <c r="D24" s="435">
        <v>44065</v>
      </c>
      <c r="F24" s="439">
        <v>23072</v>
      </c>
      <c r="G24" s="435">
        <v>23102</v>
      </c>
      <c r="H24" s="435">
        <v>44066</v>
      </c>
      <c r="J24" s="450">
        <v>26725</v>
      </c>
      <c r="K24" s="449">
        <v>26755</v>
      </c>
      <c r="L24" s="449">
        <v>44065</v>
      </c>
      <c r="N24" s="452">
        <f t="shared" si="2"/>
        <v>16.916666666666668</v>
      </c>
      <c r="O24" s="451">
        <v>11</v>
      </c>
      <c r="P24" s="449">
        <v>42733</v>
      </c>
      <c r="Q24" s="8"/>
      <c r="R24" s="452">
        <f t="shared" si="1"/>
        <v>56.916666666666664</v>
      </c>
      <c r="S24" s="451">
        <v>11</v>
      </c>
      <c r="T24" s="449">
        <v>42733</v>
      </c>
    </row>
    <row r="25" spans="2:20" ht="13" thickBot="1" x14ac:dyDescent="0.3">
      <c r="B25" s="439">
        <v>24930</v>
      </c>
      <c r="C25" s="435">
        <v>24959</v>
      </c>
      <c r="D25" s="435">
        <v>44010</v>
      </c>
      <c r="F25" s="439">
        <v>23103</v>
      </c>
      <c r="G25" s="435">
        <v>23132</v>
      </c>
      <c r="H25" s="435">
        <v>44012</v>
      </c>
      <c r="J25" s="450">
        <v>26756</v>
      </c>
      <c r="K25" s="449">
        <v>26785</v>
      </c>
      <c r="L25" s="449">
        <v>44010</v>
      </c>
      <c r="N25" s="452">
        <f t="shared" ref="N25:N36" si="3">17+O25/12</f>
        <v>17</v>
      </c>
      <c r="O25" s="451">
        <v>0</v>
      </c>
      <c r="P25" s="449">
        <v>42787</v>
      </c>
      <c r="Q25" s="8"/>
      <c r="R25" s="452">
        <f t="shared" ref="R25:R36" si="4">57+S25/12</f>
        <v>57</v>
      </c>
      <c r="S25" s="451">
        <v>0</v>
      </c>
      <c r="T25" s="449">
        <v>42787</v>
      </c>
    </row>
    <row r="26" spans="2:20" ht="13" thickBot="1" x14ac:dyDescent="0.3">
      <c r="B26" s="439">
        <v>24960</v>
      </c>
      <c r="C26" s="435">
        <v>24990</v>
      </c>
      <c r="D26" s="435">
        <v>43958</v>
      </c>
      <c r="F26" s="439">
        <v>23133</v>
      </c>
      <c r="G26" s="435">
        <v>23163</v>
      </c>
      <c r="H26" s="435">
        <v>43960</v>
      </c>
      <c r="J26" s="450">
        <v>26786</v>
      </c>
      <c r="K26" s="449">
        <v>26816</v>
      </c>
      <c r="L26" s="449">
        <v>43958</v>
      </c>
      <c r="N26" s="452">
        <f t="shared" si="3"/>
        <v>17.083333333333332</v>
      </c>
      <c r="O26" s="451">
        <v>1</v>
      </c>
      <c r="P26" s="449">
        <v>42836</v>
      </c>
      <c r="Q26" s="8"/>
      <c r="R26" s="452">
        <f t="shared" si="4"/>
        <v>57.083333333333336</v>
      </c>
      <c r="S26" s="451">
        <v>1</v>
      </c>
      <c r="T26" s="449">
        <v>42836</v>
      </c>
    </row>
    <row r="27" spans="2:20" ht="13" thickBot="1" x14ac:dyDescent="0.3">
      <c r="B27" s="439">
        <v>24991</v>
      </c>
      <c r="C27" s="435">
        <v>25020</v>
      </c>
      <c r="D27" s="435">
        <v>43904</v>
      </c>
      <c r="F27" s="439">
        <v>23164</v>
      </c>
      <c r="G27" s="435">
        <v>23193</v>
      </c>
      <c r="H27" s="435">
        <v>43905</v>
      </c>
      <c r="J27" s="450">
        <v>26817</v>
      </c>
      <c r="K27" s="449">
        <v>26846</v>
      </c>
      <c r="L27" s="449">
        <v>43904</v>
      </c>
      <c r="N27" s="452">
        <f t="shared" si="3"/>
        <v>17.166666666666668</v>
      </c>
      <c r="O27" s="451">
        <v>2</v>
      </c>
      <c r="P27" s="449">
        <v>42890</v>
      </c>
      <c r="Q27" s="8"/>
      <c r="R27" s="452">
        <f t="shared" si="4"/>
        <v>57.166666666666664</v>
      </c>
      <c r="S27" s="451">
        <v>2</v>
      </c>
      <c r="T27" s="449">
        <v>42890</v>
      </c>
    </row>
    <row r="28" spans="2:20" ht="13" thickBot="1" x14ac:dyDescent="0.3">
      <c r="B28" s="439">
        <v>25021</v>
      </c>
      <c r="C28" s="435">
        <v>25051</v>
      </c>
      <c r="D28" s="435">
        <v>43851</v>
      </c>
      <c r="F28" s="439">
        <v>23194</v>
      </c>
      <c r="G28" s="435">
        <v>23224</v>
      </c>
      <c r="H28" s="435">
        <v>43853</v>
      </c>
      <c r="J28" s="450">
        <v>26847</v>
      </c>
      <c r="K28" s="449">
        <v>26877</v>
      </c>
      <c r="L28" s="449">
        <v>43851</v>
      </c>
      <c r="N28" s="452">
        <f t="shared" si="3"/>
        <v>17.25</v>
      </c>
      <c r="O28" s="451">
        <v>3</v>
      </c>
      <c r="P28" s="449">
        <v>42945</v>
      </c>
      <c r="Q28" s="8"/>
      <c r="R28" s="452">
        <f t="shared" si="4"/>
        <v>57.25</v>
      </c>
      <c r="S28" s="451">
        <v>3</v>
      </c>
      <c r="T28" s="449">
        <v>42945</v>
      </c>
    </row>
    <row r="29" spans="2:20" ht="13" thickBot="1" x14ac:dyDescent="0.3">
      <c r="B29" s="439">
        <v>25052</v>
      </c>
      <c r="C29" s="435">
        <v>25082</v>
      </c>
      <c r="D29" s="435">
        <v>43797</v>
      </c>
      <c r="F29" s="439">
        <v>23225</v>
      </c>
      <c r="G29" s="435">
        <v>23255</v>
      </c>
      <c r="H29" s="435">
        <v>43799</v>
      </c>
      <c r="J29" s="450">
        <v>26878</v>
      </c>
      <c r="K29" s="449">
        <v>26908</v>
      </c>
      <c r="L29" s="449">
        <v>43797</v>
      </c>
      <c r="N29" s="452">
        <f t="shared" si="3"/>
        <v>17.333333333333332</v>
      </c>
      <c r="O29" s="451">
        <v>4</v>
      </c>
      <c r="P29" s="449">
        <v>42997</v>
      </c>
      <c r="Q29" s="8"/>
      <c r="R29" s="452">
        <f t="shared" si="4"/>
        <v>57.333333333333336</v>
      </c>
      <c r="S29" s="451">
        <v>4</v>
      </c>
      <c r="T29" s="449">
        <v>42997</v>
      </c>
    </row>
    <row r="30" spans="2:20" ht="13" thickBot="1" x14ac:dyDescent="0.3">
      <c r="B30" s="439">
        <v>25083</v>
      </c>
      <c r="C30" s="435">
        <v>25112</v>
      </c>
      <c r="D30" s="435">
        <v>43743</v>
      </c>
      <c r="F30" s="439">
        <v>23256</v>
      </c>
      <c r="G30" s="435">
        <v>23285</v>
      </c>
      <c r="H30" s="435">
        <v>43744</v>
      </c>
      <c r="J30" s="450">
        <v>26909</v>
      </c>
      <c r="K30" s="449">
        <v>26938</v>
      </c>
      <c r="L30" s="449">
        <v>43743</v>
      </c>
      <c r="N30" s="452">
        <f t="shared" si="3"/>
        <v>17.416666666666668</v>
      </c>
      <c r="O30" s="451">
        <v>5</v>
      </c>
      <c r="P30" s="449">
        <v>43051</v>
      </c>
      <c r="Q30" s="8"/>
      <c r="R30" s="452">
        <f t="shared" si="4"/>
        <v>57.416666666666664</v>
      </c>
      <c r="S30" s="451">
        <v>5</v>
      </c>
      <c r="T30" s="449">
        <v>43051</v>
      </c>
    </row>
    <row r="31" spans="2:20" ht="13" thickBot="1" x14ac:dyDescent="0.3">
      <c r="B31" s="439">
        <v>25113</v>
      </c>
      <c r="C31" s="435">
        <v>25143</v>
      </c>
      <c r="D31" s="435">
        <v>43690</v>
      </c>
      <c r="F31" s="439">
        <v>23286</v>
      </c>
      <c r="G31" s="435">
        <v>23316</v>
      </c>
      <c r="H31" s="435">
        <v>43692</v>
      </c>
      <c r="J31" s="450">
        <v>26939</v>
      </c>
      <c r="K31" s="449">
        <v>26969</v>
      </c>
      <c r="L31" s="449">
        <v>43690</v>
      </c>
      <c r="N31" s="452">
        <f t="shared" si="3"/>
        <v>17.5</v>
      </c>
      <c r="O31" s="451">
        <v>6</v>
      </c>
      <c r="P31" s="449">
        <v>43104</v>
      </c>
      <c r="Q31" s="8"/>
      <c r="R31" s="452">
        <f t="shared" si="4"/>
        <v>57.5</v>
      </c>
      <c r="S31" s="451">
        <v>6</v>
      </c>
      <c r="T31" s="449">
        <v>43104</v>
      </c>
    </row>
    <row r="32" spans="2:20" ht="13" thickBot="1" x14ac:dyDescent="0.3">
      <c r="B32" s="439">
        <v>25144</v>
      </c>
      <c r="C32" s="435">
        <v>25173</v>
      </c>
      <c r="D32" s="435">
        <v>43636</v>
      </c>
      <c r="F32" s="439">
        <v>23317</v>
      </c>
      <c r="G32" s="435">
        <v>23346</v>
      </c>
      <c r="H32" s="435">
        <v>43638</v>
      </c>
      <c r="J32" s="450">
        <v>26970</v>
      </c>
      <c r="K32" s="449">
        <v>26999</v>
      </c>
      <c r="L32" s="449">
        <v>43636</v>
      </c>
      <c r="N32" s="452">
        <f t="shared" si="3"/>
        <v>17.583333333333332</v>
      </c>
      <c r="O32" s="451">
        <v>7</v>
      </c>
      <c r="P32" s="449">
        <v>43158</v>
      </c>
      <c r="Q32" s="8"/>
      <c r="R32" s="452">
        <f t="shared" si="4"/>
        <v>57.583333333333336</v>
      </c>
      <c r="S32" s="451">
        <v>7</v>
      </c>
      <c r="T32" s="449">
        <v>43158</v>
      </c>
    </row>
    <row r="33" spans="2:20" ht="13" thickBot="1" x14ac:dyDescent="0.3">
      <c r="B33" s="439">
        <v>25174</v>
      </c>
      <c r="C33" s="435">
        <v>25204</v>
      </c>
      <c r="D33" s="435">
        <v>43583</v>
      </c>
      <c r="F33" s="439">
        <v>23347</v>
      </c>
      <c r="G33" s="435">
        <v>23377</v>
      </c>
      <c r="H33" s="435">
        <v>43585</v>
      </c>
      <c r="J33" s="450">
        <v>27000</v>
      </c>
      <c r="K33" s="449">
        <v>27030</v>
      </c>
      <c r="L33" s="449">
        <v>43583</v>
      </c>
      <c r="N33" s="452">
        <f t="shared" si="3"/>
        <v>17.666666666666668</v>
      </c>
      <c r="O33" s="451">
        <v>8</v>
      </c>
      <c r="P33" s="449">
        <v>43212</v>
      </c>
      <c r="Q33" s="8"/>
      <c r="R33" s="452">
        <f t="shared" si="4"/>
        <v>57.666666666666664</v>
      </c>
      <c r="S33" s="451">
        <v>8</v>
      </c>
      <c r="T33" s="449">
        <v>43212</v>
      </c>
    </row>
    <row r="34" spans="2:20" ht="13" thickBot="1" x14ac:dyDescent="0.3">
      <c r="B34" s="439">
        <v>25205</v>
      </c>
      <c r="C34" s="435">
        <v>25235</v>
      </c>
      <c r="D34" s="435">
        <v>43529</v>
      </c>
      <c r="F34" s="439">
        <v>23378</v>
      </c>
      <c r="G34" s="435">
        <v>23408</v>
      </c>
      <c r="H34" s="435">
        <v>43531</v>
      </c>
      <c r="J34" s="450">
        <v>27031</v>
      </c>
      <c r="K34" s="449">
        <v>27061</v>
      </c>
      <c r="L34" s="449">
        <v>43529</v>
      </c>
      <c r="N34" s="452">
        <f t="shared" si="3"/>
        <v>17.75</v>
      </c>
      <c r="O34" s="451">
        <v>9</v>
      </c>
      <c r="P34" s="449">
        <v>43265</v>
      </c>
      <c r="Q34" s="8"/>
      <c r="R34" s="452">
        <f t="shared" si="4"/>
        <v>57.75</v>
      </c>
      <c r="S34" s="451">
        <v>9</v>
      </c>
      <c r="T34" s="449">
        <v>43265</v>
      </c>
    </row>
    <row r="35" spans="2:20" ht="13" thickBot="1" x14ac:dyDescent="0.3">
      <c r="B35" s="439">
        <v>25236</v>
      </c>
      <c r="C35" s="435">
        <v>25263</v>
      </c>
      <c r="D35" s="435">
        <v>43475</v>
      </c>
      <c r="F35" s="439">
        <v>23409</v>
      </c>
      <c r="G35" s="435">
        <v>23437</v>
      </c>
      <c r="H35" s="435">
        <v>43477</v>
      </c>
      <c r="J35" s="450">
        <v>27062</v>
      </c>
      <c r="K35" s="449">
        <v>27089</v>
      </c>
      <c r="L35" s="449">
        <v>43475</v>
      </c>
      <c r="N35" s="452">
        <f t="shared" si="3"/>
        <v>17.833333333333332</v>
      </c>
      <c r="O35" s="451">
        <v>10</v>
      </c>
      <c r="P35" s="449">
        <v>43319</v>
      </c>
      <c r="Q35" s="8"/>
      <c r="R35" s="452">
        <f t="shared" si="4"/>
        <v>57.833333333333336</v>
      </c>
      <c r="S35" s="451">
        <v>10</v>
      </c>
      <c r="T35" s="449">
        <v>43319</v>
      </c>
    </row>
    <row r="36" spans="2:20" ht="13" thickBot="1" x14ac:dyDescent="0.3">
      <c r="B36" s="439">
        <v>25264</v>
      </c>
      <c r="C36" s="435">
        <v>25294</v>
      </c>
      <c r="D36" s="435">
        <v>43426</v>
      </c>
      <c r="F36" s="439">
        <v>23438</v>
      </c>
      <c r="G36" s="435">
        <v>23468</v>
      </c>
      <c r="H36" s="435">
        <v>43426</v>
      </c>
      <c r="J36" s="450">
        <v>27090</v>
      </c>
      <c r="K36" s="449">
        <v>27120</v>
      </c>
      <c r="L36" s="449">
        <v>43426</v>
      </c>
      <c r="N36" s="452">
        <f t="shared" si="3"/>
        <v>17.916666666666668</v>
      </c>
      <c r="O36" s="451">
        <v>11</v>
      </c>
      <c r="P36" s="449">
        <v>43372</v>
      </c>
      <c r="Q36" s="8"/>
      <c r="R36" s="452">
        <f t="shared" si="4"/>
        <v>57.916666666666664</v>
      </c>
      <c r="S36" s="451">
        <v>11</v>
      </c>
      <c r="T36" s="449">
        <v>43372</v>
      </c>
    </row>
    <row r="37" spans="2:20" ht="13" thickBot="1" x14ac:dyDescent="0.3">
      <c r="B37" s="439">
        <v>25295</v>
      </c>
      <c r="C37" s="435">
        <v>25324</v>
      </c>
      <c r="D37" s="435">
        <v>43372</v>
      </c>
      <c r="F37" s="439">
        <v>23469</v>
      </c>
      <c r="G37" s="435">
        <v>23498</v>
      </c>
      <c r="H37" s="435">
        <v>43372</v>
      </c>
      <c r="J37" s="450">
        <v>27121</v>
      </c>
      <c r="K37" s="449">
        <v>27150</v>
      </c>
      <c r="L37" s="449">
        <v>43372</v>
      </c>
      <c r="N37" s="452">
        <f t="shared" ref="N37:N48" si="5">18+O37/12</f>
        <v>18</v>
      </c>
      <c r="O37" s="451">
        <v>0</v>
      </c>
      <c r="P37" s="449">
        <v>43426</v>
      </c>
      <c r="Q37" s="8"/>
      <c r="R37" s="452">
        <f t="shared" ref="R37:R48" si="6">58+S37/12</f>
        <v>58</v>
      </c>
      <c r="S37" s="451">
        <v>0</v>
      </c>
      <c r="T37" s="449">
        <v>43426</v>
      </c>
    </row>
    <row r="38" spans="2:20" ht="13" thickBot="1" x14ac:dyDescent="0.3">
      <c r="B38" s="439">
        <v>25325</v>
      </c>
      <c r="C38" s="435">
        <v>25355</v>
      </c>
      <c r="D38" s="435">
        <v>43319</v>
      </c>
      <c r="F38" s="439">
        <v>23499</v>
      </c>
      <c r="G38" s="435">
        <v>23529</v>
      </c>
      <c r="H38" s="435">
        <v>43319</v>
      </c>
      <c r="J38" s="450">
        <v>27151</v>
      </c>
      <c r="K38" s="449">
        <v>27181</v>
      </c>
      <c r="L38" s="449">
        <v>43319</v>
      </c>
      <c r="N38" s="452">
        <f t="shared" si="5"/>
        <v>18.083333333333332</v>
      </c>
      <c r="O38" s="451">
        <v>1</v>
      </c>
      <c r="P38" s="449">
        <v>43475</v>
      </c>
      <c r="Q38" s="8"/>
      <c r="R38" s="452">
        <f t="shared" si="6"/>
        <v>58.083333333333336</v>
      </c>
      <c r="S38" s="451">
        <v>1</v>
      </c>
      <c r="T38" s="449">
        <v>43475</v>
      </c>
    </row>
    <row r="39" spans="2:20" ht="13" thickBot="1" x14ac:dyDescent="0.3">
      <c r="B39" s="439">
        <v>25356</v>
      </c>
      <c r="C39" s="435">
        <v>25385</v>
      </c>
      <c r="D39" s="435">
        <v>43265</v>
      </c>
      <c r="F39" s="439">
        <v>23530</v>
      </c>
      <c r="G39" s="435">
        <v>23559</v>
      </c>
      <c r="H39" s="435">
        <v>43265</v>
      </c>
      <c r="J39" s="450">
        <v>27182</v>
      </c>
      <c r="K39" s="449">
        <v>27211</v>
      </c>
      <c r="L39" s="449">
        <v>43265</v>
      </c>
      <c r="N39" s="452">
        <f t="shared" si="5"/>
        <v>18.166666666666668</v>
      </c>
      <c r="O39" s="451">
        <v>2</v>
      </c>
      <c r="P39" s="449">
        <v>43529</v>
      </c>
      <c r="Q39" s="8"/>
      <c r="R39" s="452">
        <f t="shared" si="6"/>
        <v>58.166666666666664</v>
      </c>
      <c r="S39" s="451">
        <v>2</v>
      </c>
      <c r="T39" s="449">
        <v>43529</v>
      </c>
    </row>
    <row r="40" spans="2:20" ht="13" thickBot="1" x14ac:dyDescent="0.3">
      <c r="B40" s="439">
        <v>25386</v>
      </c>
      <c r="C40" s="435">
        <v>25416</v>
      </c>
      <c r="D40" s="435">
        <v>43212</v>
      </c>
      <c r="F40" s="439">
        <v>23560</v>
      </c>
      <c r="G40" s="435">
        <v>23590</v>
      </c>
      <c r="H40" s="435">
        <v>43212</v>
      </c>
      <c r="J40" s="450">
        <v>27212</v>
      </c>
      <c r="K40" s="449">
        <v>27242</v>
      </c>
      <c r="L40" s="449">
        <v>43212</v>
      </c>
      <c r="N40" s="452">
        <f t="shared" si="5"/>
        <v>18.25</v>
      </c>
      <c r="O40" s="451">
        <v>3</v>
      </c>
      <c r="P40" s="449">
        <v>43583</v>
      </c>
      <c r="Q40" s="8"/>
      <c r="R40" s="452">
        <f t="shared" si="6"/>
        <v>58.25</v>
      </c>
      <c r="S40" s="451">
        <v>3</v>
      </c>
      <c r="T40" s="449">
        <v>43583</v>
      </c>
    </row>
    <row r="41" spans="2:20" ht="13" thickBot="1" x14ac:dyDescent="0.3">
      <c r="B41" s="439">
        <v>25417</v>
      </c>
      <c r="C41" s="435">
        <v>25447</v>
      </c>
      <c r="D41" s="435">
        <v>43158</v>
      </c>
      <c r="F41" s="439">
        <v>23591</v>
      </c>
      <c r="G41" s="435">
        <v>23621</v>
      </c>
      <c r="H41" s="435">
        <v>43158</v>
      </c>
      <c r="J41" s="450">
        <v>27243</v>
      </c>
      <c r="K41" s="449">
        <v>27273</v>
      </c>
      <c r="L41" s="449">
        <v>43158</v>
      </c>
      <c r="N41" s="452">
        <f t="shared" si="5"/>
        <v>18.333333333333332</v>
      </c>
      <c r="O41" s="451">
        <v>4</v>
      </c>
      <c r="P41" s="449">
        <v>43636</v>
      </c>
      <c r="Q41" s="8"/>
      <c r="R41" s="452">
        <f t="shared" si="6"/>
        <v>58.333333333333336</v>
      </c>
      <c r="S41" s="451">
        <v>4</v>
      </c>
      <c r="T41" s="449">
        <v>43636</v>
      </c>
    </row>
    <row r="42" spans="2:20" ht="13" thickBot="1" x14ac:dyDescent="0.3">
      <c r="B42" s="439">
        <v>25448</v>
      </c>
      <c r="C42" s="435">
        <v>25477</v>
      </c>
      <c r="D42" s="435">
        <v>43104</v>
      </c>
      <c r="F42" s="439">
        <v>23622</v>
      </c>
      <c r="G42" s="435">
        <v>23651</v>
      </c>
      <c r="H42" s="435">
        <v>43104</v>
      </c>
      <c r="J42" s="450">
        <v>27274</v>
      </c>
      <c r="K42" s="449">
        <v>27303</v>
      </c>
      <c r="L42" s="449">
        <v>43104</v>
      </c>
      <c r="N42" s="452">
        <f t="shared" si="5"/>
        <v>18.416666666666668</v>
      </c>
      <c r="O42" s="451">
        <v>5</v>
      </c>
      <c r="P42" s="449">
        <v>43690</v>
      </c>
      <c r="Q42" s="8"/>
      <c r="R42" s="452">
        <f t="shared" si="6"/>
        <v>58.416666666666664</v>
      </c>
      <c r="S42" s="451">
        <v>5</v>
      </c>
      <c r="T42" s="449">
        <v>43690</v>
      </c>
    </row>
    <row r="43" spans="2:20" ht="13" thickBot="1" x14ac:dyDescent="0.3">
      <c r="B43" s="439">
        <v>25478</v>
      </c>
      <c r="C43" s="435">
        <v>25508</v>
      </c>
      <c r="D43" s="435">
        <v>43051</v>
      </c>
      <c r="F43" s="439">
        <v>23652</v>
      </c>
      <c r="G43" s="435">
        <v>23682</v>
      </c>
      <c r="H43" s="435">
        <v>43051</v>
      </c>
      <c r="J43" s="450">
        <v>27304</v>
      </c>
      <c r="K43" s="449">
        <v>27334</v>
      </c>
      <c r="L43" s="449">
        <v>43051</v>
      </c>
      <c r="N43" s="452">
        <f t="shared" si="5"/>
        <v>18.5</v>
      </c>
      <c r="O43" s="451">
        <v>6</v>
      </c>
      <c r="P43" s="449">
        <v>43743</v>
      </c>
      <c r="Q43" s="8"/>
      <c r="R43" s="452">
        <f t="shared" si="6"/>
        <v>58.5</v>
      </c>
      <c r="S43" s="451">
        <v>6</v>
      </c>
      <c r="T43" s="449">
        <v>43743</v>
      </c>
    </row>
    <row r="44" spans="2:20" ht="13" thickBot="1" x14ac:dyDescent="0.3">
      <c r="B44" s="439">
        <v>25509</v>
      </c>
      <c r="C44" s="435">
        <v>25538</v>
      </c>
      <c r="D44" s="435">
        <v>42997</v>
      </c>
      <c r="F44" s="439">
        <v>23683</v>
      </c>
      <c r="G44" s="435">
        <v>23712</v>
      </c>
      <c r="H44" s="435">
        <v>42997</v>
      </c>
      <c r="J44" s="450">
        <v>27335</v>
      </c>
      <c r="K44" s="449">
        <v>27364</v>
      </c>
      <c r="L44" s="449">
        <v>42997</v>
      </c>
      <c r="N44" s="452">
        <f t="shared" si="5"/>
        <v>18.583333333333332</v>
      </c>
      <c r="O44" s="451">
        <v>7</v>
      </c>
      <c r="P44" s="449">
        <v>43797</v>
      </c>
      <c r="Q44" s="8"/>
      <c r="R44" s="452">
        <f t="shared" si="6"/>
        <v>58.583333333333336</v>
      </c>
      <c r="S44" s="451">
        <v>7</v>
      </c>
      <c r="T44" s="449">
        <v>43797</v>
      </c>
    </row>
    <row r="45" spans="2:20" ht="13" thickBot="1" x14ac:dyDescent="0.3">
      <c r="B45" s="439">
        <v>25539</v>
      </c>
      <c r="C45" s="435">
        <v>25569</v>
      </c>
      <c r="D45" s="435">
        <v>42945</v>
      </c>
      <c r="F45" s="439">
        <v>23713</v>
      </c>
      <c r="G45" s="435">
        <v>23743</v>
      </c>
      <c r="H45" s="435">
        <v>42945</v>
      </c>
      <c r="J45" s="450">
        <v>27365</v>
      </c>
      <c r="K45" s="449">
        <v>27395</v>
      </c>
      <c r="L45" s="449">
        <v>42945</v>
      </c>
      <c r="N45" s="452">
        <f t="shared" si="5"/>
        <v>18.666666666666668</v>
      </c>
      <c r="O45" s="451">
        <v>8</v>
      </c>
      <c r="P45" s="449">
        <v>43851</v>
      </c>
      <c r="Q45" s="8"/>
      <c r="R45" s="452">
        <f t="shared" si="6"/>
        <v>58.666666666666664</v>
      </c>
      <c r="S45" s="451">
        <v>8</v>
      </c>
      <c r="T45" s="449">
        <v>43851</v>
      </c>
    </row>
    <row r="46" spans="2:20" ht="13" thickBot="1" x14ac:dyDescent="0.3">
      <c r="B46" s="439">
        <v>25570</v>
      </c>
      <c r="C46" s="435">
        <v>25600</v>
      </c>
      <c r="D46" s="435">
        <v>42890</v>
      </c>
      <c r="F46" s="439">
        <v>23744</v>
      </c>
      <c r="G46" s="435">
        <v>23774</v>
      </c>
      <c r="H46" s="435">
        <v>42890</v>
      </c>
      <c r="J46" s="450">
        <v>27396</v>
      </c>
      <c r="K46" s="449">
        <v>27426</v>
      </c>
      <c r="L46" s="449">
        <v>42890</v>
      </c>
      <c r="N46" s="452">
        <f t="shared" si="5"/>
        <v>18.75</v>
      </c>
      <c r="O46" s="451">
        <v>9</v>
      </c>
      <c r="P46" s="449">
        <v>43904</v>
      </c>
      <c r="Q46" s="8"/>
      <c r="R46" s="452">
        <f t="shared" si="6"/>
        <v>58.75</v>
      </c>
      <c r="S46" s="451">
        <v>9</v>
      </c>
      <c r="T46" s="449">
        <v>43904</v>
      </c>
    </row>
    <row r="47" spans="2:20" ht="13" thickBot="1" x14ac:dyDescent="0.3">
      <c r="B47" s="439">
        <v>25601</v>
      </c>
      <c r="C47" s="435">
        <v>25628</v>
      </c>
      <c r="D47" s="435">
        <v>42836</v>
      </c>
      <c r="F47" s="439">
        <v>23775</v>
      </c>
      <c r="G47" s="435">
        <v>23802</v>
      </c>
      <c r="H47" s="435">
        <v>42836</v>
      </c>
      <c r="J47" s="450">
        <v>27427</v>
      </c>
      <c r="K47" s="449">
        <v>27454</v>
      </c>
      <c r="L47" s="449">
        <v>42836</v>
      </c>
      <c r="N47" s="452">
        <f t="shared" si="5"/>
        <v>18.833333333333332</v>
      </c>
      <c r="O47" s="451">
        <v>10</v>
      </c>
      <c r="P47" s="449">
        <v>43958</v>
      </c>
      <c r="Q47" s="8"/>
      <c r="R47" s="452">
        <f t="shared" si="6"/>
        <v>58.833333333333336</v>
      </c>
      <c r="S47" s="451">
        <v>10</v>
      </c>
      <c r="T47" s="449">
        <v>43958</v>
      </c>
    </row>
    <row r="48" spans="2:20" ht="13" thickBot="1" x14ac:dyDescent="0.3">
      <c r="B48" s="439">
        <v>25629</v>
      </c>
      <c r="C48" s="435">
        <v>25659</v>
      </c>
      <c r="D48" s="435">
        <v>42787</v>
      </c>
      <c r="F48" s="439">
        <v>23803</v>
      </c>
      <c r="G48" s="435">
        <v>23833</v>
      </c>
      <c r="H48" s="435">
        <v>42787</v>
      </c>
      <c r="J48" s="450">
        <v>27455</v>
      </c>
      <c r="K48" s="449">
        <v>27485</v>
      </c>
      <c r="L48" s="449">
        <v>42787</v>
      </c>
      <c r="N48" s="452">
        <f t="shared" si="5"/>
        <v>18.916666666666668</v>
      </c>
      <c r="O48" s="451">
        <v>11</v>
      </c>
      <c r="P48" s="449">
        <v>44010</v>
      </c>
      <c r="Q48" s="8"/>
      <c r="R48" s="452">
        <f t="shared" si="6"/>
        <v>58.916666666666664</v>
      </c>
      <c r="S48" s="451">
        <v>11</v>
      </c>
      <c r="T48" s="449">
        <v>44010</v>
      </c>
    </row>
    <row r="49" spans="2:20" ht="13" thickBot="1" x14ac:dyDescent="0.3">
      <c r="B49" s="439">
        <v>25660</v>
      </c>
      <c r="C49" s="435">
        <v>25689</v>
      </c>
      <c r="D49" s="435">
        <v>42733</v>
      </c>
      <c r="F49" s="439">
        <v>23834</v>
      </c>
      <c r="G49" s="435">
        <v>23863</v>
      </c>
      <c r="H49" s="435">
        <v>42733</v>
      </c>
      <c r="J49" s="450">
        <v>27486</v>
      </c>
      <c r="K49" s="449">
        <v>27515</v>
      </c>
      <c r="L49" s="449">
        <v>42733</v>
      </c>
      <c r="N49" s="452">
        <f t="shared" ref="N49:N60" si="7">19+O49/12</f>
        <v>19</v>
      </c>
      <c r="O49" s="451">
        <v>0</v>
      </c>
      <c r="P49" s="449">
        <v>44065</v>
      </c>
      <c r="Q49" s="8"/>
      <c r="R49" s="452">
        <f t="shared" ref="R49:R60" si="8">59+S49/12</f>
        <v>59</v>
      </c>
      <c r="S49" s="451">
        <v>0</v>
      </c>
      <c r="T49" s="449">
        <v>44065</v>
      </c>
    </row>
    <row r="50" spans="2:20" ht="13" thickBot="1" x14ac:dyDescent="0.3">
      <c r="B50" s="439">
        <v>25690</v>
      </c>
      <c r="C50" s="435">
        <v>25720</v>
      </c>
      <c r="D50" s="435">
        <v>42680</v>
      </c>
      <c r="F50" s="439">
        <v>23864</v>
      </c>
      <c r="G50" s="435">
        <v>23894</v>
      </c>
      <c r="H50" s="435">
        <v>42680</v>
      </c>
      <c r="J50" s="450">
        <v>27516</v>
      </c>
      <c r="K50" s="449">
        <v>27546</v>
      </c>
      <c r="L50" s="449">
        <v>42680</v>
      </c>
      <c r="N50" s="452">
        <f t="shared" si="7"/>
        <v>19.083333333333332</v>
      </c>
      <c r="O50" s="451">
        <v>1</v>
      </c>
      <c r="P50" s="449">
        <v>44115</v>
      </c>
      <c r="Q50" s="8"/>
      <c r="R50" s="452">
        <f t="shared" si="8"/>
        <v>59.083333333333336</v>
      </c>
      <c r="S50" s="451">
        <v>1</v>
      </c>
      <c r="T50" s="449">
        <v>44115</v>
      </c>
    </row>
    <row r="51" spans="2:20" ht="13" thickBot="1" x14ac:dyDescent="0.3">
      <c r="B51" s="439">
        <v>25721</v>
      </c>
      <c r="C51" s="435">
        <v>25750</v>
      </c>
      <c r="D51" s="435">
        <v>42626</v>
      </c>
      <c r="F51" s="439">
        <v>23895</v>
      </c>
      <c r="G51" s="435">
        <v>23924</v>
      </c>
      <c r="H51" s="435">
        <v>42626</v>
      </c>
      <c r="J51" s="450">
        <v>27547</v>
      </c>
      <c r="K51" s="449">
        <v>27576</v>
      </c>
      <c r="L51" s="449">
        <v>42626</v>
      </c>
      <c r="N51" s="452">
        <f t="shared" si="7"/>
        <v>19.166666666666668</v>
      </c>
      <c r="O51" s="451">
        <v>2</v>
      </c>
      <c r="P51" s="449">
        <v>44170</v>
      </c>
      <c r="Q51" s="8"/>
      <c r="R51" s="452">
        <f t="shared" si="8"/>
        <v>59.166666666666664</v>
      </c>
      <c r="S51" s="451">
        <v>2</v>
      </c>
      <c r="T51" s="449">
        <v>44170</v>
      </c>
    </row>
    <row r="52" spans="2:20" ht="13" thickBot="1" x14ac:dyDescent="0.3">
      <c r="B52" s="439">
        <v>25751</v>
      </c>
      <c r="C52" s="435">
        <v>25781</v>
      </c>
      <c r="D52" s="435">
        <v>42574</v>
      </c>
      <c r="F52" s="439">
        <v>23925</v>
      </c>
      <c r="G52" s="435">
        <v>23955</v>
      </c>
      <c r="H52" s="435">
        <v>42574</v>
      </c>
      <c r="J52" s="450">
        <v>27577</v>
      </c>
      <c r="K52" s="449">
        <v>27607</v>
      </c>
      <c r="L52" s="449">
        <v>42574</v>
      </c>
      <c r="N52" s="452">
        <f t="shared" si="7"/>
        <v>19.25</v>
      </c>
      <c r="O52" s="451">
        <v>3</v>
      </c>
      <c r="P52" s="449">
        <v>44224</v>
      </c>
      <c r="Q52" s="8"/>
      <c r="R52" s="452">
        <f t="shared" si="8"/>
        <v>59.25</v>
      </c>
      <c r="S52" s="451">
        <v>3</v>
      </c>
      <c r="T52" s="449">
        <v>44224</v>
      </c>
    </row>
    <row r="53" spans="2:20" ht="13" thickBot="1" x14ac:dyDescent="0.3">
      <c r="B53" s="439">
        <v>25782</v>
      </c>
      <c r="C53" s="435">
        <v>25812</v>
      </c>
      <c r="D53" s="435">
        <v>42519</v>
      </c>
      <c r="F53" s="439">
        <v>23956</v>
      </c>
      <c r="G53" s="435">
        <v>23986</v>
      </c>
      <c r="H53" s="435">
        <v>42519</v>
      </c>
      <c r="J53" s="450">
        <v>27608</v>
      </c>
      <c r="K53" s="449">
        <v>27638</v>
      </c>
      <c r="L53" s="449">
        <v>42519</v>
      </c>
      <c r="N53" s="452">
        <f t="shared" si="7"/>
        <v>19.333333333333332</v>
      </c>
      <c r="O53" s="451">
        <v>4</v>
      </c>
      <c r="P53" s="449">
        <v>44276</v>
      </c>
      <c r="Q53" s="8"/>
      <c r="R53" s="452">
        <f t="shared" si="8"/>
        <v>59.333333333333336</v>
      </c>
      <c r="S53" s="451">
        <v>4</v>
      </c>
      <c r="T53" s="449">
        <v>44276</v>
      </c>
    </row>
    <row r="54" spans="2:20" ht="13" thickBot="1" x14ac:dyDescent="0.3">
      <c r="B54" s="439">
        <v>25813</v>
      </c>
      <c r="C54" s="435">
        <v>25842</v>
      </c>
      <c r="D54" s="435">
        <v>42465</v>
      </c>
      <c r="F54" s="439">
        <v>23987</v>
      </c>
      <c r="G54" s="435">
        <v>24016</v>
      </c>
      <c r="H54" s="435">
        <v>42465</v>
      </c>
      <c r="J54" s="450">
        <v>27639</v>
      </c>
      <c r="K54" s="449">
        <v>27668</v>
      </c>
      <c r="L54" s="449">
        <v>42465</v>
      </c>
      <c r="N54" s="452">
        <f t="shared" si="7"/>
        <v>19.416666666666668</v>
      </c>
      <c r="O54" s="451">
        <v>5</v>
      </c>
      <c r="P54" s="449">
        <v>44331</v>
      </c>
      <c r="Q54" s="8"/>
      <c r="R54" s="452">
        <f t="shared" si="8"/>
        <v>59.416666666666664</v>
      </c>
      <c r="S54" s="451">
        <v>5</v>
      </c>
      <c r="T54" s="449">
        <v>44331</v>
      </c>
    </row>
    <row r="55" spans="2:20" ht="13" thickBot="1" x14ac:dyDescent="0.3">
      <c r="B55" s="439">
        <v>25843</v>
      </c>
      <c r="C55" s="435">
        <v>25873</v>
      </c>
      <c r="D55" s="435">
        <v>42413</v>
      </c>
      <c r="F55" s="439">
        <v>24017</v>
      </c>
      <c r="G55" s="435">
        <v>24047</v>
      </c>
      <c r="H55" s="435">
        <v>42413</v>
      </c>
      <c r="J55" s="450">
        <v>27669</v>
      </c>
      <c r="K55" s="449">
        <v>27699</v>
      </c>
      <c r="L55" s="449">
        <v>42413</v>
      </c>
      <c r="N55" s="452">
        <f t="shared" si="7"/>
        <v>19.5</v>
      </c>
      <c r="O55" s="451">
        <v>6</v>
      </c>
      <c r="P55" s="449">
        <v>44383</v>
      </c>
      <c r="Q55" s="8"/>
      <c r="R55" s="452">
        <f t="shared" si="8"/>
        <v>59.5</v>
      </c>
      <c r="S55" s="451">
        <v>6</v>
      </c>
      <c r="T55" s="449">
        <v>44383</v>
      </c>
    </row>
    <row r="56" spans="2:20" ht="13" thickBot="1" x14ac:dyDescent="0.3">
      <c r="B56" s="439">
        <v>25874</v>
      </c>
      <c r="C56" s="435">
        <v>25903</v>
      </c>
      <c r="D56" s="435">
        <v>42358</v>
      </c>
      <c r="F56" s="439">
        <v>24048</v>
      </c>
      <c r="G56" s="435">
        <v>24077</v>
      </c>
      <c r="H56" s="435">
        <v>42358</v>
      </c>
      <c r="J56" s="450">
        <v>27700</v>
      </c>
      <c r="K56" s="449">
        <v>27729</v>
      </c>
      <c r="L56" s="449">
        <v>42358</v>
      </c>
      <c r="N56" s="452">
        <f t="shared" si="7"/>
        <v>19.583333333333332</v>
      </c>
      <c r="O56" s="451">
        <v>7</v>
      </c>
      <c r="P56" s="449">
        <v>44437</v>
      </c>
      <c r="Q56" s="8"/>
      <c r="R56" s="452">
        <f t="shared" si="8"/>
        <v>59.583333333333336</v>
      </c>
      <c r="S56" s="451">
        <v>7</v>
      </c>
      <c r="T56" s="449">
        <v>44437</v>
      </c>
    </row>
    <row r="57" spans="2:20" ht="13" thickBot="1" x14ac:dyDescent="0.3">
      <c r="B57" s="439">
        <v>25904</v>
      </c>
      <c r="C57" s="435">
        <v>25934</v>
      </c>
      <c r="D57" s="435">
        <v>42306</v>
      </c>
      <c r="F57" s="439">
        <v>24078</v>
      </c>
      <c r="G57" s="435">
        <v>24108</v>
      </c>
      <c r="H57" s="435">
        <v>42306</v>
      </c>
      <c r="J57" s="450">
        <v>27730</v>
      </c>
      <c r="K57" s="449">
        <v>27760</v>
      </c>
      <c r="L57" s="449">
        <v>42306</v>
      </c>
      <c r="N57" s="452">
        <f t="shared" si="7"/>
        <v>19.666666666666668</v>
      </c>
      <c r="O57" s="451">
        <v>8</v>
      </c>
      <c r="P57" s="449">
        <v>44492</v>
      </c>
      <c r="Q57" s="8"/>
      <c r="R57" s="452">
        <f t="shared" si="8"/>
        <v>59.666666666666664</v>
      </c>
      <c r="S57" s="451">
        <v>8</v>
      </c>
      <c r="T57" s="449">
        <v>44492</v>
      </c>
    </row>
    <row r="58" spans="2:20" ht="13" thickBot="1" x14ac:dyDescent="0.3">
      <c r="B58" s="439">
        <v>25935</v>
      </c>
      <c r="C58" s="435">
        <v>25965</v>
      </c>
      <c r="D58" s="435">
        <v>42252</v>
      </c>
      <c r="F58" s="439">
        <v>24109</v>
      </c>
      <c r="G58" s="435">
        <v>24139</v>
      </c>
      <c r="H58" s="435">
        <v>42252</v>
      </c>
      <c r="J58" s="450">
        <v>27761</v>
      </c>
      <c r="K58" s="449">
        <v>27791</v>
      </c>
      <c r="L58" s="449">
        <v>42252</v>
      </c>
      <c r="N58" s="452">
        <f t="shared" si="7"/>
        <v>19.75</v>
      </c>
      <c r="O58" s="451">
        <v>9</v>
      </c>
      <c r="P58" s="449">
        <v>44544</v>
      </c>
      <c r="Q58" s="8"/>
      <c r="R58" s="452">
        <f t="shared" si="8"/>
        <v>59.75</v>
      </c>
      <c r="S58" s="451">
        <v>9</v>
      </c>
      <c r="T58" s="449">
        <v>44544</v>
      </c>
    </row>
    <row r="59" spans="2:20" ht="13" thickBot="1" x14ac:dyDescent="0.3">
      <c r="B59" s="439">
        <v>25966</v>
      </c>
      <c r="C59" s="435">
        <v>25993</v>
      </c>
      <c r="D59" s="435">
        <v>42197</v>
      </c>
      <c r="F59" s="439">
        <v>24140</v>
      </c>
      <c r="G59" s="435">
        <v>24167</v>
      </c>
      <c r="H59" s="435">
        <v>42197</v>
      </c>
      <c r="J59" s="450">
        <v>27792</v>
      </c>
      <c r="K59" s="449">
        <v>27820</v>
      </c>
      <c r="L59" s="449">
        <v>42197</v>
      </c>
      <c r="N59" s="452">
        <f t="shared" si="7"/>
        <v>19.833333333333332</v>
      </c>
      <c r="O59" s="451">
        <v>10</v>
      </c>
      <c r="P59" s="449">
        <v>44598</v>
      </c>
      <c r="Q59" s="8"/>
      <c r="R59" s="452">
        <f t="shared" si="8"/>
        <v>59.833333333333336</v>
      </c>
      <c r="S59" s="451">
        <v>10</v>
      </c>
      <c r="T59" s="449">
        <v>44598</v>
      </c>
    </row>
    <row r="60" spans="2:20" x14ac:dyDescent="0.25">
      <c r="B60" s="439">
        <v>25994</v>
      </c>
      <c r="C60" s="435">
        <v>26024</v>
      </c>
      <c r="D60" s="435">
        <v>42148</v>
      </c>
      <c r="F60" s="439">
        <v>24168</v>
      </c>
      <c r="G60" s="435">
        <v>24198</v>
      </c>
      <c r="H60" s="435">
        <v>42148</v>
      </c>
      <c r="J60" s="450">
        <v>27821</v>
      </c>
      <c r="K60" s="449">
        <v>27851</v>
      </c>
      <c r="L60" s="449">
        <v>42148</v>
      </c>
      <c r="N60" s="452">
        <f t="shared" si="7"/>
        <v>19.916666666666668</v>
      </c>
      <c r="O60" s="451">
        <v>11</v>
      </c>
      <c r="P60" s="449">
        <v>44651</v>
      </c>
      <c r="Q60" s="8"/>
      <c r="R60" s="452">
        <f t="shared" si="8"/>
        <v>59.916666666666664</v>
      </c>
      <c r="S60" s="451">
        <v>11</v>
      </c>
      <c r="T60" s="449">
        <v>44651</v>
      </c>
    </row>
    <row r="64" spans="2:20" x14ac:dyDescent="0.25">
      <c r="N64" s="440"/>
      <c r="R64" s="440"/>
    </row>
    <row r="65" spans="14:20" ht="13" thickBot="1" x14ac:dyDescent="0.3">
      <c r="N65" s="440"/>
      <c r="R65" s="440"/>
    </row>
    <row r="66" spans="14:20" ht="13.5" thickBot="1" x14ac:dyDescent="0.3">
      <c r="N66" s="721"/>
      <c r="O66" s="722"/>
      <c r="P66" s="436"/>
      <c r="R66" s="721"/>
      <c r="S66" s="722"/>
      <c r="T66" s="436"/>
    </row>
    <row r="67" spans="14:20" ht="13.5" thickBot="1" x14ac:dyDescent="0.35">
      <c r="N67" s="437"/>
      <c r="O67" s="434"/>
      <c r="P67" s="438"/>
      <c r="R67" s="454"/>
      <c r="S67" s="453"/>
      <c r="T67" s="448"/>
    </row>
    <row r="68" spans="14:20" ht="13" thickBot="1" x14ac:dyDescent="0.3">
      <c r="N68" s="452"/>
      <c r="O68" s="451"/>
      <c r="P68" s="449"/>
      <c r="R68" s="452"/>
      <c r="S68" s="451"/>
      <c r="T68" s="449"/>
    </row>
    <row r="69" spans="14:20" ht="13" thickBot="1" x14ac:dyDescent="0.3">
      <c r="N69" s="452"/>
      <c r="O69" s="451"/>
      <c r="P69" s="449"/>
      <c r="R69" s="452"/>
      <c r="S69" s="451"/>
      <c r="T69" s="449"/>
    </row>
    <row r="70" spans="14:20" ht="13" thickBot="1" x14ac:dyDescent="0.3">
      <c r="N70" s="452"/>
      <c r="O70" s="451"/>
      <c r="P70" s="449"/>
      <c r="R70" s="452"/>
      <c r="S70" s="451"/>
      <c r="T70" s="449"/>
    </row>
    <row r="71" spans="14:20" ht="13" thickBot="1" x14ac:dyDescent="0.3">
      <c r="N71" s="452"/>
      <c r="O71" s="451"/>
      <c r="P71" s="449"/>
      <c r="R71" s="452"/>
      <c r="S71" s="451"/>
      <c r="T71" s="449"/>
    </row>
    <row r="72" spans="14:20" ht="13" thickBot="1" x14ac:dyDescent="0.3">
      <c r="N72" s="452"/>
      <c r="O72" s="451"/>
      <c r="P72" s="449"/>
      <c r="R72" s="452"/>
      <c r="S72" s="451"/>
      <c r="T72" s="449"/>
    </row>
    <row r="73" spans="14:20" ht="13" thickBot="1" x14ac:dyDescent="0.3">
      <c r="N73" s="452"/>
      <c r="O73" s="451"/>
      <c r="P73" s="449"/>
      <c r="R73" s="452"/>
      <c r="S73" s="451"/>
      <c r="T73" s="449"/>
    </row>
    <row r="74" spans="14:20" ht="13" thickBot="1" x14ac:dyDescent="0.3">
      <c r="N74" s="452"/>
      <c r="O74" s="451"/>
      <c r="P74" s="449"/>
      <c r="R74" s="452"/>
      <c r="S74" s="451"/>
      <c r="T74" s="449"/>
    </row>
    <row r="75" spans="14:20" ht="13" thickBot="1" x14ac:dyDescent="0.3">
      <c r="N75" s="452"/>
      <c r="O75" s="451"/>
      <c r="P75" s="449"/>
      <c r="R75" s="452"/>
      <c r="S75" s="451"/>
      <c r="T75" s="449"/>
    </row>
    <row r="76" spans="14:20" ht="13" thickBot="1" x14ac:dyDescent="0.3">
      <c r="N76" s="452"/>
      <c r="O76" s="451"/>
      <c r="P76" s="449"/>
      <c r="R76" s="452"/>
      <c r="S76" s="451"/>
      <c r="T76" s="449"/>
    </row>
    <row r="77" spans="14:20" ht="13" thickBot="1" x14ac:dyDescent="0.3">
      <c r="N77" s="452"/>
      <c r="O77" s="451"/>
      <c r="P77" s="449"/>
      <c r="R77" s="452"/>
      <c r="S77" s="451"/>
      <c r="T77" s="449"/>
    </row>
    <row r="78" spans="14:20" ht="13" thickBot="1" x14ac:dyDescent="0.3">
      <c r="N78" s="452"/>
      <c r="O78" s="451"/>
      <c r="P78" s="449"/>
      <c r="R78" s="452"/>
      <c r="S78" s="451"/>
      <c r="T78" s="449"/>
    </row>
    <row r="79" spans="14:20" ht="13" thickBot="1" x14ac:dyDescent="0.3">
      <c r="N79" s="452"/>
      <c r="O79" s="451"/>
      <c r="P79" s="449"/>
      <c r="R79" s="452"/>
      <c r="S79" s="451"/>
      <c r="T79" s="449"/>
    </row>
    <row r="80" spans="14:20" ht="13" thickBot="1" x14ac:dyDescent="0.3">
      <c r="N80" s="452"/>
      <c r="O80" s="451"/>
      <c r="P80" s="449"/>
      <c r="R80" s="452"/>
      <c r="S80" s="451"/>
      <c r="T80" s="449"/>
    </row>
    <row r="81" spans="14:20" ht="13" thickBot="1" x14ac:dyDescent="0.3">
      <c r="N81" s="452"/>
      <c r="O81" s="451"/>
      <c r="P81" s="449"/>
      <c r="R81" s="452"/>
      <c r="S81" s="451"/>
      <c r="T81" s="449"/>
    </row>
    <row r="82" spans="14:20" ht="13" thickBot="1" x14ac:dyDescent="0.3">
      <c r="N82" s="452"/>
      <c r="O82" s="451"/>
      <c r="P82" s="449"/>
      <c r="R82" s="452"/>
      <c r="S82" s="451"/>
      <c r="T82" s="449"/>
    </row>
    <row r="83" spans="14:20" ht="13" thickBot="1" x14ac:dyDescent="0.3">
      <c r="N83" s="452"/>
      <c r="O83" s="451"/>
      <c r="P83" s="449"/>
      <c r="R83" s="452"/>
      <c r="S83" s="451"/>
      <c r="T83" s="449"/>
    </row>
    <row r="84" spans="14:20" ht="13" thickBot="1" x14ac:dyDescent="0.3">
      <c r="N84" s="452"/>
      <c r="O84" s="451"/>
      <c r="P84" s="449"/>
      <c r="R84" s="452"/>
      <c r="S84" s="451"/>
      <c r="T84" s="449"/>
    </row>
    <row r="85" spans="14:20" ht="13" thickBot="1" x14ac:dyDescent="0.3">
      <c r="N85" s="452"/>
      <c r="O85" s="451"/>
      <c r="P85" s="449"/>
      <c r="R85" s="452"/>
      <c r="S85" s="451"/>
      <c r="T85" s="449"/>
    </row>
    <row r="86" spans="14:20" ht="13" thickBot="1" x14ac:dyDescent="0.3">
      <c r="N86" s="452"/>
      <c r="O86" s="451"/>
      <c r="P86" s="449"/>
      <c r="R86" s="452"/>
      <c r="S86" s="451"/>
      <c r="T86" s="449"/>
    </row>
    <row r="87" spans="14:20" ht="13" thickBot="1" x14ac:dyDescent="0.3">
      <c r="N87" s="452"/>
      <c r="O87" s="451"/>
      <c r="P87" s="449"/>
      <c r="R87" s="452"/>
      <c r="S87" s="451"/>
      <c r="T87" s="449"/>
    </row>
    <row r="88" spans="14:20" ht="13" thickBot="1" x14ac:dyDescent="0.3">
      <c r="N88" s="452"/>
      <c r="O88" s="451"/>
      <c r="P88" s="449"/>
      <c r="R88" s="452"/>
      <c r="S88" s="451"/>
      <c r="T88" s="449"/>
    </row>
    <row r="89" spans="14:20" ht="13" thickBot="1" x14ac:dyDescent="0.3">
      <c r="N89" s="452"/>
      <c r="O89" s="451"/>
      <c r="P89" s="449"/>
      <c r="R89" s="452"/>
      <c r="S89" s="451"/>
      <c r="T89" s="449"/>
    </row>
    <row r="90" spans="14:20" ht="13" thickBot="1" x14ac:dyDescent="0.3">
      <c r="N90" s="452"/>
      <c r="O90" s="451"/>
      <c r="P90" s="449"/>
      <c r="R90" s="452"/>
      <c r="S90" s="451"/>
      <c r="T90" s="449"/>
    </row>
    <row r="91" spans="14:20" ht="13" thickBot="1" x14ac:dyDescent="0.3">
      <c r="N91" s="452"/>
      <c r="O91" s="451"/>
      <c r="P91" s="449"/>
      <c r="R91" s="452"/>
      <c r="S91" s="451"/>
      <c r="T91" s="449"/>
    </row>
    <row r="92" spans="14:20" ht="13" thickBot="1" x14ac:dyDescent="0.3">
      <c r="N92" s="452"/>
      <c r="O92" s="451"/>
      <c r="P92" s="449"/>
      <c r="R92" s="452"/>
      <c r="S92" s="451"/>
      <c r="T92" s="449"/>
    </row>
    <row r="93" spans="14:20" ht="13" thickBot="1" x14ac:dyDescent="0.3">
      <c r="N93" s="452"/>
      <c r="O93" s="451"/>
      <c r="P93" s="449"/>
      <c r="R93" s="452"/>
      <c r="S93" s="451"/>
      <c r="T93" s="449"/>
    </row>
    <row r="94" spans="14:20" ht="13" thickBot="1" x14ac:dyDescent="0.3">
      <c r="N94" s="452"/>
      <c r="O94" s="451"/>
      <c r="P94" s="449"/>
      <c r="R94" s="452"/>
      <c r="S94" s="451"/>
      <c r="T94" s="449"/>
    </row>
    <row r="95" spans="14:20" ht="13" thickBot="1" x14ac:dyDescent="0.3">
      <c r="N95" s="452"/>
      <c r="O95" s="451"/>
      <c r="P95" s="449"/>
      <c r="R95" s="452"/>
      <c r="S95" s="451"/>
      <c r="T95" s="449"/>
    </row>
    <row r="96" spans="14:20" ht="13" thickBot="1" x14ac:dyDescent="0.3">
      <c r="N96" s="452"/>
      <c r="O96" s="451"/>
      <c r="P96" s="449"/>
      <c r="R96" s="452"/>
      <c r="S96" s="451"/>
      <c r="T96" s="449"/>
    </row>
    <row r="97" spans="14:20" ht="13" thickBot="1" x14ac:dyDescent="0.3">
      <c r="N97" s="452"/>
      <c r="O97" s="451"/>
      <c r="P97" s="449"/>
      <c r="R97" s="452"/>
      <c r="S97" s="451"/>
      <c r="T97" s="449"/>
    </row>
    <row r="98" spans="14:20" ht="13" thickBot="1" x14ac:dyDescent="0.3">
      <c r="N98" s="452"/>
      <c r="O98" s="451"/>
      <c r="P98" s="449"/>
      <c r="R98" s="452"/>
      <c r="S98" s="451"/>
      <c r="T98" s="449"/>
    </row>
    <row r="99" spans="14:20" ht="13" thickBot="1" x14ac:dyDescent="0.3">
      <c r="N99" s="452"/>
      <c r="O99" s="451"/>
      <c r="P99" s="449"/>
      <c r="R99" s="452"/>
      <c r="S99" s="451"/>
      <c r="T99" s="449"/>
    </row>
    <row r="100" spans="14:20" ht="13" thickBot="1" x14ac:dyDescent="0.3">
      <c r="N100" s="452"/>
      <c r="O100" s="451"/>
      <c r="P100" s="449"/>
      <c r="R100" s="452"/>
      <c r="S100" s="451"/>
      <c r="T100" s="449"/>
    </row>
    <row r="101" spans="14:20" ht="13" thickBot="1" x14ac:dyDescent="0.3">
      <c r="N101" s="452"/>
      <c r="O101" s="451"/>
      <c r="P101" s="449"/>
      <c r="R101" s="452"/>
      <c r="S101" s="451"/>
      <c r="T101" s="449"/>
    </row>
    <row r="102" spans="14:20" ht="13" thickBot="1" x14ac:dyDescent="0.3">
      <c r="N102" s="452"/>
      <c r="O102" s="451"/>
      <c r="P102" s="449"/>
      <c r="R102" s="452"/>
      <c r="S102" s="451"/>
      <c r="T102" s="449"/>
    </row>
    <row r="103" spans="14:20" ht="13" thickBot="1" x14ac:dyDescent="0.3">
      <c r="N103" s="452"/>
      <c r="O103" s="451"/>
      <c r="P103" s="449"/>
      <c r="R103" s="452"/>
      <c r="S103" s="451"/>
      <c r="T103" s="449"/>
    </row>
    <row r="104" spans="14:20" ht="13" thickBot="1" x14ac:dyDescent="0.3">
      <c r="N104" s="452"/>
      <c r="O104" s="451"/>
      <c r="P104" s="449"/>
      <c r="R104" s="452"/>
      <c r="S104" s="451"/>
      <c r="T104" s="449"/>
    </row>
    <row r="105" spans="14:20" ht="13" thickBot="1" x14ac:dyDescent="0.3">
      <c r="N105" s="452"/>
      <c r="O105" s="451"/>
      <c r="P105" s="449"/>
      <c r="R105" s="452"/>
      <c r="S105" s="451"/>
      <c r="T105" s="449"/>
    </row>
    <row r="106" spans="14:20" ht="13" thickBot="1" x14ac:dyDescent="0.3">
      <c r="N106" s="452"/>
      <c r="O106" s="451"/>
      <c r="P106" s="449"/>
      <c r="R106" s="452"/>
      <c r="S106" s="451"/>
      <c r="T106" s="449"/>
    </row>
    <row r="107" spans="14:20" ht="13" thickBot="1" x14ac:dyDescent="0.3">
      <c r="N107" s="452"/>
      <c r="O107" s="451"/>
      <c r="P107" s="449"/>
      <c r="R107" s="452"/>
      <c r="S107" s="451"/>
      <c r="T107" s="449"/>
    </row>
    <row r="108" spans="14:20" ht="13" thickBot="1" x14ac:dyDescent="0.3">
      <c r="N108" s="452"/>
      <c r="O108" s="451"/>
      <c r="P108" s="449"/>
      <c r="R108" s="452"/>
      <c r="S108" s="451"/>
      <c r="T108" s="449"/>
    </row>
    <row r="109" spans="14:20" ht="13" thickBot="1" x14ac:dyDescent="0.3">
      <c r="N109" s="452"/>
      <c r="O109" s="451"/>
      <c r="P109" s="449"/>
      <c r="R109" s="452"/>
      <c r="S109" s="451"/>
      <c r="T109" s="449"/>
    </row>
    <row r="110" spans="14:20" ht="13" thickBot="1" x14ac:dyDescent="0.3">
      <c r="N110" s="452"/>
      <c r="O110" s="451"/>
      <c r="P110" s="449"/>
      <c r="R110" s="452"/>
      <c r="S110" s="451"/>
      <c r="T110" s="449"/>
    </row>
    <row r="111" spans="14:20" ht="13" thickBot="1" x14ac:dyDescent="0.3">
      <c r="N111" s="452"/>
      <c r="O111" s="451"/>
      <c r="P111" s="449"/>
      <c r="R111" s="452"/>
      <c r="S111" s="451"/>
      <c r="T111" s="449"/>
    </row>
    <row r="112" spans="14:20" ht="13" thickBot="1" x14ac:dyDescent="0.3">
      <c r="N112" s="452"/>
      <c r="O112" s="451"/>
      <c r="P112" s="449"/>
      <c r="R112" s="452"/>
      <c r="S112" s="451"/>
      <c r="T112" s="449"/>
    </row>
    <row r="113" spans="14:20" ht="13" thickBot="1" x14ac:dyDescent="0.3">
      <c r="N113" s="452"/>
      <c r="O113" s="451"/>
      <c r="P113" s="449"/>
      <c r="R113" s="452"/>
      <c r="S113" s="451"/>
      <c r="T113" s="449"/>
    </row>
    <row r="114" spans="14:20" ht="13" thickBot="1" x14ac:dyDescent="0.3">
      <c r="N114" s="452"/>
      <c r="O114" s="451"/>
      <c r="P114" s="449"/>
      <c r="R114" s="452"/>
      <c r="S114" s="451"/>
      <c r="T114" s="449"/>
    </row>
    <row r="115" spans="14:20" x14ac:dyDescent="0.25">
      <c r="N115" s="452"/>
      <c r="O115" s="451"/>
      <c r="P115" s="449"/>
      <c r="R115" s="452"/>
      <c r="S115" s="451"/>
      <c r="T115" s="449"/>
    </row>
  </sheetData>
  <sortState ref="R13:T60">
    <sortCondition ref="T13:T60"/>
  </sortState>
  <mergeCells count="7">
    <mergeCell ref="N66:O66"/>
    <mergeCell ref="R66:S66"/>
    <mergeCell ref="B11:C11"/>
    <mergeCell ref="F11:G11"/>
    <mergeCell ref="J11:K11"/>
    <mergeCell ref="N11:O11"/>
    <mergeCell ref="R11:S11"/>
  </mergeCells>
  <phoneticPr fontId="30" type="noConversion"/>
  <hyperlinks>
    <hyperlink ref="C6" r:id="rId1" display="https://www.gov.uk/government/publications/firefighters-pension-scheme-proposed-final-agreement"/>
  </hyperlinks>
  <pageMargins left="0.7" right="0.7" top="0.75" bottom="0.75" header="0.3" footer="0.3"/>
  <pageSetup paperSize="9" orientation="portrait" r:id="rId2"/>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O71"/>
  <sheetViews>
    <sheetView workbookViewId="0"/>
  </sheetViews>
  <sheetFormatPr defaultRowHeight="12.5" x14ac:dyDescent="0.25"/>
  <cols>
    <col min="2" max="2" width="20.54296875" customWidth="1"/>
    <col min="3" max="3" width="20" bestFit="1" customWidth="1"/>
  </cols>
  <sheetData>
    <row r="1" spans="1:14" ht="20" x14ac:dyDescent="0.4">
      <c r="A1" s="13" t="s">
        <v>19</v>
      </c>
      <c r="B1" s="12"/>
      <c r="C1" s="12"/>
      <c r="D1" s="12"/>
      <c r="E1" s="12"/>
      <c r="F1" s="12"/>
      <c r="G1" s="12"/>
      <c r="H1" s="12"/>
      <c r="I1" s="12"/>
    </row>
    <row r="2" spans="1:14" ht="15.5" x14ac:dyDescent="0.35">
      <c r="A2" s="27" t="str">
        <f>IF(title="&gt; Enter workbook title here","Enter workbook title in Cover sheet",title)</f>
        <v>Scottish Fire pension  projection calculator</v>
      </c>
      <c r="B2" s="11"/>
      <c r="C2" s="11"/>
      <c r="D2" s="11"/>
      <c r="E2" s="11"/>
      <c r="F2" s="11"/>
      <c r="G2" s="11"/>
      <c r="H2" s="11"/>
      <c r="I2" s="11"/>
    </row>
    <row r="3" spans="1:14" ht="15.5" x14ac:dyDescent="0.35">
      <c r="A3" s="14" t="s">
        <v>261</v>
      </c>
      <c r="B3" s="11"/>
      <c r="C3" s="11"/>
      <c r="D3" s="11"/>
      <c r="E3" s="11"/>
      <c r="F3" s="11"/>
      <c r="G3" s="11"/>
      <c r="H3" s="11"/>
      <c r="I3" s="11"/>
    </row>
    <row r="4" spans="1:14" x14ac:dyDescent="0.25">
      <c r="A4" s="7" t="str">
        <f ca="1">CELL("filename",A1)</f>
        <v>C:\Users\u418711\AppData\Local\Microsoft\Windows\INetCache\Content.Outlook\PTLKNQ86\[Copy of Fire Scotland - Benefit Calculator - 22Dec2020.xlsx]Commutation Factors</v>
      </c>
    </row>
    <row r="7" spans="1:14" ht="13" x14ac:dyDescent="0.3">
      <c r="B7" s="1" t="s">
        <v>271</v>
      </c>
      <c r="F7" s="80">
        <v>12</v>
      </c>
    </row>
    <row r="8" spans="1:14" ht="13" x14ac:dyDescent="0.3">
      <c r="B8" s="1" t="s">
        <v>532</v>
      </c>
      <c r="F8" s="370">
        <v>12</v>
      </c>
    </row>
    <row r="9" spans="1:14" ht="13" x14ac:dyDescent="0.3">
      <c r="B9" s="1"/>
      <c r="F9" s="370"/>
      <c r="H9" s="632" t="s">
        <v>887</v>
      </c>
      <c r="I9" s="633"/>
      <c r="J9" s="633"/>
      <c r="K9" s="633"/>
    </row>
    <row r="10" spans="1:14" ht="13.5" thickBot="1" x14ac:dyDescent="0.35">
      <c r="B10" s="1" t="s">
        <v>536</v>
      </c>
      <c r="D10" s="1"/>
      <c r="F10" s="35"/>
      <c r="H10" s="35" t="s">
        <v>890</v>
      </c>
    </row>
    <row r="11" spans="1:14" ht="13.5" thickBot="1" x14ac:dyDescent="0.3">
      <c r="B11" s="723" t="s">
        <v>265</v>
      </c>
      <c r="C11" s="725" t="s">
        <v>269</v>
      </c>
      <c r="D11" s="726"/>
      <c r="E11" s="726"/>
      <c r="F11" s="726"/>
      <c r="G11" s="726"/>
      <c r="H11" s="726"/>
      <c r="I11" s="726"/>
      <c r="J11" s="726"/>
      <c r="K11" s="726"/>
      <c r="L11" s="726"/>
      <c r="M11" s="726"/>
      <c r="N11" s="727"/>
    </row>
    <row r="12" spans="1:14" ht="13.5" thickBot="1" x14ac:dyDescent="0.3">
      <c r="B12" s="724"/>
      <c r="C12" s="81">
        <v>0</v>
      </c>
      <c r="D12" s="287">
        <v>1</v>
      </c>
      <c r="E12" s="287">
        <v>2</v>
      </c>
      <c r="F12" s="287">
        <v>3</v>
      </c>
      <c r="G12" s="287">
        <v>4</v>
      </c>
      <c r="H12" s="287">
        <v>5</v>
      </c>
      <c r="I12" s="287">
        <v>6</v>
      </c>
      <c r="J12" s="287">
        <v>7</v>
      </c>
      <c r="K12" s="287">
        <v>8</v>
      </c>
      <c r="L12" s="287">
        <v>9</v>
      </c>
      <c r="M12" s="287">
        <v>10</v>
      </c>
      <c r="N12" s="287">
        <v>11</v>
      </c>
    </row>
    <row r="13" spans="1:14" ht="13" thickBot="1" x14ac:dyDescent="0.3">
      <c r="B13" s="82" t="s">
        <v>533</v>
      </c>
      <c r="C13" s="634">
        <v>23.3</v>
      </c>
      <c r="D13" s="635"/>
      <c r="E13" s="635"/>
      <c r="F13" s="635"/>
      <c r="G13" s="635"/>
      <c r="H13" s="635"/>
      <c r="I13" s="635"/>
      <c r="J13" s="635"/>
      <c r="K13" s="635"/>
      <c r="L13" s="635"/>
      <c r="M13" s="635"/>
      <c r="N13" s="636"/>
    </row>
    <row r="14" spans="1:14" ht="13" thickBot="1" x14ac:dyDescent="0.3">
      <c r="B14" s="82">
        <v>50</v>
      </c>
      <c r="C14" s="637">
        <v>23.3</v>
      </c>
      <c r="D14" s="638">
        <v>23.3</v>
      </c>
      <c r="E14" s="638">
        <v>23.3</v>
      </c>
      <c r="F14" s="638">
        <v>23.2</v>
      </c>
      <c r="G14" s="638">
        <v>23.2</v>
      </c>
      <c r="H14" s="638">
        <v>23.2</v>
      </c>
      <c r="I14" s="638">
        <v>23.1</v>
      </c>
      <c r="J14" s="638">
        <v>23.1</v>
      </c>
      <c r="K14" s="638">
        <v>23.1</v>
      </c>
      <c r="L14" s="637">
        <v>23</v>
      </c>
      <c r="M14" s="638">
        <v>23</v>
      </c>
      <c r="N14" s="638">
        <v>23</v>
      </c>
    </row>
    <row r="15" spans="1:14" ht="13" thickBot="1" x14ac:dyDescent="0.3">
      <c r="B15" s="82">
        <v>51</v>
      </c>
      <c r="C15" s="637">
        <v>22.9</v>
      </c>
      <c r="D15" s="638">
        <v>22.9</v>
      </c>
      <c r="E15" s="638">
        <v>22.9</v>
      </c>
      <c r="F15" s="638">
        <v>22.8</v>
      </c>
      <c r="G15" s="638">
        <v>22.8</v>
      </c>
      <c r="H15" s="638">
        <v>22.8</v>
      </c>
      <c r="I15" s="638">
        <v>22.7</v>
      </c>
      <c r="J15" s="638">
        <v>22.7</v>
      </c>
      <c r="K15" s="638">
        <v>22.7</v>
      </c>
      <c r="L15" s="637">
        <v>22.6</v>
      </c>
      <c r="M15" s="638">
        <v>22.6</v>
      </c>
      <c r="N15" s="638">
        <v>22.6</v>
      </c>
    </row>
    <row r="16" spans="1:14" ht="13" thickBot="1" x14ac:dyDescent="0.3">
      <c r="B16" s="82">
        <v>52</v>
      </c>
      <c r="C16" s="637">
        <v>22.5</v>
      </c>
      <c r="D16" s="638">
        <v>22.5</v>
      </c>
      <c r="E16" s="638">
        <v>22.5</v>
      </c>
      <c r="F16" s="638">
        <v>22.4</v>
      </c>
      <c r="G16" s="638">
        <v>22.4</v>
      </c>
      <c r="H16" s="638">
        <v>22.4</v>
      </c>
      <c r="I16" s="638">
        <v>22.3</v>
      </c>
      <c r="J16" s="638">
        <v>22.3</v>
      </c>
      <c r="K16" s="638">
        <v>22.3</v>
      </c>
      <c r="L16" s="637">
        <v>22.2</v>
      </c>
      <c r="M16" s="638">
        <v>22.2</v>
      </c>
      <c r="N16" s="638">
        <v>22.2</v>
      </c>
    </row>
    <row r="17" spans="2:14" ht="13" thickBot="1" x14ac:dyDescent="0.3">
      <c r="B17" s="82">
        <v>53</v>
      </c>
      <c r="C17" s="637">
        <v>22.1</v>
      </c>
      <c r="D17" s="638">
        <v>22.1</v>
      </c>
      <c r="E17" s="638">
        <v>22</v>
      </c>
      <c r="F17" s="638">
        <v>22</v>
      </c>
      <c r="G17" s="638">
        <v>22</v>
      </c>
      <c r="H17" s="638">
        <v>21.9</v>
      </c>
      <c r="I17" s="638">
        <v>21.9</v>
      </c>
      <c r="J17" s="638">
        <v>21.9</v>
      </c>
      <c r="K17" s="638">
        <v>21.8</v>
      </c>
      <c r="L17" s="637">
        <v>21.8</v>
      </c>
      <c r="M17" s="638">
        <v>21.7</v>
      </c>
      <c r="N17" s="638">
        <v>21.7</v>
      </c>
    </row>
    <row r="18" spans="2:14" ht="13" thickBot="1" x14ac:dyDescent="0.3">
      <c r="B18" s="82">
        <v>54</v>
      </c>
      <c r="C18" s="637">
        <v>21.7</v>
      </c>
      <c r="D18" s="638">
        <v>21.6</v>
      </c>
      <c r="E18" s="638">
        <v>21.6</v>
      </c>
      <c r="F18" s="638">
        <v>21.5</v>
      </c>
      <c r="G18" s="638">
        <v>21.5</v>
      </c>
      <c r="H18" s="638">
        <v>21.5</v>
      </c>
      <c r="I18" s="638">
        <v>21.4</v>
      </c>
      <c r="J18" s="638">
        <v>21.4</v>
      </c>
      <c r="K18" s="638">
        <v>21.3</v>
      </c>
      <c r="L18" s="637">
        <v>21.3</v>
      </c>
      <c r="M18" s="638">
        <v>21.3</v>
      </c>
      <c r="N18" s="638">
        <v>21.2</v>
      </c>
    </row>
    <row r="19" spans="2:14" ht="13" thickBot="1" x14ac:dyDescent="0.3">
      <c r="B19" s="82">
        <v>55</v>
      </c>
      <c r="C19" s="637">
        <v>21.2</v>
      </c>
      <c r="D19" s="638">
        <v>21.1</v>
      </c>
      <c r="E19" s="638">
        <v>21.1</v>
      </c>
      <c r="F19" s="638">
        <v>21.1</v>
      </c>
      <c r="G19" s="638">
        <v>21</v>
      </c>
      <c r="H19" s="638">
        <v>21</v>
      </c>
      <c r="I19" s="638">
        <v>20.9</v>
      </c>
      <c r="J19" s="638">
        <v>20.9</v>
      </c>
      <c r="K19" s="638">
        <v>20.9</v>
      </c>
      <c r="L19" s="637">
        <v>20.8</v>
      </c>
      <c r="M19" s="638">
        <v>20.8</v>
      </c>
      <c r="N19" s="638">
        <v>20.7</v>
      </c>
    </row>
    <row r="20" spans="2:14" ht="13" thickBot="1" x14ac:dyDescent="0.3">
      <c r="B20" s="82">
        <v>56</v>
      </c>
      <c r="C20" s="637">
        <v>20.7</v>
      </c>
      <c r="D20" s="638">
        <v>20.7</v>
      </c>
      <c r="E20" s="638">
        <v>20.6</v>
      </c>
      <c r="F20" s="638">
        <v>20.6</v>
      </c>
      <c r="G20" s="638">
        <v>20.5</v>
      </c>
      <c r="H20" s="638">
        <v>20.5</v>
      </c>
      <c r="I20" s="638">
        <v>20.399999999999999</v>
      </c>
      <c r="J20" s="638">
        <v>20.399999999999999</v>
      </c>
      <c r="K20" s="638">
        <v>20.399999999999999</v>
      </c>
      <c r="L20" s="637">
        <v>20.3</v>
      </c>
      <c r="M20" s="638">
        <v>20.3</v>
      </c>
      <c r="N20" s="638">
        <v>20.2</v>
      </c>
    </row>
    <row r="21" spans="2:14" ht="13" thickBot="1" x14ac:dyDescent="0.3">
      <c r="B21" s="82">
        <v>57</v>
      </c>
      <c r="C21" s="637">
        <v>20.2</v>
      </c>
      <c r="D21" s="638">
        <v>20.2</v>
      </c>
      <c r="E21" s="638">
        <v>20.100000000000001</v>
      </c>
      <c r="F21" s="638">
        <v>20.100000000000001</v>
      </c>
      <c r="G21" s="638">
        <v>20</v>
      </c>
      <c r="H21" s="638">
        <v>20</v>
      </c>
      <c r="I21" s="638">
        <v>19.899999999999999</v>
      </c>
      <c r="J21" s="638">
        <v>19.899999999999999</v>
      </c>
      <c r="K21" s="638">
        <v>19.899999999999999</v>
      </c>
      <c r="L21" s="637">
        <v>19.8</v>
      </c>
      <c r="M21" s="638">
        <v>19.8</v>
      </c>
      <c r="N21" s="638">
        <v>19.7</v>
      </c>
    </row>
    <row r="22" spans="2:14" ht="13" thickBot="1" x14ac:dyDescent="0.3">
      <c r="B22" s="82">
        <v>58</v>
      </c>
      <c r="C22" s="637">
        <v>19.7</v>
      </c>
      <c r="D22" s="638">
        <v>19.600000000000001</v>
      </c>
      <c r="E22" s="638">
        <v>19.600000000000001</v>
      </c>
      <c r="F22" s="638">
        <v>19.600000000000001</v>
      </c>
      <c r="G22" s="638">
        <v>19.5</v>
      </c>
      <c r="H22" s="638">
        <v>19.5</v>
      </c>
      <c r="I22" s="638">
        <v>19.399999999999999</v>
      </c>
      <c r="J22" s="638">
        <v>19.399999999999999</v>
      </c>
      <c r="K22" s="638">
        <v>19.3</v>
      </c>
      <c r="L22" s="637">
        <v>19.3</v>
      </c>
      <c r="M22" s="638">
        <v>19.3</v>
      </c>
      <c r="N22" s="638">
        <v>19.2</v>
      </c>
    </row>
    <row r="23" spans="2:14" ht="13" thickBot="1" x14ac:dyDescent="0.3">
      <c r="B23" s="82">
        <v>59</v>
      </c>
      <c r="C23" s="637">
        <v>19.2</v>
      </c>
      <c r="D23" s="638">
        <v>19.100000000000001</v>
      </c>
      <c r="E23" s="638">
        <v>19.100000000000001</v>
      </c>
      <c r="F23" s="638">
        <v>19</v>
      </c>
      <c r="G23" s="638">
        <v>19</v>
      </c>
      <c r="H23" s="638">
        <v>19</v>
      </c>
      <c r="I23" s="638">
        <v>18.899999999999999</v>
      </c>
      <c r="J23" s="638">
        <v>18.899999999999999</v>
      </c>
      <c r="K23" s="638">
        <v>18.8</v>
      </c>
      <c r="L23" s="637">
        <v>18.8</v>
      </c>
      <c r="M23" s="638">
        <v>18.7</v>
      </c>
      <c r="N23" s="638">
        <v>18.7</v>
      </c>
    </row>
    <row r="24" spans="2:14" ht="13" thickBot="1" x14ac:dyDescent="0.3">
      <c r="B24" s="82">
        <v>60</v>
      </c>
      <c r="C24" s="637">
        <v>18.7</v>
      </c>
      <c r="D24" s="638">
        <v>18.600000000000001</v>
      </c>
      <c r="E24" s="638">
        <v>18.600000000000001</v>
      </c>
      <c r="F24" s="638">
        <v>18.5</v>
      </c>
      <c r="G24" s="638">
        <v>18.5</v>
      </c>
      <c r="H24" s="638">
        <v>18.399999999999999</v>
      </c>
      <c r="I24" s="638">
        <v>18.399999999999999</v>
      </c>
      <c r="J24" s="638">
        <v>18.3</v>
      </c>
      <c r="K24" s="638">
        <v>18.3</v>
      </c>
      <c r="L24" s="637">
        <v>18.3</v>
      </c>
      <c r="M24" s="638">
        <v>18.2</v>
      </c>
      <c r="N24" s="638">
        <v>18.2</v>
      </c>
    </row>
    <row r="25" spans="2:14" ht="13" thickBot="1" x14ac:dyDescent="0.3">
      <c r="B25" s="82">
        <v>61</v>
      </c>
      <c r="C25" s="637">
        <v>18.100000000000001</v>
      </c>
      <c r="D25" s="638">
        <v>18.100000000000001</v>
      </c>
      <c r="E25" s="638">
        <v>18</v>
      </c>
      <c r="F25" s="638">
        <v>18</v>
      </c>
      <c r="G25" s="638">
        <v>17.899999999999999</v>
      </c>
      <c r="H25" s="638">
        <v>17.899999999999999</v>
      </c>
      <c r="I25" s="638">
        <v>17.899999999999999</v>
      </c>
      <c r="J25" s="638">
        <v>17.8</v>
      </c>
      <c r="K25" s="638">
        <v>17.8</v>
      </c>
      <c r="L25" s="637">
        <v>17.7</v>
      </c>
      <c r="M25" s="638">
        <v>17.7</v>
      </c>
      <c r="N25" s="638">
        <v>17.600000000000001</v>
      </c>
    </row>
    <row r="26" spans="2:14" ht="13" thickBot="1" x14ac:dyDescent="0.3">
      <c r="B26" s="82">
        <v>62</v>
      </c>
      <c r="C26" s="637">
        <v>17.600000000000001</v>
      </c>
      <c r="D26" s="638">
        <v>17.5</v>
      </c>
      <c r="E26" s="638">
        <v>17.5</v>
      </c>
      <c r="F26" s="638">
        <v>17.5</v>
      </c>
      <c r="G26" s="638">
        <v>17.399999999999999</v>
      </c>
      <c r="H26" s="638">
        <v>17.399999999999999</v>
      </c>
      <c r="I26" s="638">
        <v>17.3</v>
      </c>
      <c r="J26" s="638">
        <v>17.3</v>
      </c>
      <c r="K26" s="638">
        <v>17.2</v>
      </c>
      <c r="L26" s="637">
        <v>17.2</v>
      </c>
      <c r="M26" s="638">
        <v>17.100000000000001</v>
      </c>
      <c r="N26" s="638">
        <v>17.100000000000001</v>
      </c>
    </row>
    <row r="27" spans="2:14" ht="13" thickBot="1" x14ac:dyDescent="0.3">
      <c r="B27" s="82">
        <v>63</v>
      </c>
      <c r="C27" s="637">
        <v>17</v>
      </c>
      <c r="D27" s="638">
        <v>17</v>
      </c>
      <c r="E27" s="638">
        <v>17</v>
      </c>
      <c r="F27" s="638">
        <v>16.899999999999999</v>
      </c>
      <c r="G27" s="638">
        <v>16.899999999999999</v>
      </c>
      <c r="H27" s="638">
        <v>16.8</v>
      </c>
      <c r="I27" s="638">
        <v>16.8</v>
      </c>
      <c r="J27" s="638">
        <v>16.7</v>
      </c>
      <c r="K27" s="638">
        <v>16.7</v>
      </c>
      <c r="L27" s="637">
        <v>16.600000000000001</v>
      </c>
      <c r="M27" s="638">
        <v>16.600000000000001</v>
      </c>
      <c r="N27" s="638">
        <v>16.5</v>
      </c>
    </row>
    <row r="28" spans="2:14" ht="13" thickBot="1" x14ac:dyDescent="0.3">
      <c r="B28" s="82">
        <v>64</v>
      </c>
      <c r="C28" s="637">
        <v>16.5</v>
      </c>
      <c r="D28" s="638">
        <v>16.5</v>
      </c>
      <c r="E28" s="638">
        <v>16.399999999999999</v>
      </c>
      <c r="F28" s="638">
        <v>16.399999999999999</v>
      </c>
      <c r="G28" s="638">
        <v>16.3</v>
      </c>
      <c r="H28" s="638">
        <v>16.3</v>
      </c>
      <c r="I28" s="638">
        <v>16.2</v>
      </c>
      <c r="J28" s="638">
        <v>16.2</v>
      </c>
      <c r="K28" s="638">
        <v>16.100000000000001</v>
      </c>
      <c r="L28" s="637">
        <v>16.100000000000001</v>
      </c>
      <c r="M28" s="638">
        <v>16</v>
      </c>
      <c r="N28" s="638">
        <v>16</v>
      </c>
    </row>
    <row r="29" spans="2:14" ht="13" thickBot="1" x14ac:dyDescent="0.3">
      <c r="B29" s="82">
        <v>65</v>
      </c>
      <c r="C29" s="637">
        <v>16</v>
      </c>
      <c r="D29" s="638">
        <v>15.9</v>
      </c>
      <c r="E29" s="638">
        <v>15.9</v>
      </c>
      <c r="F29" s="638">
        <v>15.8</v>
      </c>
      <c r="G29" s="638">
        <v>15.8</v>
      </c>
      <c r="H29" s="638">
        <v>15.7</v>
      </c>
      <c r="I29" s="638">
        <v>15.7</v>
      </c>
      <c r="J29" s="638">
        <v>15.6</v>
      </c>
      <c r="K29" s="638">
        <v>15.6</v>
      </c>
      <c r="L29" s="637">
        <v>15.5</v>
      </c>
      <c r="M29" s="638">
        <v>15.5</v>
      </c>
      <c r="N29" s="638">
        <v>15.4</v>
      </c>
    </row>
    <row r="30" spans="2:14" ht="13" thickBot="1" x14ac:dyDescent="0.3">
      <c r="B30" s="82">
        <v>66</v>
      </c>
      <c r="C30" s="637">
        <v>15.4</v>
      </c>
      <c r="D30" s="638">
        <v>15.3</v>
      </c>
      <c r="E30" s="638">
        <v>15.3</v>
      </c>
      <c r="F30" s="638">
        <v>15.3</v>
      </c>
      <c r="G30" s="638">
        <v>15.2</v>
      </c>
      <c r="H30" s="638">
        <v>15.2</v>
      </c>
      <c r="I30" s="638">
        <v>15.1</v>
      </c>
      <c r="J30" s="638">
        <v>15.1</v>
      </c>
      <c r="K30" s="638">
        <v>15</v>
      </c>
      <c r="L30" s="637">
        <v>15</v>
      </c>
      <c r="M30" s="638">
        <v>14.9</v>
      </c>
      <c r="N30" s="638">
        <v>14.9</v>
      </c>
    </row>
    <row r="31" spans="2:14" ht="13" thickBot="1" x14ac:dyDescent="0.3">
      <c r="B31" s="82">
        <v>67</v>
      </c>
      <c r="C31" s="637">
        <v>14.8</v>
      </c>
      <c r="D31" s="638">
        <v>14.8</v>
      </c>
      <c r="E31" s="638">
        <v>14.7</v>
      </c>
      <c r="F31" s="638">
        <v>14.7</v>
      </c>
      <c r="G31" s="638">
        <v>14.6</v>
      </c>
      <c r="H31" s="638">
        <v>14.6</v>
      </c>
      <c r="I31" s="638">
        <v>14.6</v>
      </c>
      <c r="J31" s="638">
        <v>14.5</v>
      </c>
      <c r="K31" s="638">
        <v>14.5</v>
      </c>
      <c r="L31" s="637">
        <v>14.4</v>
      </c>
      <c r="M31" s="638">
        <v>14.4</v>
      </c>
      <c r="N31" s="638">
        <v>14.3</v>
      </c>
    </row>
    <row r="32" spans="2:14" ht="13" thickBot="1" x14ac:dyDescent="0.3">
      <c r="B32" s="82">
        <v>68</v>
      </c>
      <c r="C32" s="637">
        <v>14.3</v>
      </c>
      <c r="D32" s="638">
        <v>14.2</v>
      </c>
      <c r="E32" s="638">
        <v>14.2</v>
      </c>
      <c r="F32" s="638">
        <v>14.1</v>
      </c>
      <c r="G32" s="638">
        <v>14.1</v>
      </c>
      <c r="H32" s="638">
        <v>14</v>
      </c>
      <c r="I32" s="638">
        <v>14</v>
      </c>
      <c r="J32" s="638">
        <v>13.9</v>
      </c>
      <c r="K32" s="638">
        <v>13.9</v>
      </c>
      <c r="L32" s="637">
        <v>13.8</v>
      </c>
      <c r="M32" s="638">
        <v>13.8</v>
      </c>
      <c r="N32" s="638">
        <v>13.7</v>
      </c>
    </row>
    <row r="33" spans="2:15" ht="13" thickBot="1" x14ac:dyDescent="0.3">
      <c r="B33" s="82">
        <v>69</v>
      </c>
      <c r="C33" s="637">
        <v>13.7</v>
      </c>
      <c r="D33" s="638">
        <v>13.7</v>
      </c>
      <c r="E33" s="638">
        <v>13.6</v>
      </c>
      <c r="F33" s="638">
        <v>13.6</v>
      </c>
      <c r="G33" s="638">
        <v>13.5</v>
      </c>
      <c r="H33" s="638">
        <v>13.5</v>
      </c>
      <c r="I33" s="638">
        <v>13.4</v>
      </c>
      <c r="J33" s="638">
        <v>13.4</v>
      </c>
      <c r="K33" s="638">
        <v>13.3</v>
      </c>
      <c r="L33" s="637">
        <v>13.3</v>
      </c>
      <c r="M33" s="638">
        <v>13.2</v>
      </c>
      <c r="N33" s="638">
        <v>13.2</v>
      </c>
    </row>
    <row r="34" spans="2:15" ht="13" thickBot="1" x14ac:dyDescent="0.3">
      <c r="B34" s="82">
        <v>70</v>
      </c>
      <c r="C34" s="637">
        <v>13.1</v>
      </c>
      <c r="D34" s="638">
        <v>13.1</v>
      </c>
      <c r="E34" s="638">
        <v>13</v>
      </c>
      <c r="F34" s="638">
        <v>13</v>
      </c>
      <c r="G34" s="638">
        <v>12.9</v>
      </c>
      <c r="H34" s="638">
        <v>12.9</v>
      </c>
      <c r="I34" s="638">
        <v>12.8</v>
      </c>
      <c r="J34" s="638">
        <v>12.8</v>
      </c>
      <c r="K34" s="638">
        <v>12.7</v>
      </c>
      <c r="L34" s="637">
        <v>12.7</v>
      </c>
      <c r="M34" s="638">
        <v>12.7</v>
      </c>
      <c r="N34" s="638">
        <v>12.6</v>
      </c>
    </row>
    <row r="35" spans="2:15" ht="13" thickBot="1" x14ac:dyDescent="0.3">
      <c r="B35" s="82">
        <v>71</v>
      </c>
      <c r="C35" s="637">
        <v>12.6</v>
      </c>
      <c r="D35" s="638">
        <v>12.5</v>
      </c>
      <c r="E35" s="638">
        <v>12.5</v>
      </c>
      <c r="F35" s="638">
        <v>12.4</v>
      </c>
      <c r="G35" s="638">
        <v>12.4</v>
      </c>
      <c r="H35" s="638">
        <v>12.3</v>
      </c>
      <c r="I35" s="638">
        <v>12.3</v>
      </c>
      <c r="J35" s="638">
        <v>12.2</v>
      </c>
      <c r="K35" s="638">
        <v>12.2</v>
      </c>
      <c r="L35" s="637">
        <v>12.1</v>
      </c>
      <c r="M35" s="638">
        <v>12.1</v>
      </c>
      <c r="N35" s="638">
        <v>12</v>
      </c>
    </row>
    <row r="36" spans="2:15" ht="13" thickBot="1" x14ac:dyDescent="0.3">
      <c r="B36" s="82">
        <v>72</v>
      </c>
      <c r="C36" s="637">
        <v>12</v>
      </c>
      <c r="D36" s="638">
        <v>11.9</v>
      </c>
      <c r="E36" s="638">
        <v>11.9</v>
      </c>
      <c r="F36" s="638">
        <v>11.8</v>
      </c>
      <c r="G36" s="638">
        <v>11.8</v>
      </c>
      <c r="H36" s="638">
        <v>11.7</v>
      </c>
      <c r="I36" s="638">
        <v>11.7</v>
      </c>
      <c r="J36" s="638">
        <v>11.7</v>
      </c>
      <c r="K36" s="638">
        <v>11.6</v>
      </c>
      <c r="L36" s="637">
        <v>11.6</v>
      </c>
      <c r="M36" s="638">
        <v>11.5</v>
      </c>
      <c r="N36" s="638">
        <v>11.5</v>
      </c>
    </row>
    <row r="37" spans="2:15" ht="13" thickBot="1" x14ac:dyDescent="0.3">
      <c r="B37" s="82">
        <v>73</v>
      </c>
      <c r="C37" s="637">
        <v>11.4</v>
      </c>
      <c r="D37" s="638">
        <v>11.4</v>
      </c>
      <c r="E37" s="638">
        <v>11.3</v>
      </c>
      <c r="F37" s="638">
        <v>11.3</v>
      </c>
      <c r="G37" s="638">
        <v>11.2</v>
      </c>
      <c r="H37" s="638">
        <v>11.2</v>
      </c>
      <c r="I37" s="638">
        <v>11.1</v>
      </c>
      <c r="J37" s="638">
        <v>11.1</v>
      </c>
      <c r="K37" s="638">
        <v>11</v>
      </c>
      <c r="L37" s="637">
        <v>11</v>
      </c>
      <c r="M37" s="638">
        <v>10.9</v>
      </c>
      <c r="N37" s="638">
        <v>10.9</v>
      </c>
    </row>
    <row r="38" spans="2:15" ht="13" thickBot="1" x14ac:dyDescent="0.3">
      <c r="B38" s="82">
        <v>74</v>
      </c>
      <c r="C38" s="637">
        <v>10.8</v>
      </c>
      <c r="D38" s="638">
        <v>10.8</v>
      </c>
      <c r="E38" s="638">
        <v>10.8</v>
      </c>
      <c r="F38" s="638">
        <v>10.7</v>
      </c>
      <c r="G38" s="638">
        <v>10.7</v>
      </c>
      <c r="H38" s="638">
        <v>10.6</v>
      </c>
      <c r="I38" s="638">
        <v>10.6</v>
      </c>
      <c r="J38" s="638">
        <v>10.5</v>
      </c>
      <c r="K38" s="638">
        <v>10.5</v>
      </c>
      <c r="L38" s="637">
        <v>10.4</v>
      </c>
      <c r="M38" s="638">
        <v>10.4</v>
      </c>
      <c r="N38" s="638">
        <v>10.3</v>
      </c>
    </row>
    <row r="39" spans="2:15" ht="13" thickBot="1" x14ac:dyDescent="0.3">
      <c r="B39" s="82">
        <v>75</v>
      </c>
      <c r="C39" s="637">
        <v>10.3</v>
      </c>
      <c r="D39" s="639"/>
      <c r="E39" s="639"/>
      <c r="F39" s="639"/>
      <c r="G39" s="639"/>
      <c r="H39" s="639"/>
      <c r="I39" s="639"/>
      <c r="J39" s="639"/>
      <c r="K39" s="639"/>
      <c r="L39" s="639"/>
      <c r="M39" s="639"/>
      <c r="N39" s="639"/>
    </row>
    <row r="40" spans="2:15" ht="13" x14ac:dyDescent="0.3">
      <c r="B40" s="1"/>
      <c r="F40" s="370"/>
    </row>
    <row r="41" spans="2:15" x14ac:dyDescent="0.25">
      <c r="H41" s="632" t="s">
        <v>887</v>
      </c>
      <c r="I41" s="631"/>
      <c r="J41" s="631"/>
      <c r="K41" s="631"/>
      <c r="L41" s="540"/>
      <c r="M41" s="540"/>
    </row>
    <row r="42" spans="2:15" ht="13.5" thickBot="1" x14ac:dyDescent="0.35">
      <c r="B42" s="1" t="s">
        <v>535</v>
      </c>
      <c r="H42" s="35" t="s">
        <v>890</v>
      </c>
    </row>
    <row r="43" spans="2:15" ht="13.5" thickBot="1" x14ac:dyDescent="0.3">
      <c r="B43" s="723" t="s">
        <v>265</v>
      </c>
      <c r="C43" s="725" t="s">
        <v>269</v>
      </c>
      <c r="D43" s="726"/>
      <c r="E43" s="726"/>
      <c r="F43" s="726"/>
      <c r="G43" s="726"/>
      <c r="H43" s="726"/>
      <c r="I43" s="726"/>
      <c r="J43" s="726"/>
      <c r="K43" s="726"/>
      <c r="L43" s="726"/>
      <c r="M43" s="726"/>
      <c r="N43" s="727"/>
    </row>
    <row r="44" spans="2:15" ht="13.5" thickBot="1" x14ac:dyDescent="0.3">
      <c r="B44" s="724"/>
      <c r="C44" s="81">
        <v>0</v>
      </c>
      <c r="D44" s="293">
        <v>1</v>
      </c>
      <c r="E44" s="293">
        <v>2</v>
      </c>
      <c r="F44" s="293">
        <v>3</v>
      </c>
      <c r="G44" s="293">
        <v>4</v>
      </c>
      <c r="H44" s="293">
        <v>5</v>
      </c>
      <c r="I44" s="293">
        <v>6</v>
      </c>
      <c r="J44" s="293">
        <v>7</v>
      </c>
      <c r="K44" s="293">
        <v>8</v>
      </c>
      <c r="L44" s="293">
        <v>9</v>
      </c>
      <c r="M44" s="293">
        <v>10</v>
      </c>
      <c r="N44" s="293">
        <v>11</v>
      </c>
    </row>
    <row r="45" spans="2:15" ht="13" thickBot="1" x14ac:dyDescent="0.3">
      <c r="B45" s="643" t="s">
        <v>533</v>
      </c>
      <c r="C45" s="640">
        <v>24</v>
      </c>
      <c r="D45" s="641"/>
      <c r="E45" s="642"/>
      <c r="F45" s="642"/>
      <c r="G45" s="642"/>
      <c r="H45" s="642"/>
      <c r="I45" s="642"/>
      <c r="J45" s="642"/>
      <c r="K45" s="642"/>
      <c r="L45" s="642"/>
      <c r="M45" s="642"/>
      <c r="N45" s="644"/>
      <c r="O45" s="629"/>
    </row>
    <row r="46" spans="2:15" ht="13" thickBot="1" x14ac:dyDescent="0.3">
      <c r="B46" s="643">
        <v>50</v>
      </c>
      <c r="C46" s="640">
        <v>24</v>
      </c>
      <c r="D46" s="645">
        <v>23.9</v>
      </c>
      <c r="E46" s="645">
        <v>23.9</v>
      </c>
      <c r="F46" s="645">
        <v>23.9</v>
      </c>
      <c r="G46" s="645">
        <v>23.8</v>
      </c>
      <c r="H46" s="645">
        <v>23.8</v>
      </c>
      <c r="I46" s="645">
        <v>23.8</v>
      </c>
      <c r="J46" s="645">
        <v>23.7</v>
      </c>
      <c r="K46" s="645">
        <v>23.7</v>
      </c>
      <c r="L46" s="640">
        <v>23.7</v>
      </c>
      <c r="M46" s="645">
        <v>23.6</v>
      </c>
      <c r="N46" s="645">
        <v>23.6</v>
      </c>
      <c r="O46" s="629"/>
    </row>
    <row r="47" spans="2:15" ht="13" thickBot="1" x14ac:dyDescent="0.3">
      <c r="B47" s="643">
        <v>51</v>
      </c>
      <c r="C47" s="640">
        <v>23.6</v>
      </c>
      <c r="D47" s="645">
        <v>23.6</v>
      </c>
      <c r="E47" s="645">
        <v>23.5</v>
      </c>
      <c r="F47" s="645">
        <v>23.5</v>
      </c>
      <c r="G47" s="645">
        <v>23.5</v>
      </c>
      <c r="H47" s="645">
        <v>23.4</v>
      </c>
      <c r="I47" s="645">
        <v>23.4</v>
      </c>
      <c r="J47" s="645">
        <v>23.4</v>
      </c>
      <c r="K47" s="645">
        <v>23.3</v>
      </c>
      <c r="L47" s="640">
        <v>23.3</v>
      </c>
      <c r="M47" s="645">
        <v>23.3</v>
      </c>
      <c r="N47" s="645">
        <v>23.2</v>
      </c>
      <c r="O47" s="629"/>
    </row>
    <row r="48" spans="2:15" ht="13" thickBot="1" x14ac:dyDescent="0.3">
      <c r="B48" s="643">
        <v>52</v>
      </c>
      <c r="C48" s="640">
        <v>23.2</v>
      </c>
      <c r="D48" s="645">
        <v>23.2</v>
      </c>
      <c r="E48" s="645">
        <v>23.1</v>
      </c>
      <c r="F48" s="645">
        <v>23.1</v>
      </c>
      <c r="G48" s="645">
        <v>23.1</v>
      </c>
      <c r="H48" s="645">
        <v>23</v>
      </c>
      <c r="I48" s="645">
        <v>23</v>
      </c>
      <c r="J48" s="645">
        <v>23</v>
      </c>
      <c r="K48" s="645">
        <v>22.9</v>
      </c>
      <c r="L48" s="640">
        <v>22.9</v>
      </c>
      <c r="M48" s="645">
        <v>22.9</v>
      </c>
      <c r="N48" s="645">
        <v>22.8</v>
      </c>
      <c r="O48" s="629"/>
    </row>
    <row r="49" spans="2:14" ht="13" thickBot="1" x14ac:dyDescent="0.3">
      <c r="B49" s="643">
        <v>53</v>
      </c>
      <c r="C49" s="640">
        <v>22.8</v>
      </c>
      <c r="D49" s="645">
        <v>22.7</v>
      </c>
      <c r="E49" s="645">
        <v>22.7</v>
      </c>
      <c r="F49" s="645">
        <v>22.7</v>
      </c>
      <c r="G49" s="645">
        <v>22.6</v>
      </c>
      <c r="H49" s="645">
        <v>22.6</v>
      </c>
      <c r="I49" s="645">
        <v>22.6</v>
      </c>
      <c r="J49" s="645">
        <v>22.5</v>
      </c>
      <c r="K49" s="645">
        <v>22.5</v>
      </c>
      <c r="L49" s="640">
        <v>22.5</v>
      </c>
      <c r="M49" s="645">
        <v>22.4</v>
      </c>
      <c r="N49" s="645">
        <v>22.4</v>
      </c>
    </row>
    <row r="50" spans="2:14" ht="13" thickBot="1" x14ac:dyDescent="0.3">
      <c r="B50" s="643">
        <v>54</v>
      </c>
      <c r="C50" s="640">
        <v>22.3</v>
      </c>
      <c r="D50" s="645">
        <v>22.3</v>
      </c>
      <c r="E50" s="645">
        <v>22.3</v>
      </c>
      <c r="F50" s="645">
        <v>22.2</v>
      </c>
      <c r="G50" s="645">
        <v>22.2</v>
      </c>
      <c r="H50" s="645">
        <v>22.2</v>
      </c>
      <c r="I50" s="645">
        <v>22.1</v>
      </c>
      <c r="J50" s="645">
        <v>22.1</v>
      </c>
      <c r="K50" s="645">
        <v>22</v>
      </c>
      <c r="L50" s="640">
        <v>22</v>
      </c>
      <c r="M50" s="645">
        <v>22</v>
      </c>
      <c r="N50" s="645">
        <v>21.9</v>
      </c>
    </row>
    <row r="51" spans="2:14" ht="13" thickBot="1" x14ac:dyDescent="0.3">
      <c r="B51" s="643">
        <v>55</v>
      </c>
      <c r="C51" s="640">
        <v>21.9</v>
      </c>
      <c r="D51" s="645">
        <v>21.8</v>
      </c>
      <c r="E51" s="645">
        <v>21.8</v>
      </c>
      <c r="F51" s="645">
        <v>21.8</v>
      </c>
      <c r="G51" s="645">
        <v>21.7</v>
      </c>
      <c r="H51" s="645">
        <v>21.7</v>
      </c>
      <c r="I51" s="645">
        <v>21.6</v>
      </c>
      <c r="J51" s="645">
        <v>21.6</v>
      </c>
      <c r="K51" s="645">
        <v>21.6</v>
      </c>
      <c r="L51" s="640">
        <v>21.5</v>
      </c>
      <c r="M51" s="645">
        <v>21.5</v>
      </c>
      <c r="N51" s="645">
        <v>21.4</v>
      </c>
    </row>
    <row r="52" spans="2:14" ht="13" thickBot="1" x14ac:dyDescent="0.3">
      <c r="B52" s="643">
        <v>56</v>
      </c>
      <c r="C52" s="640">
        <v>21.4</v>
      </c>
      <c r="D52" s="645">
        <v>21.4</v>
      </c>
      <c r="E52" s="645">
        <v>21.3</v>
      </c>
      <c r="F52" s="645">
        <v>21.3</v>
      </c>
      <c r="G52" s="645">
        <v>21.2</v>
      </c>
      <c r="H52" s="645">
        <v>21.2</v>
      </c>
      <c r="I52" s="645">
        <v>21.1</v>
      </c>
      <c r="J52" s="645">
        <v>21.1</v>
      </c>
      <c r="K52" s="645">
        <v>21.1</v>
      </c>
      <c r="L52" s="640">
        <v>21</v>
      </c>
      <c r="M52" s="645">
        <v>21</v>
      </c>
      <c r="N52" s="645">
        <v>20.9</v>
      </c>
    </row>
    <row r="53" spans="2:14" ht="13" thickBot="1" x14ac:dyDescent="0.3">
      <c r="B53" s="643">
        <v>57</v>
      </c>
      <c r="C53" s="640">
        <v>20.9</v>
      </c>
      <c r="D53" s="645">
        <v>20.9</v>
      </c>
      <c r="E53" s="645">
        <v>20.8</v>
      </c>
      <c r="F53" s="645">
        <v>20.8</v>
      </c>
      <c r="G53" s="645">
        <v>20.7</v>
      </c>
      <c r="H53" s="645">
        <v>20.7</v>
      </c>
      <c r="I53" s="645">
        <v>20.7</v>
      </c>
      <c r="J53" s="645">
        <v>20.6</v>
      </c>
      <c r="K53" s="645">
        <v>20.6</v>
      </c>
      <c r="L53" s="640">
        <v>20.5</v>
      </c>
      <c r="M53" s="645">
        <v>20.5</v>
      </c>
      <c r="N53" s="645">
        <v>20.399999999999999</v>
      </c>
    </row>
    <row r="54" spans="2:14" ht="13" thickBot="1" x14ac:dyDescent="0.3">
      <c r="B54" s="643">
        <v>58</v>
      </c>
      <c r="C54" s="640">
        <v>20.399999999999999</v>
      </c>
      <c r="D54" s="645">
        <v>20.399999999999999</v>
      </c>
      <c r="E54" s="645">
        <v>20.3</v>
      </c>
      <c r="F54" s="645">
        <v>20.3</v>
      </c>
      <c r="G54" s="645">
        <v>20.2</v>
      </c>
      <c r="H54" s="645">
        <v>20.2</v>
      </c>
      <c r="I54" s="645">
        <v>20.2</v>
      </c>
      <c r="J54" s="645">
        <v>20.100000000000001</v>
      </c>
      <c r="K54" s="645">
        <v>20.100000000000001</v>
      </c>
      <c r="L54" s="640">
        <v>20</v>
      </c>
      <c r="M54" s="645">
        <v>20</v>
      </c>
      <c r="N54" s="645">
        <v>19.899999999999999</v>
      </c>
    </row>
    <row r="55" spans="2:14" ht="13" thickBot="1" x14ac:dyDescent="0.3">
      <c r="B55" s="643">
        <v>59</v>
      </c>
      <c r="C55" s="640">
        <v>19.899999999999999</v>
      </c>
      <c r="D55" s="645">
        <v>19.899999999999999</v>
      </c>
      <c r="E55" s="645">
        <v>19.8</v>
      </c>
      <c r="F55" s="645">
        <v>19.8</v>
      </c>
      <c r="G55" s="645">
        <v>19.7</v>
      </c>
      <c r="H55" s="645">
        <v>19.7</v>
      </c>
      <c r="I55" s="645">
        <v>19.600000000000001</v>
      </c>
      <c r="J55" s="645">
        <v>19.600000000000001</v>
      </c>
      <c r="K55" s="645">
        <v>19.600000000000001</v>
      </c>
      <c r="L55" s="640">
        <v>19.5</v>
      </c>
      <c r="M55" s="645">
        <v>19.5</v>
      </c>
      <c r="N55" s="645">
        <v>19.399999999999999</v>
      </c>
    </row>
    <row r="56" spans="2:14" ht="13" thickBot="1" x14ac:dyDescent="0.3">
      <c r="B56" s="643">
        <v>60</v>
      </c>
      <c r="C56" s="640">
        <v>19.399999999999999</v>
      </c>
      <c r="D56" s="645">
        <v>19.3</v>
      </c>
      <c r="E56" s="645">
        <v>19.3</v>
      </c>
      <c r="F56" s="645">
        <v>19.3</v>
      </c>
      <c r="G56" s="645">
        <v>19.2</v>
      </c>
      <c r="H56" s="645">
        <v>19.2</v>
      </c>
      <c r="I56" s="645">
        <v>19.100000000000001</v>
      </c>
      <c r="J56" s="645">
        <v>19.100000000000001</v>
      </c>
      <c r="K56" s="645">
        <v>19</v>
      </c>
      <c r="L56" s="640">
        <v>19</v>
      </c>
      <c r="M56" s="645">
        <v>19</v>
      </c>
      <c r="N56" s="645">
        <v>18.899999999999999</v>
      </c>
    </row>
    <row r="57" spans="2:14" ht="13" thickBot="1" x14ac:dyDescent="0.3">
      <c r="B57" s="643">
        <v>61</v>
      </c>
      <c r="C57" s="640">
        <v>18.899999999999999</v>
      </c>
      <c r="D57" s="645">
        <v>18.8</v>
      </c>
      <c r="E57" s="645">
        <v>18.8</v>
      </c>
      <c r="F57" s="645">
        <v>18.7</v>
      </c>
      <c r="G57" s="645">
        <v>18.7</v>
      </c>
      <c r="H57" s="645">
        <v>18.600000000000001</v>
      </c>
      <c r="I57" s="645">
        <v>18.600000000000001</v>
      </c>
      <c r="J57" s="645">
        <v>18.600000000000001</v>
      </c>
      <c r="K57" s="645">
        <v>18.5</v>
      </c>
      <c r="L57" s="640">
        <v>18.5</v>
      </c>
      <c r="M57" s="645">
        <v>18.399999999999999</v>
      </c>
      <c r="N57" s="645">
        <v>18.399999999999999</v>
      </c>
    </row>
    <row r="58" spans="2:14" ht="13" thickBot="1" x14ac:dyDescent="0.3">
      <c r="B58" s="643">
        <v>62</v>
      </c>
      <c r="C58" s="640">
        <v>18.3</v>
      </c>
      <c r="D58" s="645">
        <v>18.3</v>
      </c>
      <c r="E58" s="645">
        <v>18.2</v>
      </c>
      <c r="F58" s="645">
        <v>18.2</v>
      </c>
      <c r="G58" s="645">
        <v>18.2</v>
      </c>
      <c r="H58" s="645">
        <v>18.100000000000001</v>
      </c>
      <c r="I58" s="645">
        <v>18.100000000000001</v>
      </c>
      <c r="J58" s="645">
        <v>18</v>
      </c>
      <c r="K58" s="645">
        <v>18</v>
      </c>
      <c r="L58" s="640">
        <v>17.899999999999999</v>
      </c>
      <c r="M58" s="645">
        <v>17.899999999999999</v>
      </c>
      <c r="N58" s="645">
        <v>17.8</v>
      </c>
    </row>
    <row r="59" spans="2:14" ht="13" thickBot="1" x14ac:dyDescent="0.3">
      <c r="B59" s="643">
        <v>63</v>
      </c>
      <c r="C59" s="640">
        <v>17.8</v>
      </c>
      <c r="D59" s="645">
        <v>17.8</v>
      </c>
      <c r="E59" s="645">
        <v>17.7</v>
      </c>
      <c r="F59" s="645">
        <v>17.7</v>
      </c>
      <c r="G59" s="645">
        <v>17.600000000000001</v>
      </c>
      <c r="H59" s="645">
        <v>17.600000000000001</v>
      </c>
      <c r="I59" s="645">
        <v>17.5</v>
      </c>
      <c r="J59" s="645">
        <v>17.5</v>
      </c>
      <c r="K59" s="645">
        <v>17.399999999999999</v>
      </c>
      <c r="L59" s="640">
        <v>17.399999999999999</v>
      </c>
      <c r="M59" s="645">
        <v>17.399999999999999</v>
      </c>
      <c r="N59" s="645">
        <v>17.3</v>
      </c>
    </row>
    <row r="60" spans="2:14" ht="13" thickBot="1" x14ac:dyDescent="0.3">
      <c r="B60" s="643">
        <v>64</v>
      </c>
      <c r="C60" s="640">
        <v>17.3</v>
      </c>
      <c r="D60" s="645">
        <v>17.2</v>
      </c>
      <c r="E60" s="645">
        <v>17.2</v>
      </c>
      <c r="F60" s="645">
        <v>17.100000000000001</v>
      </c>
      <c r="G60" s="645">
        <v>17.100000000000001</v>
      </c>
      <c r="H60" s="645">
        <v>17</v>
      </c>
      <c r="I60" s="645">
        <v>17</v>
      </c>
      <c r="J60" s="645">
        <v>16.899999999999999</v>
      </c>
      <c r="K60" s="645">
        <v>16.899999999999999</v>
      </c>
      <c r="L60" s="640">
        <v>16.899999999999999</v>
      </c>
      <c r="M60" s="645">
        <v>16.8</v>
      </c>
      <c r="N60" s="645">
        <v>16.8</v>
      </c>
    </row>
    <row r="61" spans="2:14" ht="13" thickBot="1" x14ac:dyDescent="0.3">
      <c r="B61" s="643">
        <v>65</v>
      </c>
      <c r="C61" s="640">
        <v>16.7</v>
      </c>
      <c r="D61" s="645">
        <v>16.7</v>
      </c>
      <c r="E61" s="645">
        <v>16.600000000000001</v>
      </c>
      <c r="F61" s="645">
        <v>16.600000000000001</v>
      </c>
      <c r="G61" s="645">
        <v>16.5</v>
      </c>
      <c r="H61" s="645">
        <v>16.5</v>
      </c>
      <c r="I61" s="645">
        <v>16.399999999999999</v>
      </c>
      <c r="J61" s="645">
        <v>16.399999999999999</v>
      </c>
      <c r="K61" s="645">
        <v>16.3</v>
      </c>
      <c r="L61" s="640">
        <v>16.3</v>
      </c>
      <c r="M61" s="645">
        <v>16.3</v>
      </c>
      <c r="N61" s="645">
        <v>16.2</v>
      </c>
    </row>
    <row r="62" spans="2:14" ht="13" thickBot="1" x14ac:dyDescent="0.3">
      <c r="B62" s="643">
        <v>66</v>
      </c>
      <c r="C62" s="640">
        <v>16.2</v>
      </c>
      <c r="D62" s="645">
        <v>16.100000000000001</v>
      </c>
      <c r="E62" s="645">
        <v>16.100000000000001</v>
      </c>
      <c r="F62" s="645">
        <v>16</v>
      </c>
      <c r="G62" s="645">
        <v>16</v>
      </c>
      <c r="H62" s="645">
        <v>15.9</v>
      </c>
      <c r="I62" s="645">
        <v>15.9</v>
      </c>
      <c r="J62" s="645">
        <v>15.8</v>
      </c>
      <c r="K62" s="645">
        <v>15.8</v>
      </c>
      <c r="L62" s="640">
        <v>15.7</v>
      </c>
      <c r="M62" s="645">
        <v>15.7</v>
      </c>
      <c r="N62" s="645">
        <v>15.7</v>
      </c>
    </row>
    <row r="63" spans="2:14" ht="13" thickBot="1" x14ac:dyDescent="0.3">
      <c r="B63" s="643">
        <v>67</v>
      </c>
      <c r="C63" s="640">
        <v>15.6</v>
      </c>
      <c r="D63" s="645">
        <v>15.6</v>
      </c>
      <c r="E63" s="645">
        <v>15.5</v>
      </c>
      <c r="F63" s="645">
        <v>15.5</v>
      </c>
      <c r="G63" s="645">
        <v>15.4</v>
      </c>
      <c r="H63" s="645">
        <v>15.4</v>
      </c>
      <c r="I63" s="645">
        <v>15.3</v>
      </c>
      <c r="J63" s="645">
        <v>15.3</v>
      </c>
      <c r="K63" s="645">
        <v>15.2</v>
      </c>
      <c r="L63" s="640">
        <v>15.2</v>
      </c>
      <c r="M63" s="645">
        <v>15.1</v>
      </c>
      <c r="N63" s="645">
        <v>15.1</v>
      </c>
    </row>
    <row r="64" spans="2:14" ht="13" thickBot="1" x14ac:dyDescent="0.3">
      <c r="B64" s="643">
        <v>68</v>
      </c>
      <c r="C64" s="640">
        <v>15</v>
      </c>
      <c r="D64" s="645">
        <v>15</v>
      </c>
      <c r="E64" s="645">
        <v>14.9</v>
      </c>
      <c r="F64" s="645">
        <v>14.9</v>
      </c>
      <c r="G64" s="645">
        <v>14.9</v>
      </c>
      <c r="H64" s="645">
        <v>14.8</v>
      </c>
      <c r="I64" s="645">
        <v>14.8</v>
      </c>
      <c r="J64" s="645">
        <v>14.7</v>
      </c>
      <c r="K64" s="645">
        <v>14.7</v>
      </c>
      <c r="L64" s="640">
        <v>14.6</v>
      </c>
      <c r="M64" s="645">
        <v>14.6</v>
      </c>
      <c r="N64" s="645">
        <v>14.5</v>
      </c>
    </row>
    <row r="65" spans="2:14" ht="13" thickBot="1" x14ac:dyDescent="0.3">
      <c r="B65" s="643">
        <v>69</v>
      </c>
      <c r="C65" s="640">
        <v>14.5</v>
      </c>
      <c r="D65" s="645">
        <v>14.4</v>
      </c>
      <c r="E65" s="645">
        <v>14.4</v>
      </c>
      <c r="F65" s="645">
        <v>14.3</v>
      </c>
      <c r="G65" s="645">
        <v>14.3</v>
      </c>
      <c r="H65" s="645">
        <v>14.2</v>
      </c>
      <c r="I65" s="645">
        <v>14.2</v>
      </c>
      <c r="J65" s="645">
        <v>14.1</v>
      </c>
      <c r="K65" s="645">
        <v>14.1</v>
      </c>
      <c r="L65" s="640">
        <v>14</v>
      </c>
      <c r="M65" s="645">
        <v>14</v>
      </c>
      <c r="N65" s="645">
        <v>14</v>
      </c>
    </row>
    <row r="66" spans="2:14" ht="13" thickBot="1" x14ac:dyDescent="0.3">
      <c r="B66" s="643">
        <v>70</v>
      </c>
      <c r="C66" s="640">
        <v>13.9</v>
      </c>
      <c r="D66" s="645">
        <v>13.9</v>
      </c>
      <c r="E66" s="645">
        <v>13.8</v>
      </c>
      <c r="F66" s="645">
        <v>13.8</v>
      </c>
      <c r="G66" s="645">
        <v>13.7</v>
      </c>
      <c r="H66" s="645">
        <v>13.7</v>
      </c>
      <c r="I66" s="645">
        <v>13.6</v>
      </c>
      <c r="J66" s="645">
        <v>13.6</v>
      </c>
      <c r="K66" s="645">
        <v>13.5</v>
      </c>
      <c r="L66" s="640">
        <v>13.5</v>
      </c>
      <c r="M66" s="645">
        <v>13.4</v>
      </c>
      <c r="N66" s="645">
        <v>13.4</v>
      </c>
    </row>
    <row r="67" spans="2:14" ht="13" thickBot="1" x14ac:dyDescent="0.3">
      <c r="B67" s="643">
        <v>71</v>
      </c>
      <c r="C67" s="640">
        <v>13.3</v>
      </c>
      <c r="D67" s="645">
        <v>13.3</v>
      </c>
      <c r="E67" s="645">
        <v>13.2</v>
      </c>
      <c r="F67" s="645">
        <v>13.2</v>
      </c>
      <c r="G67" s="645">
        <v>13.1</v>
      </c>
      <c r="H67" s="645">
        <v>13.1</v>
      </c>
      <c r="I67" s="645">
        <v>13</v>
      </c>
      <c r="J67" s="645">
        <v>13</v>
      </c>
      <c r="K67" s="645">
        <v>13</v>
      </c>
      <c r="L67" s="640">
        <v>12.9</v>
      </c>
      <c r="M67" s="645">
        <v>12.9</v>
      </c>
      <c r="N67" s="645">
        <v>12.8</v>
      </c>
    </row>
    <row r="68" spans="2:14" ht="13" thickBot="1" x14ac:dyDescent="0.3">
      <c r="B68" s="643">
        <v>72</v>
      </c>
      <c r="C68" s="640">
        <v>12.8</v>
      </c>
      <c r="D68" s="645">
        <v>12.7</v>
      </c>
      <c r="E68" s="645">
        <v>12.7</v>
      </c>
      <c r="F68" s="645">
        <v>12.6</v>
      </c>
      <c r="G68" s="645">
        <v>12.6</v>
      </c>
      <c r="H68" s="645">
        <v>12.5</v>
      </c>
      <c r="I68" s="645">
        <v>12.5</v>
      </c>
      <c r="J68" s="645">
        <v>12.4</v>
      </c>
      <c r="K68" s="645">
        <v>12.4</v>
      </c>
      <c r="L68" s="640">
        <v>12.3</v>
      </c>
      <c r="M68" s="645">
        <v>12.3</v>
      </c>
      <c r="N68" s="645">
        <v>12.2</v>
      </c>
    </row>
    <row r="69" spans="2:14" ht="13" thickBot="1" x14ac:dyDescent="0.3">
      <c r="B69" s="643">
        <v>73</v>
      </c>
      <c r="C69" s="640">
        <v>12.2</v>
      </c>
      <c r="D69" s="645">
        <v>12.1</v>
      </c>
      <c r="E69" s="645">
        <v>12.1</v>
      </c>
      <c r="F69" s="645">
        <v>12</v>
      </c>
      <c r="G69" s="645">
        <v>12</v>
      </c>
      <c r="H69" s="645">
        <v>11.9</v>
      </c>
      <c r="I69" s="645">
        <v>11.9</v>
      </c>
      <c r="J69" s="645">
        <v>11.8</v>
      </c>
      <c r="K69" s="645">
        <v>11.8</v>
      </c>
      <c r="L69" s="640">
        <v>11.8</v>
      </c>
      <c r="M69" s="645">
        <v>11.7</v>
      </c>
      <c r="N69" s="645">
        <v>11.7</v>
      </c>
    </row>
    <row r="70" spans="2:14" ht="13" thickBot="1" x14ac:dyDescent="0.3">
      <c r="B70" s="643">
        <v>74</v>
      </c>
      <c r="C70" s="640">
        <v>11.6</v>
      </c>
      <c r="D70" s="645">
        <v>11.6</v>
      </c>
      <c r="E70" s="645">
        <v>11.5</v>
      </c>
      <c r="F70" s="645">
        <v>11.5</v>
      </c>
      <c r="G70" s="645">
        <v>11.4</v>
      </c>
      <c r="H70" s="645">
        <v>11.4</v>
      </c>
      <c r="I70" s="645">
        <v>11.3</v>
      </c>
      <c r="J70" s="645">
        <v>11.3</v>
      </c>
      <c r="K70" s="645">
        <v>11.2</v>
      </c>
      <c r="L70" s="640">
        <v>11.2</v>
      </c>
      <c r="M70" s="645">
        <v>11.1</v>
      </c>
      <c r="N70" s="645">
        <v>11.1</v>
      </c>
    </row>
    <row r="71" spans="2:14" ht="13" thickBot="1" x14ac:dyDescent="0.3">
      <c r="B71" s="643">
        <v>75</v>
      </c>
      <c r="C71" s="640">
        <v>11</v>
      </c>
      <c r="D71" s="646"/>
      <c r="E71" s="646"/>
      <c r="F71" s="646"/>
      <c r="G71" s="646"/>
      <c r="H71" s="646"/>
      <c r="I71" s="646"/>
      <c r="J71" s="646"/>
      <c r="K71" s="646"/>
      <c r="L71" s="646"/>
      <c r="M71" s="646"/>
      <c r="N71" s="646"/>
    </row>
  </sheetData>
  <mergeCells count="4">
    <mergeCell ref="B11:B12"/>
    <mergeCell ref="C11:N11"/>
    <mergeCell ref="B43:B44"/>
    <mergeCell ref="C43:N43"/>
  </mergeCells>
  <hyperlinks>
    <hyperlink ref="H42" r:id="rId1"/>
    <hyperlink ref="H10" r:id="rId2"/>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84</vt:i4>
      </vt:variant>
    </vt:vector>
  </HeadingPairs>
  <TitlesOfParts>
    <vt:vector size="100" baseType="lpstr">
      <vt:lpstr>Cover</vt:lpstr>
      <vt:lpstr>AnnGenHiddenLists</vt:lpstr>
      <vt:lpstr>Version control</vt:lpstr>
      <vt:lpstr>Guidance Notes</vt:lpstr>
      <vt:lpstr>Calculator</vt:lpstr>
      <vt:lpstr>Printable Estimate</vt:lpstr>
      <vt:lpstr>Parameters</vt:lpstr>
      <vt:lpstr>Tapers</vt:lpstr>
      <vt:lpstr>Commutation Factors</vt:lpstr>
      <vt:lpstr>ERF and LRF</vt:lpstr>
      <vt:lpstr>FPS and NFPS calcs</vt:lpstr>
      <vt:lpstr>Past Service CARE Calcs</vt:lpstr>
      <vt:lpstr>CARE calcs</vt:lpstr>
      <vt:lpstr>CARE calcs ABS</vt:lpstr>
      <vt:lpstr>Lump Sum</vt:lpstr>
      <vt:lpstr>Summary</vt:lpstr>
      <vt:lpstr>ABSEndDate</vt:lpstr>
      <vt:lpstr>ABSEndDate1</vt:lpstr>
      <vt:lpstr>Acc_CARE</vt:lpstr>
      <vt:lpstr>Acc_FPS</vt:lpstr>
      <vt:lpstr>Acc_NFPS</vt:lpstr>
      <vt:lpstr>age_exact</vt:lpstr>
      <vt:lpstr>age_lbd</vt:lpstr>
      <vt:lpstr>BaseTablesList</vt:lpstr>
      <vt:lpstr>basis1</vt:lpstr>
      <vt:lpstr>basis2</vt:lpstr>
      <vt:lpstr>basis3</vt:lpstr>
      <vt:lpstr>CARE_ERFs</vt:lpstr>
      <vt:lpstr>CARE_LRF</vt:lpstr>
      <vt:lpstr>care_rev</vt:lpstr>
      <vt:lpstr>CareComm</vt:lpstr>
      <vt:lpstr>ChosenRA</vt:lpstr>
      <vt:lpstr>Class_Select</vt:lpstr>
      <vt:lpstr>Classification_Key</vt:lpstr>
      <vt:lpstr>Comm_92_E</vt:lpstr>
      <vt:lpstr>Comm_92_S</vt:lpstr>
      <vt:lpstr>Comm_Factor</vt:lpstr>
      <vt:lpstr>cpi</vt:lpstr>
      <vt:lpstr>cpi_1</vt:lpstr>
      <vt:lpstr>cpi_2</vt:lpstr>
      <vt:lpstr>cpi_3</vt:lpstr>
      <vt:lpstr>CurrentSal</vt:lpstr>
      <vt:lpstr>CurrentScheme</vt:lpstr>
      <vt:lpstr>Date_curr</vt:lpstr>
      <vt:lpstr>date55</vt:lpstr>
      <vt:lpstr>date60</vt:lpstr>
      <vt:lpstr>DefDec</vt:lpstr>
      <vt:lpstr>Descriptor_Key</vt:lpstr>
      <vt:lpstr>Descriptor_Select</vt:lpstr>
      <vt:lpstr>DJS</vt:lpstr>
      <vt:lpstr>DJS_Adj</vt:lpstr>
      <vt:lpstr>DoB</vt:lpstr>
      <vt:lpstr>DoProtEnd</vt:lpstr>
      <vt:lpstr>DoR</vt:lpstr>
      <vt:lpstr>DoStartSchYear</vt:lpstr>
      <vt:lpstr>DoUnderpin</vt:lpstr>
      <vt:lpstr>DoY</vt:lpstr>
      <vt:lpstr>Form_Check</vt:lpstr>
      <vt:lpstr>FPSmax</vt:lpstr>
      <vt:lpstr>future_PTP</vt:lpstr>
      <vt:lpstr>Hide_range</vt:lpstr>
      <vt:lpstr>ImprovementsList</vt:lpstr>
      <vt:lpstr>Name_member</vt:lpstr>
      <vt:lpstr>NewSchDate</vt:lpstr>
      <vt:lpstr>NFPS_Comm</vt:lpstr>
      <vt:lpstr>NFPS_ERFs</vt:lpstr>
      <vt:lpstr>NFPSmax</vt:lpstr>
      <vt:lpstr>NFPSstart</vt:lpstr>
      <vt:lpstr>NonUplifted</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Reckonable_service</vt:lpstr>
      <vt:lpstr>sch</vt:lpstr>
      <vt:lpstr>sch_1</vt:lpstr>
      <vt:lpstr>sch_2</vt:lpstr>
      <vt:lpstr>Sch_FPS</vt:lpstr>
      <vt:lpstr>Sch_NFPS</vt:lpstr>
      <vt:lpstr>Scheme_Full</vt:lpstr>
      <vt:lpstr>tapertab1</vt:lpstr>
      <vt:lpstr>tapertab2</vt:lpstr>
      <vt:lpstr>tapertab3</vt:lpstr>
      <vt:lpstr>tapertab4</vt:lpstr>
      <vt:lpstr>tapertab5</vt:lpstr>
      <vt:lpstr>title</vt:lpstr>
      <vt:lpstr>TVinDays</vt:lpstr>
      <vt:lpstr>TVinYears</vt:lpstr>
      <vt:lpstr>Uplift_factors</vt:lpstr>
      <vt:lpstr>Uplift_Headers</vt:lpstr>
      <vt:lpstr>ValidSchemes</vt:lpstr>
      <vt:lpstr>VRA</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u418711</cp:lastModifiedBy>
  <cp:lastPrinted>2017-03-07T15:52:51Z</cp:lastPrinted>
  <dcterms:created xsi:type="dcterms:W3CDTF">2007-01-30T12:07:56Z</dcterms:created>
  <dcterms:modified xsi:type="dcterms:W3CDTF">2021-01-18T09:23:42Z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