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ocument Archive\Calculators\"/>
    </mc:Choice>
  </mc:AlternateContent>
  <workbookProtection workbookPassword="B0BE" lockStructure="1"/>
  <bookViews>
    <workbookView xWindow="0" yWindow="0" windowWidth="23040" windowHeight="8820" firstSheet="2" activeTab="2"/>
  </bookViews>
  <sheets>
    <sheet name="Cover" sheetId="1" state="hidden" r:id="rId1"/>
    <sheet name="Version control" sheetId="4" state="hidden" r:id="rId2"/>
    <sheet name="Calculator" sheetId="50" r:id="rId3"/>
    <sheet name="Guidance Notes" sheetId="65" r:id="rId4"/>
    <sheet name="Printable Estimate" sheetId="71" r:id="rId5"/>
    <sheet name="Nominal results" sheetId="64" state="hidden" r:id="rId6"/>
    <sheet name="Parameters" sheetId="51" state="hidden" r:id="rId7"/>
    <sheet name="Tapers" sheetId="53" state="hidden" r:id="rId8"/>
    <sheet name="Commutation Factors" sheetId="58" state="hidden" r:id="rId9"/>
    <sheet name="ERF and LRF" sheetId="60" state="hidden" r:id="rId10"/>
    <sheet name="FS Calcs" sheetId="52" state="hidden" r:id="rId11"/>
    <sheet name="Past Service CARE Calcs" sheetId="56" state="hidden" r:id="rId12"/>
    <sheet name="CARE calcs" sheetId="54" state="hidden" r:id="rId13"/>
    <sheet name="CARE calcs ABS" sheetId="59" state="hidden" r:id="rId14"/>
    <sheet name="Lump Sum" sheetId="57" state="hidden" r:id="rId15"/>
    <sheet name="Summary" sheetId="55" state="hidden" r:id="rId16"/>
  </sheets>
  <externalReferences>
    <externalReference r:id="rId17"/>
  </externalReferences>
  <definedNames>
    <definedName name="ABSEndDate">Calculator!$J$52</definedName>
    <definedName name="ABSEndDate1">Calculator!$J$44</definedName>
    <definedName name="Acc_CARE">Parameters!$F$23</definedName>
    <definedName name="Acc_Sch60">Parameters!$F$21</definedName>
    <definedName name="Acc_Sch65">Parameters!$F$22</definedName>
    <definedName name="age_exact">'FS Calcs'!$D$6</definedName>
    <definedName name="age_lbd">'FS Calcs'!$D$7</definedName>
    <definedName name="basis1">Parameters!$C$91</definedName>
    <definedName name="basis2">Parameters!$C$92</definedName>
    <definedName name="basis3">Parameters!$C$93</definedName>
    <definedName name="care_rev">Parameters!$G$94</definedName>
    <definedName name="CareComm">'Commutation Factors'!$F$9</definedName>
    <definedName name="ChosenRA">Parameters!$B$122</definedName>
    <definedName name="Class_Select">Cover!$A$54:$A$57</definedName>
    <definedName name="Classification_Key">Cover!$A$66</definedName>
    <definedName name="Comm_Factor">'Lump Sum'!$D$13</definedName>
    <definedName name="Comm_Sch60">'Commutation Factors'!$F$7</definedName>
    <definedName name="Comm_Sch65">'Commutation Factors'!$F$8</definedName>
    <definedName name="cpi">Parameters!$G$90</definedName>
    <definedName name="cpi_1">Parameters!$G$91</definedName>
    <definedName name="cpi_2">Parameters!$G$92</definedName>
    <definedName name="cpi_3">Parameters!$G$93</definedName>
    <definedName name="CurrentSal">Calculator!$J$36</definedName>
    <definedName name="CurrentScheme">Parameters!$B$115</definedName>
    <definedName name="Date_curr">Parameters!$D$99</definedName>
    <definedName name="date55">Calculator!$K$155</definedName>
    <definedName name="date60">Parameters!$B$124</definedName>
    <definedName name="DefDec">Parameters!$G$96</definedName>
    <definedName name="Descriptor_Key">Cover!$A$67</definedName>
    <definedName name="Descriptor_Select">Cover!$A$58:$A$65</definedName>
    <definedName name="DJS">Calculator!$J$29</definedName>
    <definedName name="DJS_Adj">'FS Calcs'!$F$24</definedName>
    <definedName name="DoB">Calculator!$J$25</definedName>
    <definedName name="DoProtEnd">'FS Calcs'!$F$33</definedName>
    <definedName name="DoR">Calculator!$J$38</definedName>
    <definedName name="DoStartSchYear">Parameters!$D$101</definedName>
    <definedName name="DoUnderpin">Parameters!$B$127</definedName>
    <definedName name="DoY">Parameters!$E$16</definedName>
    <definedName name="ERF_CARE">'ERF and LRF'!$B$50:$N$59</definedName>
    <definedName name="ERF_CARE_toapply">'CARE calcs'!$C$26</definedName>
    <definedName name="ERF_Sch60">'ERF and LRF'!$B$13:$N$17</definedName>
    <definedName name="ERF_Sch65">'ERF and LRF'!$B$29:$N$38</definedName>
    <definedName name="Form_Check">Parameters!$B$134</definedName>
    <definedName name="future_PTP">Calculator!$J$48</definedName>
    <definedName name="Hide_range" localSheetId="4">'Printable Estimate'!$39:$50,'Printable Estimate'!$51:$51</definedName>
    <definedName name="LRF_CARE">'ERF and LRF'!$B$102:$N$112</definedName>
    <definedName name="LRF_CARE_toapply" localSheetId="4">'[1]CARE calcs'!$C$24</definedName>
    <definedName name="LRF_CARE_toapply">'CARE calcs'!$C$24</definedName>
    <definedName name="LRF_Sch65">'ERF and LRF'!$B$76:$N$86</definedName>
    <definedName name="Lump_Sch60">'Commutation Factors'!$F$6</definedName>
    <definedName name="max_Sch60">Parameters!$F$18</definedName>
    <definedName name="max_Sch65">Parameters!$F$19</definedName>
    <definedName name="Maxcomm_Sch60">'Commutation Factors'!$F$10</definedName>
    <definedName name="Maxcomm_Sch65">'Commutation Factors'!$F$11</definedName>
    <definedName name="Maxcomm_SchCARE">'Commutation Factors'!$F$12</definedName>
    <definedName name="Name_member">Calculator!$J$27</definedName>
    <definedName name="NewSchDate">Parameters!$E$14</definedName>
    <definedName name="NonUplifted">Parameters!$G$39</definedName>
    <definedName name="_xlnm.Print_Area" localSheetId="2">Calculator!$A$11:$N$124</definedName>
    <definedName name="_xlnm.Print_Area" localSheetId="5">'Nominal results'!$A$2:$M$67</definedName>
    <definedName name="_xlnm.Print_Area" localSheetId="4">'Printable Estimate'!$A$1:$H$53</definedName>
    <definedName name="_xlnm.Print_Titles" localSheetId="1">'Version control'!$A:$A</definedName>
    <definedName name="ProtectDate">Parameters!$E$12</definedName>
    <definedName name="ProtStatus">'FS Calcs'!$F$32</definedName>
    <definedName name="PT_Status">Calculator!$J$46</definedName>
    <definedName name="RA_day">Parameters!$D$120</definedName>
    <definedName name="RA_month">Parameters!$C$120</definedName>
    <definedName name="RA_month_roundup">Parameters!$I$120</definedName>
    <definedName name="RA_Year">Parameters!$B$120</definedName>
    <definedName name="Reck_Days">Calculator!$J$55</definedName>
    <definedName name="Reck_Years">Calculator!$J$54</definedName>
    <definedName name="sch">Calculator!$C$139:$C$140</definedName>
    <definedName name="sch_1">Calculator!$C$139</definedName>
    <definedName name="sch_2">Calculator!$C$140</definedName>
    <definedName name="Sch_60">Parameters!$E$7</definedName>
    <definedName name="Sch_65">Parameters!$E$8</definedName>
    <definedName name="Sch_CARE">Parameters!$E$9</definedName>
    <definedName name="Sch_Mix">Parameters!$E$10</definedName>
    <definedName name="Scheme_60">Parameters!$F$7</definedName>
    <definedName name="Scheme_65">Parameters!$F$8</definedName>
    <definedName name="Scheme_CARE">Parameters!$F$9</definedName>
    <definedName name="Scheme_Full">Calculator!$J$31</definedName>
    <definedName name="Scheme_Mix">Parameters!$F$10</definedName>
    <definedName name="standard_reduction">Parameters!$E$25</definedName>
    <definedName name="start_Sch65">Parameters!$E$37</definedName>
    <definedName name="tapertab1">Tapers!$B$13:$D$55</definedName>
    <definedName name="tapertab2">Tapers!$F$13:$H$55</definedName>
    <definedName name="title">Cover!$A$2</definedName>
    <definedName name="TVinDays">Calculator!$J$34</definedName>
    <definedName name="TVinYears">Calculator!$J$33</definedName>
    <definedName name="Uplift_factors">Parameters!$B$45:$H$88</definedName>
    <definedName name="Uplift_Headers">Parameters!$B$44:$H$44</definedName>
    <definedName name="ValidSchemes">Parameters!$E$7:$E$8</definedName>
  </definedNames>
  <calcPr calcId="162913"/>
</workbook>
</file>

<file path=xl/calcChain.xml><?xml version="1.0" encoding="utf-8"?>
<calcChain xmlns="http://schemas.openxmlformats.org/spreadsheetml/2006/main">
  <c r="I41" i="50" l="1"/>
  <c r="D26" i="52" l="1"/>
  <c r="F26" i="52" s="1"/>
  <c r="E26" i="52" l="1"/>
  <c r="E15" i="71" l="1"/>
  <c r="E13" i="71"/>
  <c r="C28" i="71"/>
  <c r="E21" i="71"/>
  <c r="E19" i="71"/>
  <c r="E17" i="71"/>
  <c r="C34" i="56" l="1"/>
  <c r="C32" i="56"/>
  <c r="C31" i="56"/>
  <c r="T22" i="56"/>
  <c r="T20" i="56"/>
  <c r="S20" i="56"/>
  <c r="S23" i="56" s="1"/>
  <c r="R20" i="56"/>
  <c r="Q20" i="56"/>
  <c r="P20" i="56"/>
  <c r="O20" i="56"/>
  <c r="N20" i="56"/>
  <c r="M20" i="56"/>
  <c r="L20" i="56"/>
  <c r="K20" i="56"/>
  <c r="J20" i="56"/>
  <c r="I20" i="56"/>
  <c r="H20" i="56"/>
  <c r="G20" i="56"/>
  <c r="F20" i="56"/>
  <c r="E20" i="56"/>
  <c r="D20" i="56"/>
  <c r="C20" i="56"/>
  <c r="T19" i="56"/>
  <c r="S22" i="56" s="1"/>
  <c r="S19" i="56"/>
  <c r="R22" i="56" s="1"/>
  <c r="R19" i="56"/>
  <c r="Q22" i="56" s="1"/>
  <c r="Q19" i="56"/>
  <c r="P19" i="56"/>
  <c r="O19" i="56"/>
  <c r="N22" i="56" s="1"/>
  <c r="N19" i="56"/>
  <c r="M22" i="56" s="1"/>
  <c r="M19" i="56"/>
  <c r="L22" i="56" s="1"/>
  <c r="L19" i="56"/>
  <c r="K22" i="56" s="1"/>
  <c r="K19" i="56"/>
  <c r="J22" i="56" s="1"/>
  <c r="J19" i="56"/>
  <c r="I22" i="56" s="1"/>
  <c r="I19" i="56"/>
  <c r="H19" i="56"/>
  <c r="G19" i="56"/>
  <c r="F22" i="56" s="1"/>
  <c r="F19" i="56"/>
  <c r="E22" i="56" s="1"/>
  <c r="E19" i="56"/>
  <c r="D22" i="56" s="1"/>
  <c r="D19" i="56"/>
  <c r="C22" i="56" s="1"/>
  <c r="C19" i="56"/>
  <c r="P23" i="56" l="1"/>
  <c r="T23" i="56"/>
  <c r="E23" i="56"/>
  <c r="Q23" i="56"/>
  <c r="L23" i="56"/>
  <c r="I23" i="56"/>
  <c r="M23" i="56"/>
  <c r="H23" i="56"/>
  <c r="K23" i="56"/>
  <c r="N23" i="56"/>
  <c r="G23" i="56"/>
  <c r="O23" i="56"/>
  <c r="F23" i="56"/>
  <c r="G22" i="56"/>
  <c r="O22" i="56"/>
  <c r="R23" i="56"/>
  <c r="J23" i="56"/>
  <c r="H22" i="56"/>
  <c r="P22" i="56"/>
  <c r="C7" i="56" l="1"/>
  <c r="C103" i="51"/>
  <c r="D24" i="52" l="1"/>
  <c r="G94" i="51"/>
  <c r="C33" i="56" s="1"/>
  <c r="C31" i="50"/>
  <c r="J31" i="50" l="1"/>
  <c r="C81" i="50" l="1"/>
  <c r="C70" i="50"/>
  <c r="C30" i="71"/>
  <c r="C31" i="71"/>
  <c r="D13" i="52"/>
  <c r="C158" i="50" l="1"/>
  <c r="D27" i="52" l="1"/>
  <c r="D28" i="52" s="1"/>
  <c r="D23" i="52"/>
  <c r="D29" i="52" l="1"/>
  <c r="C99" i="64"/>
  <c r="B78" i="64"/>
  <c r="D119" i="64"/>
  <c r="F117" i="64"/>
  <c r="E117" i="64"/>
  <c r="D117" i="64"/>
  <c r="C103" i="64"/>
  <c r="C101" i="64"/>
  <c r="D98" i="64"/>
  <c r="C100" i="64" s="1"/>
  <c r="C94" i="64"/>
  <c r="C93" i="64"/>
  <c r="D90" i="64"/>
  <c r="B90" i="64"/>
  <c r="C84" i="64"/>
  <c r="C81" i="64"/>
  <c r="D80" i="64"/>
  <c r="B80" i="64" s="1"/>
  <c r="B81" i="64" s="1"/>
  <c r="B76" i="64"/>
  <c r="C90" i="64" l="1"/>
  <c r="C102" i="64"/>
  <c r="C104" i="64" s="1"/>
  <c r="I120" i="51" l="1"/>
  <c r="E14" i="57" l="1"/>
  <c r="E13" i="57"/>
  <c r="E19" i="51" l="1"/>
  <c r="E18" i="51"/>
  <c r="E154" i="50" l="1"/>
  <c r="E155" i="50"/>
  <c r="C67" i="52"/>
  <c r="C66" i="52"/>
  <c r="C65" i="52"/>
  <c r="C64" i="52"/>
  <c r="C63" i="52"/>
  <c r="C62" i="52"/>
  <c r="E27" i="52" l="1"/>
  <c r="E28" i="52" s="1"/>
  <c r="D31" i="52"/>
  <c r="F14" i="53"/>
  <c r="F15" i="53" s="1"/>
  <c r="F16" i="53" s="1"/>
  <c r="F17" i="53" s="1"/>
  <c r="F18" i="53" s="1"/>
  <c r="F19" i="53" s="1"/>
  <c r="F20" i="53" s="1"/>
  <c r="F21" i="53" s="1"/>
  <c r="F22" i="53" s="1"/>
  <c r="F23" i="53" s="1"/>
  <c r="F24" i="53" s="1"/>
  <c r="F25" i="53" s="1"/>
  <c r="F26" i="53" s="1"/>
  <c r="F27" i="53" s="1"/>
  <c r="F28" i="53" s="1"/>
  <c r="F29" i="53" s="1"/>
  <c r="F30" i="53" s="1"/>
  <c r="F31" i="53" s="1"/>
  <c r="F32" i="53" s="1"/>
  <c r="F33" i="53" s="1"/>
  <c r="F34" i="53" s="1"/>
  <c r="F35" i="53" s="1"/>
  <c r="F36" i="53" s="1"/>
  <c r="F37" i="53" s="1"/>
  <c r="F38" i="53" s="1"/>
  <c r="F39" i="53" s="1"/>
  <c r="F40" i="53" s="1"/>
  <c r="F41" i="53" s="1"/>
  <c r="F42" i="53" s="1"/>
  <c r="F43" i="53" s="1"/>
  <c r="F44" i="53" s="1"/>
  <c r="F45" i="53" s="1"/>
  <c r="F46" i="53" s="1"/>
  <c r="F47" i="53" s="1"/>
  <c r="F48" i="53" s="1"/>
  <c r="F49" i="53" s="1"/>
  <c r="F50" i="53" s="1"/>
  <c r="F51" i="53" s="1"/>
  <c r="F52" i="53" s="1"/>
  <c r="F53" i="53" s="1"/>
  <c r="F54" i="53" s="1"/>
  <c r="F55" i="53" s="1"/>
  <c r="G54" i="53" s="1"/>
  <c r="B14" i="53"/>
  <c r="G139" i="50"/>
  <c r="E139" i="50" s="1"/>
  <c r="C139" i="50" s="1"/>
  <c r="C141" i="50" s="1"/>
  <c r="G19" i="53" l="1"/>
  <c r="G14" i="53"/>
  <c r="C140" i="50"/>
  <c r="D30" i="52"/>
  <c r="D32" i="52" s="1"/>
  <c r="E31" i="52"/>
  <c r="E30" i="52"/>
  <c r="E29" i="52"/>
  <c r="G48" i="53"/>
  <c r="G40" i="53"/>
  <c r="G32" i="53"/>
  <c r="G24" i="53"/>
  <c r="G16" i="53"/>
  <c r="G13" i="53"/>
  <c r="G47" i="53"/>
  <c r="G39" i="53"/>
  <c r="G31" i="53"/>
  <c r="G23" i="53"/>
  <c r="G15" i="53"/>
  <c r="G51" i="53"/>
  <c r="G43" i="53"/>
  <c r="G35" i="53"/>
  <c r="G27" i="53"/>
  <c r="G50" i="53"/>
  <c r="G42" i="53"/>
  <c r="G34" i="53"/>
  <c r="G26" i="53"/>
  <c r="G18" i="53"/>
  <c r="G41" i="53"/>
  <c r="G17" i="53"/>
  <c r="G38" i="53"/>
  <c r="G22" i="53"/>
  <c r="G45" i="53"/>
  <c r="G21" i="53"/>
  <c r="G49" i="53"/>
  <c r="G33" i="53"/>
  <c r="G25" i="53"/>
  <c r="G46" i="53"/>
  <c r="G30" i="53"/>
  <c r="G53" i="53"/>
  <c r="G37" i="53"/>
  <c r="G29" i="53"/>
  <c r="G52" i="53"/>
  <c r="G44" i="53"/>
  <c r="G36" i="53"/>
  <c r="G28" i="53"/>
  <c r="G20" i="53"/>
  <c r="C13" i="53"/>
  <c r="B15" i="53"/>
  <c r="C14" i="53" s="1"/>
  <c r="B120" i="51"/>
  <c r="F23" i="51"/>
  <c r="F21" i="51"/>
  <c r="E32" i="52" l="1"/>
  <c r="E33" i="52" s="1"/>
  <c r="B16" i="53"/>
  <c r="C15" i="53" s="1"/>
  <c r="D17" i="52" l="1"/>
  <c r="B17" i="53"/>
  <c r="C16" i="53" s="1"/>
  <c r="D165" i="50"/>
  <c r="B18" i="53" l="1"/>
  <c r="C17" i="53" s="1"/>
  <c r="B19" i="53" l="1"/>
  <c r="C18" i="53" s="1"/>
  <c r="H91" i="51"/>
  <c r="G91" i="51" s="1"/>
  <c r="B20" i="53" l="1"/>
  <c r="C19" i="53" s="1"/>
  <c r="B21" i="53" l="1"/>
  <c r="C20" i="53" s="1"/>
  <c r="E24" i="52"/>
  <c r="B22" i="53" l="1"/>
  <c r="C21" i="53" s="1"/>
  <c r="B23" i="53" l="1"/>
  <c r="C22" i="53" s="1"/>
  <c r="B24" i="53" l="1"/>
  <c r="C23" i="53" s="1"/>
  <c r="B25" i="53" l="1"/>
  <c r="C24" i="53" s="1"/>
  <c r="B26" i="53" l="1"/>
  <c r="C25" i="53" s="1"/>
  <c r="B27" i="53" l="1"/>
  <c r="C26" i="53" s="1"/>
  <c r="B28" i="53" l="1"/>
  <c r="C27" i="53" s="1"/>
  <c r="C59" i="52"/>
  <c r="C60" i="52"/>
  <c r="C61" i="52"/>
  <c r="B29" i="53" l="1"/>
  <c r="C28" i="53" s="1"/>
  <c r="C18" i="54"/>
  <c r="B30" i="53" l="1"/>
  <c r="C29" i="53" s="1"/>
  <c r="D15" i="52"/>
  <c r="D14" i="52"/>
  <c r="E22" i="52"/>
  <c r="D22" i="52"/>
  <c r="B31" i="53" l="1"/>
  <c r="C30" i="53" s="1"/>
  <c r="F22" i="51"/>
  <c r="B32" i="53" l="1"/>
  <c r="C31" i="53" s="1"/>
  <c r="G39" i="51"/>
  <c r="D12" i="52"/>
  <c r="D18" i="52" l="1"/>
  <c r="D19" i="52" s="1"/>
  <c r="B33" i="53"/>
  <c r="C32" i="53" s="1"/>
  <c r="B34" i="53" l="1"/>
  <c r="C33" i="53" l="1"/>
  <c r="D33" i="52"/>
  <c r="B35" i="53"/>
  <c r="C34" i="53" s="1"/>
  <c r="B36" i="53" l="1"/>
  <c r="C35" i="53" s="1"/>
  <c r="B37" i="53" l="1"/>
  <c r="C36" i="53" s="1"/>
  <c r="B38" i="53" l="1"/>
  <c r="C37" i="53" s="1"/>
  <c r="B39" i="53" l="1"/>
  <c r="C38" i="53" s="1"/>
  <c r="B40" i="53" l="1"/>
  <c r="C39" i="53" s="1"/>
  <c r="D38" i="55"/>
  <c r="H8" i="64" s="1"/>
  <c r="B41" i="53" l="1"/>
  <c r="C40" i="53" s="1"/>
  <c r="I63" i="50"/>
  <c r="B42" i="53" l="1"/>
  <c r="C41" i="53" s="1"/>
  <c r="B43" i="53" l="1"/>
  <c r="C42" i="53" s="1"/>
  <c r="F37" i="55"/>
  <c r="E37" i="55"/>
  <c r="D37" i="55"/>
  <c r="B44" i="53" l="1"/>
  <c r="C43" i="53" s="1"/>
  <c r="F38" i="55"/>
  <c r="E38" i="55"/>
  <c r="B45" i="53" l="1"/>
  <c r="C44" i="53" s="1"/>
  <c r="D120" i="51"/>
  <c r="B46" i="53" l="1"/>
  <c r="C45" i="53" s="1"/>
  <c r="C120" i="51"/>
  <c r="E55" i="52" s="1"/>
  <c r="B124" i="51"/>
  <c r="E54" i="52" l="1"/>
  <c r="D54" i="52"/>
  <c r="C26" i="54"/>
  <c r="B47" i="53"/>
  <c r="C46" i="53" s="1"/>
  <c r="F120" i="51"/>
  <c r="B48" i="53" l="1"/>
  <c r="C47" i="53" s="1"/>
  <c r="G120" i="51"/>
  <c r="A4" i="60"/>
  <c r="A2" i="60"/>
  <c r="B49" i="53" l="1"/>
  <c r="C48" i="53" s="1"/>
  <c r="B118" i="51"/>
  <c r="E23" i="52"/>
  <c r="B50" i="53" l="1"/>
  <c r="C49" i="53" s="1"/>
  <c r="G121" i="51"/>
  <c r="H121" i="51" s="1"/>
  <c r="B122" i="51"/>
  <c r="C39" i="71" s="1"/>
  <c r="D10" i="59"/>
  <c r="D9" i="59"/>
  <c r="A4" i="59"/>
  <c r="A2" i="59"/>
  <c r="C84" i="50" l="1"/>
  <c r="C73" i="50"/>
  <c r="C48" i="71"/>
  <c r="C43" i="71"/>
  <c r="B51" i="71"/>
  <c r="C46" i="71"/>
  <c r="C45" i="71"/>
  <c r="B21" i="64"/>
  <c r="B32" i="64"/>
  <c r="B18" i="64"/>
  <c r="B22" i="64"/>
  <c r="B19" i="64"/>
  <c r="B31" i="64"/>
  <c r="B29" i="64"/>
  <c r="C63" i="55"/>
  <c r="C58" i="55"/>
  <c r="C57" i="55"/>
  <c r="D9" i="52"/>
  <c r="C24" i="54"/>
  <c r="B51" i="53"/>
  <c r="C50" i="53" s="1"/>
  <c r="C74" i="50"/>
  <c r="I121" i="51"/>
  <c r="D7" i="57"/>
  <c r="C48" i="55"/>
  <c r="C43" i="55"/>
  <c r="C42" i="55"/>
  <c r="C19" i="54"/>
  <c r="C27" i="54" l="1"/>
  <c r="C28" i="54" s="1"/>
  <c r="C11" i="54"/>
  <c r="B52" i="53"/>
  <c r="C51" i="53" s="1"/>
  <c r="C86" i="50"/>
  <c r="C87" i="50"/>
  <c r="C77" i="50"/>
  <c r="C76" i="50"/>
  <c r="B53" i="53" l="1"/>
  <c r="C52" i="53" s="1"/>
  <c r="D99" i="51"/>
  <c r="D53" i="71" l="1"/>
  <c r="C8" i="54"/>
  <c r="C100" i="51"/>
  <c r="B100" i="51"/>
  <c r="D100" i="51"/>
  <c r="N21" i="56"/>
  <c r="N24" i="56" s="1"/>
  <c r="F21" i="56"/>
  <c r="F24" i="56" s="1"/>
  <c r="E21" i="56"/>
  <c r="E24" i="56" s="1"/>
  <c r="M21" i="56"/>
  <c r="M24" i="56" s="1"/>
  <c r="J21" i="56"/>
  <c r="J24" i="56" s="1"/>
  <c r="T21" i="56"/>
  <c r="T24" i="56" s="1"/>
  <c r="L21" i="56"/>
  <c r="L24" i="56" s="1"/>
  <c r="D21" i="56"/>
  <c r="S21" i="56"/>
  <c r="S24" i="56" s="1"/>
  <c r="K21" i="56"/>
  <c r="K24" i="56" s="1"/>
  <c r="C21" i="56"/>
  <c r="R21" i="56"/>
  <c r="R24" i="56" s="1"/>
  <c r="Q21" i="56"/>
  <c r="Q24" i="56" s="1"/>
  <c r="I21" i="56"/>
  <c r="I24" i="56" s="1"/>
  <c r="P21" i="56"/>
  <c r="P24" i="56" s="1"/>
  <c r="H21" i="56"/>
  <c r="H24" i="56" s="1"/>
  <c r="O21" i="56"/>
  <c r="O24" i="56" s="1"/>
  <c r="G21" i="56"/>
  <c r="G24" i="56" s="1"/>
  <c r="B26" i="64"/>
  <c r="B27" i="64"/>
  <c r="B16" i="64"/>
  <c r="B15" i="64"/>
  <c r="C56" i="55"/>
  <c r="C62" i="55"/>
  <c r="C61" i="55"/>
  <c r="C55" i="55"/>
  <c r="B115" i="51"/>
  <c r="B134" i="51"/>
  <c r="C47" i="55"/>
  <c r="C46" i="55"/>
  <c r="C41" i="55"/>
  <c r="C40" i="55"/>
  <c r="C71" i="50"/>
  <c r="C82" i="50"/>
  <c r="C55" i="53"/>
  <c r="G55" i="53"/>
  <c r="B54" i="53"/>
  <c r="C53" i="53" s="1"/>
  <c r="D20" i="52"/>
  <c r="D15" i="59"/>
  <c r="D41" i="52"/>
  <c r="D101" i="51" l="1"/>
  <c r="C137" i="50" s="1"/>
  <c r="B26" i="71"/>
  <c r="F55" i="52"/>
  <c r="F54" i="52"/>
  <c r="D118" i="64"/>
  <c r="D22" i="55"/>
  <c r="F25" i="52"/>
  <c r="D106" i="64" s="1"/>
  <c r="D13" i="57"/>
  <c r="F30" i="52"/>
  <c r="D14" i="57"/>
  <c r="F29" i="52"/>
  <c r="F28" i="52"/>
  <c r="F27" i="52"/>
  <c r="F31" i="52"/>
  <c r="D107" i="64" s="1"/>
  <c r="F23" i="52"/>
  <c r="F24" i="52"/>
  <c r="B55" i="53"/>
  <c r="C54" i="53" s="1"/>
  <c r="C134" i="50"/>
  <c r="F15" i="55"/>
  <c r="E15" i="55"/>
  <c r="C27" i="55"/>
  <c r="D10" i="52"/>
  <c r="D40" i="52" s="1"/>
  <c r="F24" i="55"/>
  <c r="E24" i="55"/>
  <c r="D24" i="55"/>
  <c r="D26" i="55"/>
  <c r="E41" i="52"/>
  <c r="F41" i="52" s="1"/>
  <c r="G96" i="51"/>
  <c r="F26" i="57"/>
  <c r="E26" i="57"/>
  <c r="D26" i="57"/>
  <c r="E183" i="50"/>
  <c r="E182" i="50"/>
  <c r="G181" i="50"/>
  <c r="F181" i="50"/>
  <c r="E181" i="50"/>
  <c r="F16" i="57"/>
  <c r="E16" i="57"/>
  <c r="D16" i="57"/>
  <c r="C58" i="52"/>
  <c r="C57" i="52"/>
  <c r="C56" i="52"/>
  <c r="C47" i="52"/>
  <c r="C46" i="52"/>
  <c r="C45" i="52"/>
  <c r="C44" i="52"/>
  <c r="C43" i="52"/>
  <c r="C42" i="52"/>
  <c r="F7" i="55"/>
  <c r="E7" i="55"/>
  <c r="D7" i="55"/>
  <c r="G93" i="51"/>
  <c r="G92" i="51"/>
  <c r="D8" i="57"/>
  <c r="A4" i="58"/>
  <c r="A2" i="58"/>
  <c r="A4" i="57"/>
  <c r="A2" i="57"/>
  <c r="A4" i="56"/>
  <c r="A2" i="56"/>
  <c r="C149" i="50"/>
  <c r="C135" i="50"/>
  <c r="E162" i="50"/>
  <c r="D143" i="50"/>
  <c r="E149" i="50"/>
  <c r="D167" i="50"/>
  <c r="D15" i="55"/>
  <c r="D8" i="55"/>
  <c r="F8" i="55" s="1"/>
  <c r="A4" i="55"/>
  <c r="A2" i="55"/>
  <c r="A4" i="54"/>
  <c r="A2" i="54"/>
  <c r="A4" i="53"/>
  <c r="A2" i="53"/>
  <c r="A4" i="52"/>
  <c r="A4" i="51"/>
  <c r="A2" i="51"/>
  <c r="A2" i="4"/>
  <c r="A4" i="4"/>
  <c r="A4" i="1"/>
  <c r="E35" i="52" l="1"/>
  <c r="D35" i="52"/>
  <c r="E34" i="52"/>
  <c r="E40" i="52"/>
  <c r="D34" i="52"/>
  <c r="K25" i="56"/>
  <c r="K26" i="56" s="1"/>
  <c r="K27" i="56" s="1"/>
  <c r="K28" i="56" s="1"/>
  <c r="C7" i="54"/>
  <c r="C9" i="54" s="1"/>
  <c r="C14" i="54" s="1"/>
  <c r="C15" i="54" s="1"/>
  <c r="J25" i="56"/>
  <c r="J26" i="56" s="1"/>
  <c r="J27" i="56" s="1"/>
  <c r="J28" i="56" s="1"/>
  <c r="Q25" i="56"/>
  <c r="Q26" i="56" s="1"/>
  <c r="Q27" i="56" s="1"/>
  <c r="Q28" i="56" s="1"/>
  <c r="S25" i="56"/>
  <c r="S26" i="56" s="1"/>
  <c r="S27" i="56" s="1"/>
  <c r="S28" i="56" s="1"/>
  <c r="T25" i="56"/>
  <c r="T26" i="56" s="1"/>
  <c r="T27" i="56" s="1"/>
  <c r="T28" i="56" s="1"/>
  <c r="G25" i="56"/>
  <c r="G26" i="56" s="1"/>
  <c r="G27" i="56" s="1"/>
  <c r="G28" i="56" s="1"/>
  <c r="H25" i="56"/>
  <c r="H26" i="56" s="1"/>
  <c r="H27" i="56" s="1"/>
  <c r="H28" i="56" s="1"/>
  <c r="R25" i="56"/>
  <c r="R26" i="56" s="1"/>
  <c r="R27" i="56" s="1"/>
  <c r="R28" i="56" s="1"/>
  <c r="L25" i="56"/>
  <c r="L26" i="56" s="1"/>
  <c r="L27" i="56" s="1"/>
  <c r="L28" i="56" s="1"/>
  <c r="M25" i="56"/>
  <c r="M26" i="56" s="1"/>
  <c r="M27" i="56" s="1"/>
  <c r="M28" i="56" s="1"/>
  <c r="O25" i="56"/>
  <c r="O26" i="56" s="1"/>
  <c r="O27" i="56" s="1"/>
  <c r="O28" i="56" s="1"/>
  <c r="C25" i="56"/>
  <c r="C26" i="56" s="1"/>
  <c r="E25" i="56"/>
  <c r="E26" i="56" s="1"/>
  <c r="E27" i="56" s="1"/>
  <c r="E28" i="56" s="1"/>
  <c r="P25" i="56"/>
  <c r="P26" i="56" s="1"/>
  <c r="P27" i="56" s="1"/>
  <c r="P28" i="56" s="1"/>
  <c r="D25" i="56"/>
  <c r="D26" i="56" s="1"/>
  <c r="N25" i="56"/>
  <c r="N26" i="56" s="1"/>
  <c r="N27" i="56" s="1"/>
  <c r="N28" i="56" s="1"/>
  <c r="I25" i="56"/>
  <c r="I26" i="56" s="1"/>
  <c r="I27" i="56" s="1"/>
  <c r="I28" i="56" s="1"/>
  <c r="F25" i="56"/>
  <c r="F26" i="56" s="1"/>
  <c r="F27" i="56" s="1"/>
  <c r="F28" i="56" s="1"/>
  <c r="B4" i="64"/>
  <c r="D108" i="64"/>
  <c r="E108" i="64" s="1"/>
  <c r="D112" i="64" s="1"/>
  <c r="E107" i="64"/>
  <c r="D166" i="50"/>
  <c r="D164" i="50"/>
  <c r="D11" i="52"/>
  <c r="D9" i="57"/>
  <c r="D149" i="50"/>
  <c r="C34" i="54"/>
  <c r="C32" i="54"/>
  <c r="E32" i="54"/>
  <c r="E34" i="54"/>
  <c r="E26" i="55"/>
  <c r="E8" i="55"/>
  <c r="D11" i="55"/>
  <c r="E11" i="55" s="1"/>
  <c r="D25" i="55"/>
  <c r="D34" i="54"/>
  <c r="D32" i="54"/>
  <c r="C136" i="50"/>
  <c r="D142" i="50"/>
  <c r="D33" i="54" l="1"/>
  <c r="C33" i="54"/>
  <c r="E33" i="54"/>
  <c r="E35" i="54" s="1"/>
  <c r="E25" i="55"/>
  <c r="D168" i="50"/>
  <c r="F25" i="55"/>
  <c r="D12" i="55"/>
  <c r="D14" i="55"/>
  <c r="E14" i="55"/>
  <c r="F14" i="55"/>
  <c r="F11" i="55"/>
  <c r="F26" i="55"/>
  <c r="C35" i="54" l="1"/>
  <c r="D35" i="54"/>
  <c r="E179" i="50"/>
  <c r="D163" i="50"/>
  <c r="C157" i="50" s="1"/>
  <c r="D22" i="59"/>
  <c r="D23" i="59" s="1"/>
  <c r="E180" i="50"/>
  <c r="F12" i="55"/>
  <c r="E12" i="55"/>
  <c r="D6" i="52"/>
  <c r="E157" i="50" l="1"/>
  <c r="D39" i="52"/>
  <c r="F40" i="52"/>
  <c r="E39" i="52"/>
  <c r="E42" i="52" s="1"/>
  <c r="D7" i="52"/>
  <c r="D8" i="52"/>
  <c r="E36" i="52" l="1"/>
  <c r="E70" i="52" s="1"/>
  <c r="D44" i="52"/>
  <c r="D42" i="52"/>
  <c r="F39" i="52"/>
  <c r="D43" i="52"/>
  <c r="E44" i="52"/>
  <c r="E43" i="52"/>
  <c r="E37" i="52" l="1"/>
  <c r="E46" i="52"/>
  <c r="G57" i="52" s="1"/>
  <c r="E47" i="52"/>
  <c r="E45" i="52"/>
  <c r="G56" i="52" s="1"/>
  <c r="D47" i="52"/>
  <c r="F42" i="52"/>
  <c r="D9" i="55" s="1"/>
  <c r="D39" i="55" s="1"/>
  <c r="F43" i="52"/>
  <c r="E9" i="55" s="1"/>
  <c r="E39" i="55" s="1"/>
  <c r="F44" i="52"/>
  <c r="F9" i="55" s="1"/>
  <c r="F39" i="55" s="1"/>
  <c r="D46" i="52"/>
  <c r="D45" i="52"/>
  <c r="G47" i="52" l="1"/>
  <c r="G58" i="52"/>
  <c r="E48" i="52"/>
  <c r="G46" i="52"/>
  <c r="E49" i="52"/>
  <c r="G45" i="52"/>
  <c r="F47" i="52"/>
  <c r="F10" i="55" s="1"/>
  <c r="F45" i="52"/>
  <c r="D10" i="55" s="1"/>
  <c r="F46" i="52"/>
  <c r="E10" i="55" s="1"/>
  <c r="D32" i="55" l="1"/>
  <c r="D35" i="55" s="1"/>
  <c r="D51" i="55" l="1"/>
  <c r="D54" i="55"/>
  <c r="F54" i="55" s="1"/>
  <c r="F51" i="55" l="1"/>
  <c r="E51" i="55"/>
  <c r="E54" i="55"/>
  <c r="F32" i="52" l="1"/>
  <c r="F33" i="52" l="1"/>
  <c r="C6" i="54" s="1"/>
  <c r="D36" i="52"/>
  <c r="F34" i="52"/>
  <c r="E170" i="50"/>
  <c r="D6" i="59"/>
  <c r="C6" i="56" l="1"/>
  <c r="C8" i="56" s="1"/>
  <c r="C23" i="56" s="1"/>
  <c r="C24" i="56" s="1"/>
  <c r="C27" i="56" s="1"/>
  <c r="C28" i="56" s="1"/>
  <c r="C12" i="54"/>
  <c r="E171" i="50"/>
  <c r="F35" i="52"/>
  <c r="F13" i="55"/>
  <c r="D16" i="59"/>
  <c r="D25" i="59" s="1"/>
  <c r="D26" i="59" s="1"/>
  <c r="E13" i="55"/>
  <c r="D13" i="55"/>
  <c r="D24" i="59"/>
  <c r="D7" i="59"/>
  <c r="F171" i="50" l="1"/>
  <c r="E172" i="50"/>
  <c r="F172" i="50" s="1"/>
  <c r="E176" i="50" s="1"/>
  <c r="C59" i="50" s="1"/>
  <c r="C22" i="54"/>
  <c r="C23" i="54"/>
  <c r="C25" i="54" s="1"/>
  <c r="C10" i="54"/>
  <c r="D23" i="56"/>
  <c r="D24" i="56" s="1"/>
  <c r="D27" i="56" s="1"/>
  <c r="D28" i="56" s="1"/>
  <c r="C29" i="56" s="1"/>
  <c r="D62" i="52"/>
  <c r="D65" i="52" s="1"/>
  <c r="D64" i="52"/>
  <c r="D63" i="52"/>
  <c r="D58" i="52"/>
  <c r="G64" i="52" s="1"/>
  <c r="D56" i="52"/>
  <c r="G62" i="52" s="1"/>
  <c r="D57" i="52"/>
  <c r="G63" i="52" s="1"/>
  <c r="F36" i="52"/>
  <c r="D16" i="55" s="1"/>
  <c r="E16" i="55" s="1"/>
  <c r="D70" i="52"/>
  <c r="F70" i="52" s="1"/>
  <c r="D27" i="59"/>
  <c r="D13" i="59"/>
  <c r="D12" i="59"/>
  <c r="G70" i="52" l="1"/>
  <c r="C13" i="54"/>
  <c r="C35" i="56"/>
  <c r="C30" i="54" s="1"/>
  <c r="H9" i="64"/>
  <c r="D59" i="52"/>
  <c r="D60" i="52"/>
  <c r="D61" i="52"/>
  <c r="F16" i="55"/>
  <c r="D19" i="59"/>
  <c r="D18" i="59"/>
  <c r="D14" i="59"/>
  <c r="H70" i="52" l="1"/>
  <c r="I64" i="50" s="1"/>
  <c r="E30" i="54"/>
  <c r="D30" i="54"/>
  <c r="C36" i="54"/>
  <c r="C16" i="54"/>
  <c r="C17" i="54" s="1"/>
  <c r="F59" i="52"/>
  <c r="F61" i="52"/>
  <c r="F22" i="57" s="1"/>
  <c r="F19" i="55" s="1"/>
  <c r="F60" i="52"/>
  <c r="E22" i="57" s="1"/>
  <c r="E19" i="55" s="1"/>
  <c r="D21" i="59"/>
  <c r="C37" i="54" l="1"/>
  <c r="C38" i="54" s="1"/>
  <c r="E37" i="54"/>
  <c r="E38" i="54" s="1"/>
  <c r="D37" i="54"/>
  <c r="D38" i="54" s="1"/>
  <c r="D36" i="54"/>
  <c r="E36" i="54"/>
  <c r="D22" i="57"/>
  <c r="D19" i="55" s="1"/>
  <c r="D67" i="52"/>
  <c r="F67" i="52" s="1"/>
  <c r="F65" i="52"/>
  <c r="D66" i="52"/>
  <c r="F66" i="52" s="1"/>
  <c r="C39" i="54" l="1"/>
  <c r="C40" i="54" s="1"/>
  <c r="C41" i="54" s="1"/>
  <c r="E39" i="54"/>
  <c r="E40" i="54" s="1"/>
  <c r="E41" i="54" s="1"/>
  <c r="D39" i="54"/>
  <c r="D40" i="54" s="1"/>
  <c r="D41" i="54" s="1"/>
  <c r="D62" i="55"/>
  <c r="H27" i="64" s="1"/>
  <c r="H32" i="64" s="1"/>
  <c r="D47" i="55"/>
  <c r="F22" i="55"/>
  <c r="D34" i="55"/>
  <c r="D65" i="55" l="1"/>
  <c r="E62" i="55"/>
  <c r="J27" i="64" s="1"/>
  <c r="J32" i="64" s="1"/>
  <c r="E47" i="55"/>
  <c r="K82" i="50" s="1"/>
  <c r="K87" i="50" s="1"/>
  <c r="F62" i="55"/>
  <c r="F65" i="55" s="1"/>
  <c r="F47" i="55"/>
  <c r="M82" i="50" s="1"/>
  <c r="M87" i="50" s="1"/>
  <c r="E22" i="55"/>
  <c r="E65" i="55" l="1"/>
  <c r="L27" i="64"/>
  <c r="L32" i="64" s="1"/>
  <c r="C83" i="64" l="1"/>
  <c r="B75" i="64"/>
  <c r="B77" i="64" s="1"/>
  <c r="D115" i="64" l="1"/>
  <c r="D116" i="64"/>
  <c r="B96" i="64" l="1"/>
  <c r="D96" i="64"/>
  <c r="K49" i="52" l="1"/>
  <c r="K50" i="52"/>
  <c r="K48" i="52"/>
  <c r="E50" i="52"/>
  <c r="E38" i="52"/>
  <c r="K53" i="52" l="1"/>
  <c r="K64" i="52" s="1"/>
  <c r="E51" i="52"/>
  <c r="E52" i="52"/>
  <c r="K52" i="52"/>
  <c r="K63" i="52" s="1"/>
  <c r="K51" i="52"/>
  <c r="K62" i="52" s="1"/>
  <c r="E53" i="52"/>
  <c r="E58" i="52" s="1"/>
  <c r="E64" i="52" l="1"/>
  <c r="F64" i="52" s="1"/>
  <c r="E57" i="52"/>
  <c r="H63" i="52" s="1"/>
  <c r="E63" i="52"/>
  <c r="F63" i="52" s="1"/>
  <c r="E56" i="52"/>
  <c r="H56" i="52" s="1"/>
  <c r="E62" i="52"/>
  <c r="F62" i="52" s="1"/>
  <c r="H58" i="52"/>
  <c r="F58" i="52"/>
  <c r="F18" i="57" s="1"/>
  <c r="H64" i="52"/>
  <c r="F56" i="52" l="1"/>
  <c r="D18" i="57" s="1"/>
  <c r="H62" i="52"/>
  <c r="I62" i="52" s="1"/>
  <c r="I63" i="52"/>
  <c r="I64" i="52"/>
  <c r="F57" i="52"/>
  <c r="E18" i="57" s="1"/>
  <c r="E19" i="57" s="1"/>
  <c r="H57" i="52"/>
  <c r="E61" i="55"/>
  <c r="J26" i="64" s="1"/>
  <c r="D61" i="55"/>
  <c r="H26" i="64" s="1"/>
  <c r="F19" i="57"/>
  <c r="F17" i="55"/>
  <c r="F61" i="55"/>
  <c r="L26" i="64" s="1"/>
  <c r="F55" i="55" l="1"/>
  <c r="E55" i="55"/>
  <c r="D55" i="55"/>
  <c r="E20" i="55"/>
  <c r="E21" i="57"/>
  <c r="E23" i="57" s="1"/>
  <c r="E18" i="55" s="1"/>
  <c r="F20" i="55"/>
  <c r="F21" i="57"/>
  <c r="F23" i="57" s="1"/>
  <c r="F18" i="55" s="1"/>
  <c r="F41" i="55" s="1"/>
  <c r="D19" i="57"/>
  <c r="D17" i="55"/>
  <c r="D46" i="55" s="1"/>
  <c r="I81" i="50" s="1"/>
  <c r="E20" i="57"/>
  <c r="E21" i="55" s="1"/>
  <c r="E17" i="55"/>
  <c r="E46" i="55" s="1"/>
  <c r="K81" i="50" s="1"/>
  <c r="F50" i="55"/>
  <c r="F20" i="57"/>
  <c r="F21" i="55" s="1"/>
  <c r="F46" i="55"/>
  <c r="M81" i="50" s="1"/>
  <c r="E40" i="55" l="1"/>
  <c r="K70" i="50" s="1"/>
  <c r="F56" i="55"/>
  <c r="L16" i="64" s="1"/>
  <c r="E56" i="55"/>
  <c r="J16" i="64" s="1"/>
  <c r="D56" i="55"/>
  <c r="H16" i="64" s="1"/>
  <c r="D20" i="55"/>
  <c r="D21" i="57"/>
  <c r="D23" i="57" s="1"/>
  <c r="D18" i="55" s="1"/>
  <c r="D20" i="57"/>
  <c r="D21" i="55" s="1"/>
  <c r="E50" i="55"/>
  <c r="E41" i="55"/>
  <c r="H15" i="64"/>
  <c r="D50" i="55"/>
  <c r="I82" i="50"/>
  <c r="E30" i="71" s="1"/>
  <c r="L15" i="64"/>
  <c r="F40" i="55"/>
  <c r="M70" i="50" s="1"/>
  <c r="J15" i="64"/>
  <c r="M71" i="50"/>
  <c r="I87" i="50" l="1"/>
  <c r="D41" i="55"/>
  <c r="I71" i="50" s="1"/>
  <c r="D40" i="55"/>
  <c r="I70" i="50" s="1"/>
  <c r="K71" i="50"/>
  <c r="D20" i="59" l="1"/>
  <c r="D28" i="59" s="1"/>
  <c r="D29" i="59" s="1"/>
  <c r="D33" i="55" s="1"/>
  <c r="D53" i="55" s="1"/>
  <c r="D52" i="55" l="1"/>
  <c r="F52" i="55" s="1"/>
  <c r="F53" i="55"/>
  <c r="E53" i="55"/>
  <c r="E52" i="55" l="1"/>
  <c r="D27" i="57" l="1"/>
  <c r="D27" i="55" l="1"/>
  <c r="D28" i="57"/>
  <c r="D29" i="57" s="1"/>
  <c r="D30" i="55" s="1"/>
  <c r="F27" i="57" l="1"/>
  <c r="E27" i="57"/>
  <c r="E28" i="57" s="1"/>
  <c r="E29" i="57" s="1"/>
  <c r="E30" i="55" s="1"/>
  <c r="D42" i="55"/>
  <c r="D57" i="55"/>
  <c r="H18" i="64" s="1"/>
  <c r="D63" i="55"/>
  <c r="H29" i="64" s="1"/>
  <c r="E63" i="55"/>
  <c r="J29" i="64" s="1"/>
  <c r="D30" i="57"/>
  <c r="D28" i="55" s="1"/>
  <c r="D29" i="55"/>
  <c r="D48" i="55"/>
  <c r="E42" i="55" l="1"/>
  <c r="K73" i="50" s="1"/>
  <c r="I73" i="50"/>
  <c r="E46" i="71" s="1"/>
  <c r="I84" i="50"/>
  <c r="E43" i="71" s="1"/>
  <c r="D43" i="55"/>
  <c r="D45" i="55" s="1"/>
  <c r="I77" i="50" s="1"/>
  <c r="E37" i="71" s="1"/>
  <c r="E58" i="55"/>
  <c r="E60" i="55" s="1"/>
  <c r="J22" i="64" s="1"/>
  <c r="E57" i="55"/>
  <c r="J18" i="64" s="1"/>
  <c r="D58" i="55"/>
  <c r="H19" i="64" s="1"/>
  <c r="E29" i="55"/>
  <c r="E30" i="57"/>
  <c r="E28" i="55" s="1"/>
  <c r="E27" i="55"/>
  <c r="F27" i="55"/>
  <c r="F28" i="57"/>
  <c r="D59" i="55"/>
  <c r="D44" i="55"/>
  <c r="I76" i="50" s="1"/>
  <c r="D49" i="55"/>
  <c r="I86" i="50" s="1"/>
  <c r="E64" i="55"/>
  <c r="J31" i="64" s="1"/>
  <c r="D64" i="55"/>
  <c r="H31" i="64" s="1"/>
  <c r="E44" i="55" l="1"/>
  <c r="K76" i="50" s="1"/>
  <c r="E35" i="71"/>
  <c r="E28" i="71"/>
  <c r="I74" i="50"/>
  <c r="E48" i="71" s="1"/>
  <c r="E59" i="55"/>
  <c r="J21" i="64" s="1"/>
  <c r="E48" i="55"/>
  <c r="K84" i="50" s="1"/>
  <c r="E43" i="55"/>
  <c r="K74" i="50" s="1"/>
  <c r="F48" i="55"/>
  <c r="M84" i="50" s="1"/>
  <c r="J19" i="64"/>
  <c r="D60" i="55"/>
  <c r="H22" i="64" s="1"/>
  <c r="F63" i="55"/>
  <c r="F57" i="55"/>
  <c r="F29" i="57"/>
  <c r="F30" i="55" s="1"/>
  <c r="F30" i="57"/>
  <c r="F28" i="55" s="1"/>
  <c r="F29" i="55"/>
  <c r="H21" i="64"/>
  <c r="E45" i="55" l="1"/>
  <c r="K77" i="50" s="1"/>
  <c r="F49" i="55"/>
  <c r="M86" i="50" s="1"/>
  <c r="E49" i="55"/>
  <c r="K86" i="50" s="1"/>
  <c r="F43" i="55"/>
  <c r="M74" i="50" s="1"/>
  <c r="F42" i="55"/>
  <c r="M73" i="50" s="1"/>
  <c r="L18" i="64"/>
  <c r="F59" i="55"/>
  <c r="F58" i="55"/>
  <c r="L29" i="64"/>
  <c r="F64" i="55"/>
  <c r="L31" i="64" s="1"/>
  <c r="F45" i="55" l="1"/>
  <c r="M77" i="50" s="1"/>
  <c r="F44" i="55"/>
  <c r="M76" i="50" s="1"/>
  <c r="L21" i="64"/>
  <c r="F60" i="55"/>
  <c r="L22" i="64" s="1"/>
  <c r="L19" i="64"/>
</calcChain>
</file>

<file path=xl/comments1.xml><?xml version="1.0" encoding="utf-8"?>
<comments xmlns="http://schemas.openxmlformats.org/spreadsheetml/2006/main">
  <authors>
    <author>Michael Crabtree</author>
    <author>Ashara Peiris</author>
    <author>mara</author>
    <author>Brian Allan</author>
  </authors>
  <commentList>
    <comment ref="L29" authorId="0" shapeId="0">
      <text>
        <r>
          <rPr>
            <sz val="9"/>
            <color indexed="81"/>
            <rFont val="Tahoma"/>
            <family val="2"/>
          </rPr>
          <t>This should be the "date of joining" shown on your annual benefit statement. We use this to calculate your service to retirement.</t>
        </r>
      </text>
    </comment>
    <comment ref="L33" authorId="0" shapeId="0">
      <text>
        <r>
          <rPr>
            <sz val="9"/>
            <color indexed="81"/>
            <rFont val="Tahoma"/>
            <family val="2"/>
          </rPr>
          <t>This service only refers to service transferred in to the final salary scheme (NPA 60/65).</t>
        </r>
      </text>
    </comment>
    <comment ref="L36" authorId="0" shapeId="0">
      <text>
        <r>
          <rPr>
            <sz val="9"/>
            <color indexed="81"/>
            <rFont val="Tahoma"/>
            <family val="2"/>
          </rPr>
          <t>The scheme year starts on 1 April</t>
        </r>
      </text>
    </comment>
    <comment ref="L38" authorId="0" shapeId="0">
      <text>
        <r>
          <rPr>
            <sz val="9"/>
            <color indexed="81"/>
            <rFont val="Tahoma"/>
            <family val="2"/>
          </rPr>
          <t xml:space="preserve">Input any date after age 55 at which you wish to see your estimated retirement benefits. </t>
        </r>
      </text>
    </comment>
    <comment ref="N44" authorId="0" shapeId="0">
      <text>
        <r>
          <rPr>
            <sz val="9"/>
            <color indexed="81"/>
            <rFont val="Tahoma"/>
            <family val="2"/>
          </rPr>
          <t>See your annual benefit statement for this information. Also include any transferred-in CARE benefit here.</t>
        </r>
      </text>
    </comment>
    <comment ref="L46" authorId="0" shapeId="0">
      <text>
        <r>
          <rPr>
            <sz val="9"/>
            <color indexed="81"/>
            <rFont val="Tahoma"/>
            <family val="2"/>
          </rPr>
          <t>Please select "some part-time" if you currently work part time, if you have worked part time at some point during your career or if you have taken a career break at some point in your career</t>
        </r>
      </text>
    </comment>
    <comment ref="L48" authorId="0" shapeId="0">
      <text>
        <r>
          <rPr>
            <sz val="9"/>
            <color indexed="81"/>
            <rFont val="Tahoma"/>
            <family val="2"/>
          </rPr>
          <t xml:space="preserve">Please input the hours you currently work per week as a percentage of full-time hours. If you currently work full-time, please input 100%.
</t>
        </r>
      </text>
    </comment>
    <comment ref="L54" authorId="0" shapeId="0">
      <text>
        <r>
          <rPr>
            <sz val="9"/>
            <color indexed="81"/>
            <rFont val="Tahoma"/>
            <family val="2"/>
          </rPr>
          <t>Please include transferred-in service in this reckonable service.</t>
        </r>
      </text>
    </comment>
    <comment ref="D154" authorId="1" shapeId="0">
      <text>
        <r>
          <rPr>
            <b/>
            <sz val="9"/>
            <color indexed="81"/>
            <rFont val="Tahoma"/>
            <family val="2"/>
          </rPr>
          <t>Ashara Peiris:</t>
        </r>
        <r>
          <rPr>
            <sz val="9"/>
            <color indexed="81"/>
            <rFont val="Tahoma"/>
            <family val="2"/>
          </rPr>
          <t xml:space="preserve">
Why doesn't this account for taper?Because the age is the same for NFPS and 2015
</t>
        </r>
      </text>
    </comment>
    <comment ref="E162" authorId="2" shapeId="0">
      <text>
        <r>
          <rPr>
            <b/>
            <sz val="9"/>
            <color indexed="81"/>
            <rFont val="Tahoma"/>
            <family val="2"/>
          </rPr>
          <t>mara:</t>
        </r>
        <r>
          <rPr>
            <sz val="9"/>
            <color indexed="81"/>
            <rFont val="Tahoma"/>
            <family val="2"/>
          </rPr>
          <t xml:space="preserve">
this date includes transfer in service.</t>
        </r>
      </text>
    </comment>
    <comment ref="C193" authorId="3" shapeId="0">
      <text>
        <r>
          <rPr>
            <b/>
            <sz val="9"/>
            <color indexed="81"/>
            <rFont val="Tahoma"/>
            <family val="2"/>
          </rPr>
          <t>Brian Allan:</t>
        </r>
        <r>
          <rPr>
            <sz val="9"/>
            <color indexed="81"/>
            <rFont val="Tahoma"/>
            <family val="2"/>
          </rPr>
          <t xml:space="preserve">
updated max to 65 to reflect Peter Spreadbury email 14Aug2012</t>
        </r>
      </text>
    </comment>
    <comment ref="C194" authorId="3"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mara</author>
    <author>Brian Allan</author>
  </authors>
  <commentList>
    <comment ref="D98" authorId="0" shapeId="0">
      <text>
        <r>
          <rPr>
            <b/>
            <sz val="9"/>
            <color indexed="81"/>
            <rFont val="Tahoma"/>
            <family val="2"/>
          </rPr>
          <t>mara:</t>
        </r>
        <r>
          <rPr>
            <sz val="9"/>
            <color indexed="81"/>
            <rFont val="Tahoma"/>
            <family val="2"/>
          </rPr>
          <t xml:space="preserve">
this date includes transfer in service.</t>
        </r>
      </text>
    </comment>
    <comment ref="B129" authorId="1" shapeId="0">
      <text>
        <r>
          <rPr>
            <b/>
            <sz val="9"/>
            <color indexed="81"/>
            <rFont val="Tahoma"/>
            <family val="2"/>
          </rPr>
          <t>Brian Allan:</t>
        </r>
        <r>
          <rPr>
            <sz val="9"/>
            <color indexed="81"/>
            <rFont val="Tahoma"/>
            <family val="2"/>
          </rPr>
          <t xml:space="preserve">
updated max to 65 to reflect Peter Spreadbury email 14Aug2012</t>
        </r>
      </text>
    </comment>
    <comment ref="B130" authorId="1"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3.xml><?xml version="1.0" encoding="utf-8"?>
<comments xmlns="http://schemas.openxmlformats.org/spreadsheetml/2006/main">
  <authors>
    <author>Ashara Peiris</author>
  </authors>
  <commentList>
    <comment ref="F23" authorId="0" shapeId="0">
      <text>
        <r>
          <rPr>
            <b/>
            <sz val="9"/>
            <color indexed="81"/>
            <rFont val="Tahoma"/>
            <family val="2"/>
          </rPr>
          <t>Ashara Peiris:</t>
        </r>
        <r>
          <rPr>
            <sz val="9"/>
            <color indexed="81"/>
            <rFont val="Tahoma"/>
            <family val="2"/>
          </rPr>
          <t xml:space="preserve">
Doesn't actually rely on whether PPS or NPPS</t>
        </r>
      </text>
    </comment>
    <comment ref="D34"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35" authorId="0" shapeId="0">
      <text>
        <r>
          <rPr>
            <b/>
            <sz val="9"/>
            <color indexed="81"/>
            <rFont val="Tahoma"/>
            <family val="2"/>
          </rPr>
          <t>Ashara Peiris:</t>
        </r>
        <r>
          <rPr>
            <sz val="9"/>
            <color indexed="81"/>
            <rFont val="Tahoma"/>
            <family val="2"/>
          </rPr>
          <t xml:space="preserve">
If part time then service
= Past reck service + 
service to DOR *PTP</t>
        </r>
      </text>
    </comment>
    <comment ref="G45" authorId="0" shapeId="0">
      <text>
        <r>
          <rPr>
            <b/>
            <sz val="9"/>
            <color indexed="81"/>
            <rFont val="Tahoma"/>
            <family val="2"/>
          </rPr>
          <t>Ashara Peiris:</t>
        </r>
        <r>
          <rPr>
            <sz val="9"/>
            <color indexed="81"/>
            <rFont val="Tahoma"/>
            <family val="2"/>
          </rPr>
          <t xml:space="preserve">
Use these ratios to calculate the nominal pension as ratio will be the same</t>
        </r>
      </text>
    </comment>
    <comment ref="B48" authorId="0" shapeId="0">
      <text>
        <r>
          <rPr>
            <b/>
            <sz val="9"/>
            <color indexed="81"/>
            <rFont val="Tahoma"/>
            <family val="2"/>
          </rPr>
          <t>Ashara Peiris:</t>
        </r>
        <r>
          <rPr>
            <sz val="9"/>
            <color indexed="81"/>
            <rFont val="Tahoma"/>
            <family val="2"/>
          </rPr>
          <t xml:space="preserve">
Pre ERF and LRF</t>
        </r>
      </text>
    </comment>
    <comment ref="B56" authorId="0" shapeId="0">
      <text>
        <r>
          <rPr>
            <b/>
            <sz val="9"/>
            <color indexed="81"/>
            <rFont val="Tahoma"/>
            <family val="2"/>
          </rPr>
          <t>Ashara Peiris:</t>
        </r>
        <r>
          <rPr>
            <sz val="9"/>
            <color indexed="81"/>
            <rFont val="Tahoma"/>
            <family val="2"/>
          </rPr>
          <t xml:space="preserve">
With ERF and LRF applied</t>
        </r>
      </text>
    </comment>
    <comment ref="B62" authorId="0" shapeId="0">
      <text>
        <r>
          <rPr>
            <b/>
            <sz val="9"/>
            <color indexed="81"/>
            <rFont val="Tahoma"/>
            <family val="2"/>
          </rPr>
          <t>Ashara Peiris:</t>
        </r>
        <r>
          <rPr>
            <sz val="9"/>
            <color indexed="81"/>
            <rFont val="Tahoma"/>
            <family val="2"/>
          </rPr>
          <t xml:space="preserve">
No discounting, just ninal figures</t>
        </r>
      </text>
    </comment>
  </commentList>
</comments>
</file>

<file path=xl/sharedStrings.xml><?xml version="1.0" encoding="utf-8"?>
<sst xmlns="http://schemas.openxmlformats.org/spreadsheetml/2006/main" count="752" uniqueCount="540">
  <si>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</si>
  <si>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</si>
  <si>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</si>
  <si>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</si>
  <si>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</si>
  <si>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</si>
  <si>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</si>
  <si>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</si>
  <si>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</si>
  <si>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</si>
  <si>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</si>
  <si>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</si>
  <si>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</si>
  <si>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</si>
  <si>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</si>
  <si>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</si>
  <si>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</si>
  <si>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</si>
  <si>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</si>
  <si>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</si>
  <si>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</si>
  <si>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</si>
  <si>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</si>
  <si>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</si>
  <si>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</si>
  <si>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</si>
  <si>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</si>
  <si>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</si>
  <si>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</si>
  <si>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</si>
  <si>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</si>
  <si>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</si>
  <si>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</si>
  <si>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</si>
  <si>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</si>
  <si>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</si>
  <si>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</si>
  <si>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</si>
  <si>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</si>
  <si>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</si>
  <si>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</si>
  <si>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</si>
  <si>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</si>
  <si>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</si>
  <si>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</si>
  <si>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</si>
  <si>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</si>
  <si>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</si>
  <si>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</si>
  <si>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</si>
  <si>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</si>
  <si>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</si>
  <si>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</si>
  <si>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</si>
  <si>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</si>
  <si>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</si>
  <si>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</si>
  <si>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</si>
  <si>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</si>
  <si>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</si>
  <si>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</si>
  <si>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</si>
  <si>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</si>
  <si>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</si>
  <si>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</si>
  <si>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</si>
  <si>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</si>
  <si>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</si>
  <si>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</si>
  <si>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</si>
  <si>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</si>
  <si>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</si>
  <si>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</si>
  <si>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</si>
  <si>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</si>
  <si>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</si>
  <si>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</si>
  <si>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</si>
  <si>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</si>
  <si>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</si>
  <si>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</si>
  <si>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</si>
  <si>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Age at protection date</t>
  </si>
  <si>
    <t>Results used</t>
  </si>
  <si>
    <t>Service at protection date</t>
  </si>
  <si>
    <t>This aims to give an estimate of a police officer's pension at different retirement ages</t>
  </si>
  <si>
    <t>Service</t>
  </si>
  <si>
    <t>Date of retirement</t>
  </si>
  <si>
    <t>Age at retirement</t>
  </si>
  <si>
    <t>Accrual rate</t>
  </si>
  <si>
    <t>Age</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</si>
  <si>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</si>
  <si>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</si>
  <si>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</si>
  <si>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</si>
  <si>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</si>
  <si>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</si>
  <si>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</si>
  <si>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</si>
  <si>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</si>
  <si>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</si>
  <si>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</si>
  <si>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</si>
  <si>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</si>
  <si>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</si>
  <si>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</si>
  <si>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</si>
  <si>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</si>
  <si>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</si>
  <si>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</si>
  <si>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</si>
  <si>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DJS adjusted for TVIN service</t>
  </si>
  <si>
    <t>Deferred pension decreases (CARE only)</t>
  </si>
  <si>
    <t>Maximum service (years)</t>
  </si>
  <si>
    <t>What will you get when you retire?</t>
  </si>
  <si>
    <t>age next birthday</t>
  </si>
  <si>
    <t>Understanding the results (Notes and Assumptions)</t>
  </si>
  <si>
    <t>Important information - please read this before you start</t>
  </si>
  <si>
    <t>Detailed notes (which explain some of the details of the calculations)</t>
  </si>
  <si>
    <t>more info</t>
  </si>
  <si>
    <t>- The results shown are only estimates, based on your inputs and other assumptions.</t>
  </si>
  <si>
    <t>B: Your benefits</t>
  </si>
  <si>
    <t>Please enter the following details about yourself</t>
  </si>
  <si>
    <t>1. Your date of birth (dd/mm/yyyy)</t>
  </si>
  <si>
    <t>A: Your details</t>
  </si>
  <si>
    <t>not allowed after DJS minus 18 years</t>
  </si>
  <si>
    <t>combination of the above</t>
  </si>
  <si>
    <t>Dob not before 65 years ago</t>
  </si>
  <si>
    <t>Adjusted DJS</t>
  </si>
  <si>
    <t>Full</t>
  </si>
  <si>
    <t>Tapered</t>
  </si>
  <si>
    <t>None</t>
  </si>
  <si>
    <t>Protection type</t>
  </si>
  <si>
    <t>Text to display</t>
  </si>
  <si>
    <t>Plus</t>
  </si>
  <si>
    <t>n/a</t>
  </si>
  <si>
    <t>Full-time</t>
  </si>
  <si>
    <t>Part-time</t>
  </si>
  <si>
    <t>Service at the benefit statement date on a full time basis</t>
  </si>
  <si>
    <t>Reckonable service for part time member cannot be greater than their full time equivalent service</t>
  </si>
  <si>
    <t>Benefit statement date cannot be greater than today's date</t>
  </si>
  <si>
    <t>Today</t>
  </si>
  <si>
    <t>maximum pension</t>
  </si>
  <si>
    <t>Maximum lump sum</t>
  </si>
  <si>
    <t>Original calculations</t>
  </si>
  <si>
    <t>CARE past service pension</t>
  </si>
  <si>
    <t>CARE future service pension</t>
  </si>
  <si>
    <t>Current Date</t>
  </si>
  <si>
    <t>Accrued CARE benefit</t>
  </si>
  <si>
    <t>v0.1</t>
  </si>
  <si>
    <t>Ashara Peiris</t>
  </si>
  <si>
    <t>Past Service CARE Calcs</t>
  </si>
  <si>
    <t>&gt; Enter worksheet title here</t>
  </si>
  <si>
    <t>Pre 2015 Pension</t>
  </si>
  <si>
    <t>Lump Sum Commutation</t>
  </si>
  <si>
    <t>Max Lump Sum</t>
  </si>
  <si>
    <t>Years</t>
  </si>
  <si>
    <t>Complete months</t>
  </si>
  <si>
    <t>Exact</t>
  </si>
  <si>
    <t>Age at DPC</t>
  </si>
  <si>
    <t>CARE scheme Commutation Factor</t>
  </si>
  <si>
    <t>CPI</t>
  </si>
  <si>
    <t>mjr: this is salary increases minus cpi</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</si>
  <si>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</si>
  <si>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</si>
  <si>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</si>
  <si>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</si>
  <si>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</si>
  <si>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</si>
  <si>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</si>
  <si>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</si>
  <si>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</si>
  <si>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</si>
  <si>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</si>
  <si>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</si>
  <si>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</si>
  <si>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</si>
  <si>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</si>
  <si>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</si>
  <si>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</si>
  <si>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</si>
  <si>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</si>
  <si>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</si>
  <si>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</si>
  <si>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</si>
  <si>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</si>
  <si>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</si>
  <si>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</si>
  <si>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</si>
  <si>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Chosen retirement</t>
  </si>
  <si>
    <t>Post 2015 service at:</t>
  </si>
  <si>
    <t>Maximum Amount Commutable</t>
  </si>
  <si>
    <t>1 April 2015</t>
  </si>
  <si>
    <t>CARE factor</t>
  </si>
  <si>
    <t>salary</t>
  </si>
  <si>
    <t>Max Commuted</t>
  </si>
  <si>
    <t>Post 2015 at SPA</t>
  </si>
  <si>
    <t>Pre-2015 Calcs Used And Results</t>
  </si>
  <si>
    <t>Chosen ret age</t>
  </si>
  <si>
    <t>Retirement to SPA</t>
  </si>
  <si>
    <t>Post 2015 pension results</t>
  </si>
  <si>
    <t>Service to Retirement</t>
  </si>
  <si>
    <t>Discount factor (1+s)</t>
  </si>
  <si>
    <t>Protection Status</t>
  </si>
  <si>
    <t>Protection End Date</t>
  </si>
  <si>
    <t>Exact Age (at start of scheme year)</t>
  </si>
  <si>
    <t>Age Last Birthday (at start of scheme year)</t>
  </si>
  <si>
    <t>Salary factor</t>
  </si>
  <si>
    <t>Discounted pension</t>
  </si>
  <si>
    <t>Start of Scheme Year</t>
  </si>
  <si>
    <t>CARE Information</t>
  </si>
  <si>
    <t>Non-Tapered Members</t>
  </si>
  <si>
    <t>Tapered Members</t>
  </si>
  <si>
    <t>Service from Today to Chosen DoR</t>
  </si>
  <si>
    <t>CARE revalued to date of retirement</t>
  </si>
  <si>
    <t>Post-Commutation Pension</t>
  </si>
  <si>
    <t>Final Pension (includes PTP)</t>
  </si>
  <si>
    <t xml:space="preserve">- This calculator is for guidance purposes only and is an estimate only. It is not intended to provide you with financial advice. If you require financial advice, you should contact an independent financial adviser. </t>
  </si>
  <si>
    <t>- Transitional and tapered protection have been allowed for in the results.</t>
  </si>
  <si>
    <t>Integer period to retirement (from DoC)</t>
  </si>
  <si>
    <t>Remainder of period to retirement (from DoC)</t>
  </si>
  <si>
    <t>Integer period to retirement (from protection end)</t>
  </si>
  <si>
    <t>Remainder of period to retirement (from protection end)</t>
  </si>
  <si>
    <t>Pension over entire period (including tapered time)</t>
  </si>
  <si>
    <t>Length of future taper period</t>
  </si>
  <si>
    <t>Revalued pension missed in taper period</t>
  </si>
  <si>
    <t>Taper service</t>
  </si>
  <si>
    <t>Service from DoC to Protection End Date</t>
  </si>
  <si>
    <t>- This calculator will provide an illustration of your pension at a chosen retirement age.</t>
  </si>
  <si>
    <t>2% (CPI + 0% )</t>
  </si>
  <si>
    <t>Annual Salary Increase Assumptions</t>
  </si>
  <si>
    <t>3% (CPI + 1% )</t>
  </si>
  <si>
    <t>4% (CPI + 2% )</t>
  </si>
  <si>
    <t>2015 Scheme</t>
  </si>
  <si>
    <t>Scheme Conversion</t>
  </si>
  <si>
    <t>Retirement Date</t>
  </si>
  <si>
    <t>Ret Age</t>
  </si>
  <si>
    <t>1. Assuming maximum commutation of pension</t>
  </si>
  <si>
    <t>2. Assuming no commutation of pension</t>
  </si>
  <si>
    <t>Total pension</t>
  </si>
  <si>
    <t>ABS Projection</t>
  </si>
  <si>
    <t>ABS Projection to 60</t>
  </si>
  <si>
    <t>CARE pension</t>
  </si>
  <si>
    <t>Post-15 Pension</t>
  </si>
  <si>
    <t>Pre-15 Pension</t>
  </si>
  <si>
    <t>Total Pension</t>
  </si>
  <si>
    <t>-The results sections (1) and (2) allow for salary increases, inflation and revaluation of CARE benefits on three different sets of assumptions. The assumed salary increases do not allow for any future promotional salary increases you may receive.</t>
  </si>
  <si>
    <t>Months</t>
  </si>
  <si>
    <t>Days</t>
  </si>
  <si>
    <t>Projected full time salary at retirement</t>
  </si>
  <si>
    <t>ERF and LRF</t>
  </si>
  <si>
    <t>For ERF lookup function</t>
  </si>
  <si>
    <t>month, rounded up so period early is in complete months</t>
  </si>
  <si>
    <t>Exact age</t>
  </si>
  <si>
    <t>Complete years</t>
  </si>
  <si>
    <t>fraction of year</t>
  </si>
  <si>
    <t>Date turned 60</t>
  </si>
  <si>
    <t>ERF</t>
  </si>
  <si>
    <t>Early and Late Retirement Factors</t>
  </si>
  <si>
    <t>Rounded figures</t>
  </si>
  <si>
    <t>Current salary</t>
  </si>
  <si>
    <t>1987 Scheme pension</t>
  </si>
  <si>
    <t>2015 Scheme pension</t>
  </si>
  <si>
    <t>Total lump sum</t>
  </si>
  <si>
    <t>Assuming max commutation</t>
  </si>
  <si>
    <t>Assuming no commutation</t>
  </si>
  <si>
    <t>Lump sum</t>
  </si>
  <si>
    <t>Past service from ABS?</t>
  </si>
  <si>
    <t>3. The date you joined the scheme (dd/mm/yyyy)</t>
  </si>
  <si>
    <t>2. Your name (first name and surname)</t>
  </si>
  <si>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</si>
  <si>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</si>
  <si>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</si>
  <si>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</si>
  <si>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</si>
  <si>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</si>
  <si>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</si>
  <si>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</si>
  <si>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</si>
  <si>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</si>
  <si>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</si>
  <si>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</si>
  <si>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 xml:space="preserve">Printed on </t>
  </si>
  <si>
    <t>Scottish Fire pension  projection calculator</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</si>
  <si>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</si>
  <si>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</si>
  <si>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</si>
  <si>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</si>
  <si>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</si>
  <si>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</si>
  <si>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</si>
  <si>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entry</t>
  </si>
  <si>
    <t>LRF</t>
  </si>
  <si>
    <r>
      <t xml:space="preserve">- </t>
    </r>
    <r>
      <rPr>
        <b/>
        <sz val="10"/>
        <rFont val="Arial"/>
        <family val="2"/>
      </rPr>
      <t>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t>
    </r>
  </si>
  <si>
    <t>- The amount of pension you may receive depends on when you retire.</t>
  </si>
  <si>
    <t>- The illustrations do not allow for taxation. Your benefits will be subject to the various tax rates and limits in force when you retire. Further information on taxation is available on the SPPA website. You may wish to seek specialist advice if you think you could be affected.</t>
  </si>
  <si>
    <t>Warnings (continued over)</t>
  </si>
  <si>
    <t>- The results produced are not formal statement of your entitlements.</t>
  </si>
  <si>
    <t>- This calculator only applies to the scheme in Scotland</t>
  </si>
  <si>
    <t>- Allowing for promotional salary increases would increase the projected benefits.</t>
  </si>
  <si>
    <t>- If you wish to seek financial advice, please contact an authorised independent financial adviser. The results above are not to be considered as financial advice.  SPPA does not accept responsibility for the accuracy of results produced.</t>
  </si>
  <si>
    <t>31 March</t>
  </si>
  <si>
    <t>Annual benefit statement years for drop down</t>
  </si>
  <si>
    <t>Table 1</t>
  </si>
  <si>
    <t>Table 2</t>
  </si>
  <si>
    <t>Age at protection date in complete months</t>
  </si>
  <si>
    <t>Above cell in complete months</t>
  </si>
  <si>
    <t>6. Your pensionable earnings (full time equivalent at the start of the current scheme year)</t>
  </si>
  <si>
    <t>link to FAQs</t>
  </si>
  <si>
    <t>2015 Microsite</t>
  </si>
  <si>
    <t>Scheme Guides</t>
  </si>
  <si>
    <t>Number of years service used in calculating final salary benefits</t>
  </si>
  <si>
    <t>Pre-15 service used to calculate FS pension</t>
  </si>
  <si>
    <t>Validation</t>
  </si>
  <si>
    <t>Short-term adjustment</t>
  </si>
  <si>
    <t>CARE Revaluation  NAE = CPI + 2%</t>
  </si>
  <si>
    <t>NPA60</t>
  </si>
  <si>
    <t>NPA65</t>
  </si>
  <si>
    <t>NPA 65 start date</t>
  </si>
  <si>
    <t>Service between NPA 65 start date and protection date</t>
  </si>
  <si>
    <t>NPA 60 Scheme</t>
  </si>
  <si>
    <t>NPA 65 Scheme</t>
  </si>
  <si>
    <t>Mixed Scheme</t>
  </si>
  <si>
    <t>Scottish Teachers' Pension Scheme Calculator</t>
  </si>
  <si>
    <t>Mixed</t>
  </si>
  <si>
    <t>Service at NPA 65 Scheme start date</t>
  </si>
  <si>
    <t>Age at NPA 65 Scheme start</t>
  </si>
  <si>
    <t>Age at 2012</t>
  </si>
  <si>
    <t>NPA - Age at 2012</t>
  </si>
  <si>
    <t>NPA - Age &lt; 10</t>
  </si>
  <si>
    <t>10 &lt;= NPA - Age &lt;= 13.5</t>
  </si>
  <si>
    <t>NPA - Age &gt; 13.5</t>
  </si>
  <si>
    <t>NPA</t>
  </si>
  <si>
    <t>Pre-2015 Calcs - Nominal</t>
  </si>
  <si>
    <t>not allowed after current date minus 18</t>
  </si>
  <si>
    <t>NPA 65 Scheme Commutation Factor</t>
  </si>
  <si>
    <t>NPA 60 Lump sum Factor</t>
  </si>
  <si>
    <t xml:space="preserve"> Table ER1 – NPA 60, Additional Pension, Main Scheme Pension and Lump Sum, STSS </t>
  </si>
  <si>
    <t>Completed Months</t>
  </si>
  <si>
    <t>Notes:</t>
  </si>
  <si>
    <t>1)     These factors are to be used for calculating the actuarial reduction on early retirement for NPA 60 main scheme benefits</t>
  </si>
  <si>
    <t>2)     Benefits to be awarded are obtained by multiplying the accrued benefits by the relevant factor</t>
  </si>
  <si>
    <t>3)    Reduced benefits are to be calculated before any lump sum commutation option is exercised</t>
  </si>
  <si>
    <t>\\Gad-fpt\fpt\NEW DATA\FPT Clients\Teachers\Scotland\Factors\2014-15 Factor review\ERFs\Review 2025\Guidance\Scottish Teachers' Superannuation Scheme (STSS) ERFs 15 June 2015.xlsx</t>
  </si>
  <si>
    <t>NPA 60 Scheme ERFs</t>
  </si>
  <si>
    <r>
      <t>Table ER4</t>
    </r>
    <r>
      <rPr>
        <sz val="11"/>
        <rFont val="Arial"/>
        <family val="2"/>
      </rPr>
      <t xml:space="preserve"> – NPA 65, Main Scheme Pension, STSS</t>
    </r>
  </si>
  <si>
    <r>
      <t>1)</t>
    </r>
    <r>
      <rPr>
        <sz val="7"/>
        <rFont val="Times New Roman"/>
        <family val="1"/>
      </rPr>
      <t xml:space="preserve">     </t>
    </r>
    <r>
      <rPr>
        <sz val="10"/>
        <rFont val="Arial"/>
        <family val="2"/>
      </rPr>
      <t>These factors are to be used for calculating the actuarial reduction on early retirement for NPA 65 main scheme benefits</t>
    </r>
  </si>
  <si>
    <r>
      <t>2)</t>
    </r>
    <r>
      <rPr>
        <sz val="7"/>
        <rFont val="Times New Roman"/>
        <family val="1"/>
      </rPr>
      <t xml:space="preserve">     </t>
    </r>
    <r>
      <rPr>
        <sz val="10"/>
        <rFont val="Arial"/>
        <family val="2"/>
      </rPr>
      <t>Benefits to be awarded are obtained by multiplying the accrued benefits by the relevant factor</t>
    </r>
  </si>
  <si>
    <r>
      <t>3)</t>
    </r>
    <r>
      <rPr>
        <sz val="7"/>
        <rFont val="Times New Roman"/>
        <family val="1"/>
      </rPr>
      <t xml:space="preserve">    </t>
    </r>
    <r>
      <rPr>
        <sz val="10"/>
        <rFont val="Arial"/>
        <family val="2"/>
      </rPr>
      <t>Reduced benefits are to be calculated before any lump sum commutation option is exercised</t>
    </r>
  </si>
  <si>
    <t>NPA 65 Scheme ERFs</t>
  </si>
  <si>
    <r>
      <t>Table ER7</t>
    </r>
    <r>
      <rPr>
        <sz val="11"/>
        <rFont val="Arial"/>
        <family val="2"/>
      </rPr>
      <t xml:space="preserve"> – Active members, All NPAs, Full retirement earned pension, STPS</t>
    </r>
  </si>
  <si>
    <r>
      <t>1)</t>
    </r>
    <r>
      <rPr>
        <sz val="7"/>
        <rFont val="Times New Roman"/>
        <family val="1"/>
      </rPr>
      <t xml:space="preserve">     </t>
    </r>
    <r>
      <rPr>
        <sz val="9"/>
        <rFont val="Arial"/>
        <family val="2"/>
      </rPr>
      <t>These factors are to be used for calculating the actuarial reduction on early retirement for ATPS benefits</t>
    </r>
  </si>
  <si>
    <r>
      <t>2)</t>
    </r>
    <r>
      <rPr>
        <sz val="7"/>
        <rFont val="Times New Roman"/>
        <family val="1"/>
      </rPr>
      <t xml:space="preserve">     </t>
    </r>
    <r>
      <rPr>
        <sz val="9"/>
        <rFont val="Arial"/>
        <family val="2"/>
      </rPr>
      <t>These factors apply only to members who are currently in active service seeking to retire early</t>
    </r>
  </si>
  <si>
    <r>
      <t>3)</t>
    </r>
    <r>
      <rPr>
        <sz val="7"/>
        <rFont val="Times New Roman"/>
        <family val="1"/>
      </rPr>
      <t xml:space="preserve">     </t>
    </r>
    <r>
      <rPr>
        <sz val="9"/>
        <rFont val="Arial"/>
        <family val="2"/>
      </rPr>
      <t>These factors are to be used regardless of the member’s NPA</t>
    </r>
  </si>
  <si>
    <r>
      <t>4)</t>
    </r>
    <r>
      <rPr>
        <sz val="7"/>
        <rFont val="Times New Roman"/>
        <family val="1"/>
      </rPr>
      <t xml:space="preserve">     </t>
    </r>
    <r>
      <rPr>
        <sz val="9"/>
        <rFont val="Arial"/>
        <family val="2"/>
      </rPr>
      <t>These factors need to be used in combination with the standard reduction which applies (for a maximum of 3 years) between age 65 and NPA</t>
    </r>
  </si>
  <si>
    <r>
      <t>5)</t>
    </r>
    <r>
      <rPr>
        <sz val="7"/>
        <rFont val="Times New Roman"/>
        <family val="1"/>
      </rPr>
      <t xml:space="preserve">     </t>
    </r>
    <r>
      <rPr>
        <sz val="9"/>
        <rFont val="Arial"/>
        <family val="2"/>
      </rPr>
      <t>Benefits to be awarded are obtained by multiplying the accrued benefits by the relevant factor in combination with the standard reduction (if any)</t>
    </r>
  </si>
  <si>
    <r>
      <t>6)</t>
    </r>
    <r>
      <rPr>
        <sz val="7"/>
        <rFont val="Times New Roman"/>
        <family val="1"/>
      </rPr>
      <t xml:space="preserve">     </t>
    </r>
    <r>
      <rPr>
        <sz val="9"/>
        <rFont val="Arial"/>
        <family val="2"/>
      </rPr>
      <t>Reduced benefits are to be calculated before any lump sum commutation option is exercised</t>
    </r>
  </si>
  <si>
    <t>CARE Scheme ERFs</t>
  </si>
  <si>
    <t>\\Gad-fpt\fpt\NEW DATA\FPT Clients\Teachers\Scotland\Factors\2014-15 Factor review\ERFs\Review 2025\Guidance\Scottish Teachers' Pension Scheme 2015 (STPS) ERFs 15 June 2015.xlsx</t>
  </si>
  <si>
    <t>CARE Scheme LRFs</t>
  </si>
  <si>
    <t>NPA 65 Scheme LRFs</t>
  </si>
  <si>
    <t>Table LR1</t>
  </si>
  <si>
    <t>STSS, NPA 65 members, Main scheme pension</t>
  </si>
  <si>
    <t>1) These factors are to be used for calculating the actuarial uplift on late retirement from active service for NPA 65 main scheme benefits</t>
  </si>
  <si>
    <t>2) Factors are to be applied to pension calculated based on service accrued to age 65 and final pensionable pay at date of exit</t>
  </si>
  <si>
    <t>3) Benefits to be awarded are obtained by multiplying the benefits calculated as in note 2) by the relevant factor then adding on the unadjusted benefits accrued after age 65</t>
  </si>
  <si>
    <t>4) Increased benefits are to be calculated before any lump sum commutation option is exercised</t>
  </si>
  <si>
    <t>\\Gad-fpt\fpt\NEW DATA\FPT Clients\Teachers\Scotland\Factors\2014-15 Factor review\LRFs\FS\Review 2025\Guidance\STSS Late Retirement Factors issued 17 June 2015.xlsx</t>
  </si>
  <si>
    <t>There are no NPA 60 Scheme ERFs</t>
  </si>
  <si>
    <t>Table CLR1</t>
  </si>
  <si>
    <t>Scottish Teachers' Pension Scheme 2015: Actuarial Factors</t>
  </si>
  <si>
    <t>Benefits payable to the member on late retirement (with actuarial uplift)</t>
  </si>
  <si>
    <t>STPS, Active members, All NPAs, Full retirement earned pension</t>
  </si>
  <si>
    <t>1) These factors are to be used for calculating the actuarial uplift on late retirement for members' full retirement earned pension.</t>
  </si>
  <si>
    <t>2) Factors are only to be applied to a member’s full retirement earned pension in respect of service before NPA.</t>
  </si>
  <si>
    <t>3) Factors are selected according to the number of years and complete months the member late retires after NPA.</t>
  </si>
  <si>
    <t>4) Benefits to be awarded are obtained by multiplying the benefits in note 2) by the relevant factor then adding on the unadjusted benefits accrued after NPA.</t>
  </si>
  <si>
    <t>5) Increased benefits are to be calculated before any lump sum commutation option is exercised.</t>
  </si>
  <si>
    <t>\\Gad-fpt\fpt\NEW DATA\FPT Clients\Teachers\Scotland\Factors\2014-15 Factor review\LRFs\CARE\Review 2025\Guidance\STPS Late Retirement Factor Guidance DRAFT 20 May 2015.xlsx</t>
  </si>
  <si>
    <t>Maximum commutation NPA 60</t>
  </si>
  <si>
    <t>Maximum commutation NPA 65</t>
  </si>
  <si>
    <t>Maximum commutation CARE</t>
  </si>
  <si>
    <t>Max Commutation Amount</t>
  </si>
  <si>
    <t>NPA 60 Scheme Commutation Factor</t>
  </si>
  <si>
    <t>Max Commutation lump sum</t>
  </si>
  <si>
    <t>Non-Commutation lump sum</t>
  </si>
  <si>
    <t>Pre NPA Pension - CPI + 0%</t>
  </si>
  <si>
    <t>Pre NPA Pension - CPI + 1%</t>
  </si>
  <si>
    <t>Pre NPA Pension - CPI + 2%</t>
  </si>
  <si>
    <t>Post NPA Pension - CPI + 0%</t>
  </si>
  <si>
    <t>Post NPA Pension - CPI + 1%</t>
  </si>
  <si>
    <t>Post NPA Pension - CPI + 2%</t>
  </si>
  <si>
    <t>Pre NPA service</t>
  </si>
  <si>
    <t>Post NPA service</t>
  </si>
  <si>
    <t>Pre and Post NPA Pension (used for NPA 65)</t>
  </si>
  <si>
    <t>NPA 65 Lump Sum</t>
  </si>
  <si>
    <t>\\Gad-fpt\fpt\NEW DATA\FPT Clients\Teachers\Scotland\General\2017\Benefit Calculator\Pension calculator STSS v0.1.xlsx</t>
  </si>
  <si>
    <t>Assuming max commutation - nominal</t>
  </si>
  <si>
    <t>Assuming no commutation - nominal</t>
  </si>
  <si>
    <r>
      <t xml:space="preserve">Your benefits  </t>
    </r>
    <r>
      <rPr>
        <b/>
        <sz val="18"/>
        <rFont val="Calibri"/>
        <family val="2"/>
      </rPr>
      <t xml:space="preserve">̶ </t>
    </r>
    <r>
      <rPr>
        <b/>
        <sz val="18"/>
        <rFont val="Arial"/>
        <family val="2"/>
      </rPr>
      <t xml:space="preserve"> nominal values, without removing the effect of future  inflation</t>
    </r>
  </si>
  <si>
    <t>Your projected benefits under different salary increase assumptions, in nominal money terms (before removing the effect of future inflation).</t>
  </si>
  <si>
    <t>Your projected benefits under different salary increase assumptions, in nominal money terms (without removing the effect of future inflation).</t>
  </si>
  <si>
    <t>not allowed after 2015 minus 19</t>
  </si>
  <si>
    <t>PPS</t>
  </si>
  <si>
    <t>NPPS</t>
  </si>
  <si>
    <t>reach 30 years' PPS service</t>
  </si>
  <si>
    <t>reach 25 years' PPS service</t>
  </si>
  <si>
    <t xml:space="preserve"> min when reach 30 years' PPS service, or 50-55 if get to 25 years total service then, o/w 55.  Max 65</t>
  </si>
  <si>
    <t>NPPS min 55, max 65</t>
  </si>
  <si>
    <t>PPS min when reach 30 years' PPS service, or 50-55 if get to 25 years total service then, o/w 55.  Max 65</t>
  </si>
  <si>
    <t>Nominal Pension - CPI + 0%</t>
  </si>
  <si>
    <t>Nominal Pension - CPI + 1%</t>
  </si>
  <si>
    <t>Nominal Pension - CPI + 2%</t>
  </si>
  <si>
    <t>Full Nominal check</t>
  </si>
  <si>
    <t>Pension over entire period (including taper and ERF/LRF)</t>
  </si>
  <si>
    <t>http://www.sppa.gov.uk/Documents/STSS/STSS%20Useful%20Resources/Valuations/STSS_2012%20valuation_Report%20by%20the%20scheme%20actuary_27%20February%202015.pdf</t>
  </si>
  <si>
    <t>http://www.eis.org.uk/Pension_Scheme_Changes_2015/STPS2015.htm##Commutation</t>
  </si>
  <si>
    <t>"What the scheme menas for you"</t>
  </si>
  <si>
    <t>Age at entry exact</t>
  </si>
  <si>
    <t>Age at protection date end - NPA 65</t>
  </si>
  <si>
    <t>NPA 65 check</t>
  </si>
  <si>
    <t>Max Lump Sum (including commutation)</t>
  </si>
  <si>
    <t>Max Lump Sum (no commutation)</t>
  </si>
  <si>
    <t>ERF/LRF</t>
  </si>
  <si>
    <r>
      <t xml:space="preserve">Calculator based on Fire benefit calculator. Note that cells shaded in light red denote figures or calculations that are not needed. Not deleted in case they are needed in future
</t>
    </r>
    <r>
      <rPr>
        <b/>
        <sz val="10"/>
        <rFont val="Arial"/>
        <family val="2"/>
      </rPr>
      <t xml:space="preserve">Calculator
</t>
    </r>
    <r>
      <rPr>
        <sz val="10"/>
        <rFont val="Arial"/>
        <family val="2"/>
      </rPr>
      <t xml:space="preserve">Added NPA 65 transferred in service input
Put formula in I31 so that scheme is selected automatically based on the date joined scheme
</t>
    </r>
    <r>
      <rPr>
        <b/>
        <sz val="10"/>
        <rFont val="Arial"/>
        <family val="2"/>
      </rPr>
      <t xml:space="preserve">Printable estimate
</t>
    </r>
    <r>
      <rPr>
        <sz val="10"/>
        <rFont val="Arial"/>
        <family val="2"/>
      </rPr>
      <t xml:space="preserve">Added in figure for automatic lump sum for NPA 60 members
</t>
    </r>
    <r>
      <rPr>
        <b/>
        <sz val="10"/>
        <rFont val="Arial"/>
        <family val="2"/>
      </rPr>
      <t xml:space="preserve">Nominal results
</t>
    </r>
    <r>
      <rPr>
        <sz val="10"/>
        <rFont val="Arial"/>
        <family val="2"/>
      </rPr>
      <t xml:space="preserve">Added in nominal results tab
</t>
    </r>
    <r>
      <rPr>
        <b/>
        <sz val="10"/>
        <rFont val="Arial"/>
        <family val="2"/>
      </rPr>
      <t xml:space="preserve">Parameters
</t>
    </r>
    <r>
      <rPr>
        <sz val="10"/>
        <rFont val="Arial"/>
        <family val="2"/>
      </rPr>
      <t xml:space="preserve">Deleted sections where not needed
Added in new section name parameters, accrual rates, maximum service amounts, NPA 65 start date
</t>
    </r>
    <r>
      <rPr>
        <b/>
        <sz val="10"/>
        <rFont val="Arial"/>
        <family val="2"/>
      </rPr>
      <t xml:space="preserve">Tapers
</t>
    </r>
    <r>
      <rPr>
        <sz val="10"/>
        <rFont val="Arial"/>
        <family val="2"/>
      </rPr>
      <t xml:space="preserve">Removed old tapers and updated with NPA 60 and 65 scheme tapers
</t>
    </r>
    <r>
      <rPr>
        <b/>
        <sz val="10"/>
        <rFont val="Arial"/>
        <family val="2"/>
      </rPr>
      <t xml:space="preserve">Commutation factors
</t>
    </r>
    <r>
      <rPr>
        <sz val="10"/>
        <rFont val="Arial"/>
        <family val="2"/>
      </rPr>
      <t xml:space="preserve">Updated with relevant commutation factors
</t>
    </r>
    <r>
      <rPr>
        <b/>
        <sz val="10"/>
        <rFont val="Arial"/>
        <family val="2"/>
      </rPr>
      <t>ERF and LRF</t>
    </r>
    <r>
      <rPr>
        <sz val="10"/>
        <rFont val="Arial"/>
        <family val="2"/>
      </rPr>
      <t xml:space="preserve">
Updated with relevant ERFs and LRFs
</t>
    </r>
    <r>
      <rPr>
        <b/>
        <sz val="10"/>
        <rFont val="Arial"/>
        <family val="2"/>
      </rPr>
      <t/>
    </r>
  </si>
  <si>
    <r>
      <rPr>
        <b/>
        <sz val="10"/>
        <rFont val="Arial"/>
        <family val="2"/>
      </rPr>
      <t>FS Calcs</t>
    </r>
    <r>
      <rPr>
        <sz val="10"/>
        <rFont val="Arial"/>
        <family val="2"/>
      </rPr>
      <t xml:space="preserve">
Added D17 and D13
Added 25:30 and amended calculation of protection end date
27:32 are used to calculate the protection and taper dates
Added in pre and post NPA service in 36:37
ERF and LRF calculated in 53:54
Simplified calculation of pension and lump (in discounted and nominal terms)
Carried out automated checks on figures to ensure that they are correct
</t>
    </r>
    <r>
      <rPr>
        <b/>
        <sz val="10"/>
        <rFont val="Arial"/>
        <family val="2"/>
      </rPr>
      <t>Past service calcs</t>
    </r>
    <r>
      <rPr>
        <sz val="10"/>
        <rFont val="Arial"/>
        <family val="2"/>
      </rPr>
      <t xml:space="preserve">
21:22 calculates the pre and post NPA part of service. LRF applied to post NPA service and ERF to entire service
</t>
    </r>
    <r>
      <rPr>
        <b/>
        <sz val="10"/>
        <rFont val="Arial"/>
        <family val="2"/>
      </rPr>
      <t>CARE calcs</t>
    </r>
    <r>
      <rPr>
        <sz val="10"/>
        <rFont val="Arial"/>
        <family val="2"/>
      </rPr>
      <t xml:space="preserve">
Added in 40:49 which adjusts pre and post NPA service to account for the ERFs and LRFs.
This service is fed into the rest of the calcs and used to calculate the final pension (discounted and nominal)
</t>
    </r>
    <r>
      <rPr>
        <b/>
        <sz val="10"/>
        <rFont val="Arial"/>
        <family val="2"/>
      </rPr>
      <t>Lump sum</t>
    </r>
    <r>
      <rPr>
        <sz val="10"/>
        <rFont val="Arial"/>
        <family val="2"/>
      </rPr>
      <t xml:space="preserve">
Split lump sums into commutation and non-commutation lumps
Added in nominal calculations
</t>
    </r>
    <r>
      <rPr>
        <b/>
        <sz val="10"/>
        <rFont val="Arial"/>
        <family val="2"/>
      </rPr>
      <t xml:space="preserve">Summary
</t>
    </r>
    <r>
      <rPr>
        <sz val="10"/>
        <rFont val="Arial"/>
        <family val="2"/>
      </rPr>
      <t>Added in 19 which pulls into the assuming no commutation calcs
Added nominal calcs</t>
    </r>
  </si>
  <si>
    <t>mjr: checked against current guidance table ER1</t>
  </si>
  <si>
    <t>mjr: checked against current guidance table ER4</t>
  </si>
  <si>
    <t>mjr: checked against current guidance table ER7</t>
  </si>
  <si>
    <t>CARE past service pension (before ERF and LRF)</t>
  </si>
  <si>
    <t>Standard reduction</t>
  </si>
  <si>
    <t>2015 scheme standard reduction</t>
  </si>
  <si>
    <t>per year down to age 65</t>
  </si>
  <si>
    <t>Combined early reduction</t>
  </si>
  <si>
    <t>Approximate effective LRF</t>
  </si>
  <si>
    <t>pre NPA membership of 2015 scheme</t>
  </si>
  <si>
    <t>post NPA membership of 2015 scheme</t>
  </si>
  <si>
    <t>mjr</t>
  </si>
  <si>
    <t>in CARE calcs changed the calculation of LRF in row 26. The LRF applies to pre-NPA accrual only. Post-NPA accrual does not attract an uplift. Approximate this by pro-rating the benefit at DoR by pre NPA proportion of service, and adding the proportion of post -npa service.</t>
  </si>
  <si>
    <t>Also changed the ERF. The standard reduction applies down to age 65, and is combined with an erf wrt age 65  for the actual early ret age</t>
  </si>
  <si>
    <t>cpi + 1.6%</t>
  </si>
  <si>
    <t>mjr:ok</t>
  </si>
  <si>
    <t>mjr: ok</t>
  </si>
  <si>
    <t>mjr: checked and agree the taper tables.</t>
  </si>
  <si>
    <t>Don't understand the comment about adding npa 65 transferred service. The input boxes were already there. I removed the wording directing the user to select from the drop down for scheme. Corrected the automatic lump sum in the Calculator sheet at the high growth rate. Required a correction in Summary to pull through the lump sum. Corrected real terms automatic lump sum in Summary. It was picking up the nominal rather than real numbers. Nominal results tab looks ok, but need a detailed check. Changed CARE revaluation parameter to be cpi + 1.6%. New parameters are correct. Checked and agree the taper tables. Checked and agree the lrf and erf tables.CFs are correct.</t>
  </si>
  <si>
    <t>Deleted the career break input cells</t>
  </si>
  <si>
    <t>Adjusted for any career break to determine protection. (Not applicable for teachers.</t>
  </si>
  <si>
    <t>mjr:ok no lrf for npa 60 section. Lrf for npa 65 section only applies to preNPA accrual.</t>
  </si>
  <si>
    <t>career break is not relevant for teachers. It is for Fire because the protection rules are service dependent in some cases. Other changes in FS calcs checked and agreed. Care CALCS - the method for ERF and LRF was wrong. I corrected it. Checked and agree the lump sum and nominal lump sum calculations.</t>
  </si>
  <si>
    <t>Period to discount for inflation</t>
  </si>
  <si>
    <t>Tyidied up CARE calcs sheet. Projection should be from start of current scheme year, as past CAFRE accrual is already allowed for separately.</t>
  </si>
  <si>
    <t>7. Retirement date for illustration (dd/mm/yyyy)</t>
  </si>
  <si>
    <t>Past service from ABS</t>
  </si>
  <si>
    <t>The end date of your current annual benefit statement</t>
  </si>
  <si>
    <t xml:space="preserve"> 31 March</t>
  </si>
  <si>
    <t>End of protection</t>
  </si>
  <si>
    <t>Date started in 2015 scheme</t>
  </si>
  <si>
    <t>Start Date of Year</t>
  </si>
  <si>
    <t>End Date of Year</t>
  </si>
  <si>
    <t>is today greater than the end of year?</t>
  </si>
  <si>
    <t>did 2015 scheme service startbefore the end of the year?</t>
  </si>
  <si>
    <t>service during year part 1</t>
  </si>
  <si>
    <t>service during year part 2</t>
  </si>
  <si>
    <t>No years to wind back current salary</t>
  </si>
  <si>
    <t>Wound back salary</t>
  </si>
  <si>
    <t xml:space="preserve">Sum </t>
  </si>
  <si>
    <t>Input accrued CARE</t>
  </si>
  <si>
    <t>As at date</t>
  </si>
  <si>
    <t>revalued to date of ret</t>
  </si>
  <si>
    <t>Accrued Care from ABS?</t>
  </si>
  <si>
    <t>accrued benefit to use</t>
  </si>
  <si>
    <t>10. Your current part-time proportion (entered as percentage e.g. 50%)</t>
  </si>
  <si>
    <t>11. The end date of the year covered by your current ABS</t>
  </si>
  <si>
    <t>12. The reckonable service on your annual  benefit statement</t>
  </si>
  <si>
    <t>Apply ERF and LRF</t>
  </si>
  <si>
    <t>start of projection</t>
  </si>
  <si>
    <t>projection term</t>
  </si>
  <si>
    <t>CARE projection term</t>
  </si>
  <si>
    <t>SPA to DoR</t>
  </si>
  <si>
    <t>total CARE membership</t>
  </si>
  <si>
    <t>Date joined/join CARE</t>
  </si>
  <si>
    <t>total</t>
  </si>
  <si>
    <t>from joining CARE</t>
  </si>
  <si>
    <t>remaining taper period</t>
  </si>
  <si>
    <t>integer part of total projection</t>
  </si>
  <si>
    <t>remainder part of total projection</t>
  </si>
  <si>
    <t>integer part of taper deduction</t>
  </si>
  <si>
    <t>remainder part of taper projection</t>
  </si>
  <si>
    <t>low</t>
  </si>
  <si>
    <t>medium</t>
  </si>
  <si>
    <t>high</t>
  </si>
  <si>
    <t>this may be before transfer into CARE</t>
  </si>
  <si>
    <t>the general method is to project care from the start of the current scheme year, then subtract off what would be accrued during the remaining part of the taper in that period, revalued to the DoR.</t>
  </si>
  <si>
    <t>sets to zero if prot status = full</t>
  </si>
  <si>
    <t>- The results do not include any money purchase Additional Voluntary Contributions (AVCs) benefits, Added 60ths or Additional Pension which you may have purchased, pension debits or other special arrangements within the schemes. If your 2015 pension includes transferred-in benefits, for simplicity this projection has revalued them at the same rate as Teachers' scheme benefits. A different rate of revaluation may apply to transferred-in benefits in practice.</t>
  </si>
  <si>
    <t>- Your scheme provides survivor benefits payable in the event of your death. These are not shown here. See the guide on the SPPA website for details.</t>
  </si>
  <si>
    <t>- The 2015 scheme is a Career Average Revalued Earnings (CARE) scheme with an annual accrual rate of 1/57 of pensionable earnings and revaluation for active members before retirement in line with CPI + 1.6%.</t>
  </si>
  <si>
    <t xml:space="preserve">Scottish Teachers' Pension Scheme </t>
  </si>
  <si>
    <r>
      <t xml:space="preserve">8. </t>
    </r>
    <r>
      <rPr>
        <b/>
        <sz val="11"/>
        <rFont val="Arial"/>
        <family val="2"/>
      </rPr>
      <t>This question is for 2015 scheme members only</t>
    </r>
  </si>
  <si>
    <t xml:space="preserve">  (This will be shown on your annual benefit statement)</t>
  </si>
  <si>
    <t>5. Please enter any service credited from a transfer in (final salary scheme only)</t>
  </si>
  <si>
    <t>9. Have you had any periods of part-time working (choose from the list in the box)?</t>
  </si>
  <si>
    <t>Always full-time</t>
  </si>
  <si>
    <t>Some part-time</t>
  </si>
  <si>
    <t>If you have selected 'Some part-time', please fill in the section below</t>
  </si>
  <si>
    <t>Changed q9 on  input of part-time to ask if member has ever had period of part-time working, changed the wordings in the dropo-down, and amended all dependent cells to refer to "some part-time"</t>
  </si>
  <si>
    <t>changed to allow for entry over SPA. In that case c11-c12 is negative.</t>
  </si>
  <si>
    <t>if entry &gt; spa, uses total membership.</t>
  </si>
  <si>
    <t>SPPA requested change. Removed restriction on current age to allow ages &gt;65. This involved amending the input validation and the LRF calculations to allow for entry at ages over SPA. See r21 in CARE calcs.</t>
  </si>
  <si>
    <t>Member before 1/4/2012?</t>
  </si>
  <si>
    <t>Number of years' service used in calculating final salary benefits</t>
  </si>
  <si>
    <t>plus</t>
  </si>
  <si>
    <t>What could you get when you retire?</t>
  </si>
  <si>
    <t>- The calculator does not provide an illustration of benefits for retirement on the grounds of ill-health, for which you should contact SPPA.</t>
  </si>
  <si>
    <t>- Please read the Notes for further details and limitations on the results produced.</t>
  </si>
  <si>
    <t>Annual Pay Increase Assumptions</t>
  </si>
  <si>
    <t>-The 2015 scheme active member in-service revaluation has been set at 3.6% in all cases</t>
  </si>
  <si>
    <t>- Normal Pension Age in the 2015 Scheme is State Pension Age (SPa). Where your selected retirement date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at retirement, that will not be shown here.</t>
  </si>
  <si>
    <t>IC</t>
  </si>
  <si>
    <t>- The results sections (1) and (2) shows the amount of your projected pension at today's monetary value (after adjusting for assumed future inflation).</t>
  </si>
  <si>
    <t>Changed results section - removed text (yourprojected benefits after adjusting for assumed future inflation). Moved pa. Changed Slary increases to Pay increases. Changed Notes Sheet to clarify CPI, pay increase assumptions, date of entry and commutation, and no provision for ill-health or multiple part-time employments.</t>
  </si>
  <si>
    <t xml:space="preserve">- Long term CPI has been assumed to be 2.0% per year. The calculator presents three sets of results, by using long-term pay increases of (i) 0.0%, (ii) 1.0% and (iii) 2.0% on top of CPI  each year. However, if the selected retirement date is before 1/4/2020, the lowest rate of pay increases has been set to 1% (CPI – 1%). </t>
  </si>
  <si>
    <t>- For Members with tapered protection, the Results Section shows the date of entry to the 2015 scheme. If no date is present, your date of entry would have been 1 April 2015, or your date of first enrolling into the scheme if after.</t>
  </si>
  <si>
    <t>- If you indicated you have worked part time, the calculator has allowed for part-time hours worked up to your most recent Annual Benefit Statement. It has also assumed you have worked your current part-time hours since then and will continue to do so until retirement. However, it is not currently possible to input two separate concurrent employments.</t>
  </si>
  <si>
    <t>- The calculator does not show pensions from other sources, for example the state pension or other private arrangements you may have.</t>
  </si>
  <si>
    <t>- It is assumed that you will remain in active service until your selected retirement date, and that you will retire on normal terms (i.e. you are not retiring on the grounds of ill-health).</t>
  </si>
  <si>
    <r>
      <t xml:space="preserve">- When you retire you may be able to choose to convert some of your pension to receive a lump sum (or additional lump sum for NPA 60 members). This is known as </t>
    </r>
    <r>
      <rPr>
        <b/>
        <sz val="10"/>
        <rFont val="Arial"/>
        <family val="2"/>
      </rPr>
      <t>Commutation</t>
    </r>
    <r>
      <rPr>
        <sz val="10"/>
        <rFont val="Arial"/>
        <family val="2"/>
      </rPr>
      <t>. The results sections show (1) the effect of commuting your pension to maximise your lump sum and (2) without any commutation.</t>
    </r>
  </si>
  <si>
    <t>- The results shown are estimated, using a given set of assumptions.  Using different assumptions in the calculations could produce different results.</t>
  </si>
  <si>
    <t>- The calculator uses factors currently in effect. These factors are reviewed periodically. When you actually retire, the scheme factors in force at the time will be used, if appropriate. This may produce different results, other things being equal, to those illustrated here.</t>
  </si>
  <si>
    <t>- If future experience differs from the assumptions used, the pension you will receive at retirement will be different from those shown.</t>
  </si>
  <si>
    <t>MJR</t>
  </si>
  <si>
    <t>Notes updated by SPPA. Bug reported by SPPA. Changed CARE calcs sheet to prevent including CARE calc when DoR is before date strat CARE. See sheet CARE Calcs cells C6 and C25</t>
  </si>
  <si>
    <t>mjr 15/5/18: changed to allow for case when total CARE membership is zero.</t>
  </si>
  <si>
    <t>mjr 15/5/18: changhed to restrict date joined CARE to be on or before DoR.</t>
  </si>
  <si>
    <t>JJ</t>
  </si>
  <si>
    <t xml:space="preserve">Agree change to calculator </t>
  </si>
  <si>
    <t>Dob not before 75 years ago</t>
  </si>
  <si>
    <t xml:space="preserve">   Do you know your CARE pension to date? </t>
  </si>
  <si>
    <t>"Calculator" sheet updated. Cell B137 formula changed to adjust year parameter from Year-70 to year -75.
More info notes in Q3 and 6 clarified. Changed text in Q8 from "accrued scheme benefit" to "CARE pension to date" in line with term used on members' annual benefit statements.</t>
  </si>
  <si>
    <t>checked and agreed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</si>
</sst>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0.000"/>
    <numFmt numFmtId="170" formatCode="[$-809]dd\ mmmm\ yyyy;@"/>
    <numFmt numFmtId="171" formatCode="#,##0.0000"/>
    <numFmt numFmtId="172" formatCode="0.0"/>
    <numFmt numFmtId="173" formatCode="0.0000000"/>
    <numFmt numFmtId="174" formatCode="0.00000000"/>
    <numFmt numFmtId="175" formatCode="dd/mm/yyyy;@"/>
    <numFmt numFmtId="176" formatCode="0.000000"/>
    <numFmt numFmtId="177" formatCode="[$-F800]dddd\,\ mmmm\ dd\,\ yyyy"/>
    <numFmt numFmtId="178" formatCode="_-* #,##0.0000_-;\-* #,##0.0000_-;_-* &quot;-&quot;??_-;_-@_-"/>
  </numFmts>
  <fonts count="70"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b/>
      <sz val="18"/>
      <name val="Arial"/>
      <family val="2"/>
    </font>
    <font>
      <b/>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sz val="13"/>
      <name val="Arial"/>
      <family val="2"/>
    </font>
    <font>
      <b/>
      <sz val="18"/>
      <color theme="0"/>
      <name val="Arial"/>
      <family val="2"/>
    </font>
    <font>
      <sz val="15"/>
      <color rgb="FFFF0000"/>
      <name val="Arial"/>
      <family val="2"/>
    </font>
    <font>
      <sz val="8"/>
      <color rgb="FF0000FF"/>
      <name val="Arial"/>
      <family val="2"/>
    </font>
    <font>
      <sz val="7"/>
      <name val="Times New Roman"/>
      <family val="1"/>
    </font>
    <font>
      <sz val="9"/>
      <name val="Arial"/>
      <family val="2"/>
    </font>
    <font>
      <sz val="10"/>
      <name val="Times New Roman"/>
      <family val="1"/>
    </font>
    <font>
      <b/>
      <sz val="18"/>
      <name val="Calibri"/>
      <family val="2"/>
    </font>
    <font>
      <b/>
      <sz val="10"/>
      <name val="Calibri"/>
      <family val="2"/>
      <scheme val="minor"/>
    </font>
    <font>
      <b/>
      <sz val="13"/>
      <name val="Arial"/>
      <family val="2"/>
    </font>
    <font>
      <b/>
      <u/>
      <sz val="18"/>
      <color theme="0"/>
      <name val="Arial"/>
      <family val="2"/>
    </font>
  </fonts>
  <fills count="17">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theme="0" tint="-0.499984740745262"/>
        <bgColor indexed="64"/>
      </patternFill>
    </fill>
    <fill>
      <patternFill patternType="solid">
        <fgColor rgb="FFFFFFFF"/>
        <bgColor indexed="64"/>
      </patternFill>
    </fill>
    <fill>
      <patternFill patternType="solid">
        <fgColor theme="3" tint="-0.249977111117893"/>
        <bgColor indexed="64"/>
      </patternFill>
    </fill>
    <fill>
      <patternFill patternType="solid">
        <fgColor rgb="FF808080"/>
        <bgColor indexed="64"/>
      </patternFill>
    </fill>
  </fills>
  <borders count="47">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style="medium">
        <color rgb="FFFFFFFF"/>
      </left>
      <right/>
      <top style="medium">
        <color rgb="FF000000"/>
      </top>
      <bottom/>
      <diagonal/>
    </border>
    <border>
      <left/>
      <right style="medium">
        <color rgb="FFFFFFFF"/>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1"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79">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1" fillId="0" borderId="0" xfId="3" applyAlignment="1" applyProtection="1"/>
    <xf numFmtId="0" fontId="20" fillId="0" borderId="0" xfId="0" applyNumberFormat="1" applyFont="1"/>
    <xf numFmtId="44" fontId="0" fillId="0" borderId="0" xfId="0" applyNumberFormat="1"/>
    <xf numFmtId="10" fontId="20" fillId="0" borderId="0" xfId="0" applyNumberFormat="1" applyFont="1"/>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14" fontId="32" fillId="0" borderId="0" xfId="0" applyNumberFormat="1" applyFont="1"/>
    <xf numFmtId="2" fontId="0" fillId="0" borderId="0" xfId="0" applyNumberFormat="1"/>
    <xf numFmtId="167" fontId="0" fillId="0" borderId="0" xfId="0" applyNumberFormat="1"/>
    <xf numFmtId="0" fontId="33" fillId="3" borderId="0" xfId="0" applyFont="1" applyFill="1"/>
    <xf numFmtId="0" fontId="33" fillId="3" borderId="0" xfId="0" applyFont="1" applyFill="1" applyAlignment="1" applyProtection="1"/>
    <xf numFmtId="0" fontId="34" fillId="0" borderId="0" xfId="0" applyFont="1" applyAlignment="1">
      <alignment vertical="top"/>
    </xf>
    <xf numFmtId="0" fontId="32" fillId="0" borderId="0" xfId="0" applyFont="1"/>
    <xf numFmtId="2" fontId="0" fillId="0" borderId="0" xfId="0" applyNumberFormat="1" applyBorder="1"/>
    <xf numFmtId="2" fontId="0" fillId="0" borderId="23" xfId="0" applyNumberFormat="1" applyBorder="1"/>
    <xf numFmtId="0" fontId="35" fillId="0" borderId="0" xfId="0" applyFont="1"/>
    <xf numFmtId="0" fontId="36" fillId="0" borderId="0" xfId="0" applyFont="1"/>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2" fontId="0" fillId="0" borderId="25" xfId="0" applyNumberForma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0" fillId="0" borderId="23" xfId="0" applyBorder="1"/>
    <xf numFmtId="0" fontId="3" fillId="0" borderId="12" xfId="0" applyFont="1" applyFill="1" applyBorder="1"/>
    <xf numFmtId="0" fontId="3" fillId="0" borderId="4" xfId="0" applyFont="1" applyFill="1"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26" xfId="0" applyBorder="1"/>
    <xf numFmtId="10" fontId="35" fillId="0" borderId="0" xfId="0" applyNumberFormat="1" applyFont="1"/>
    <xf numFmtId="168" fontId="35" fillId="0" borderId="0" xfId="4" applyNumberFormat="1" applyFont="1"/>
    <xf numFmtId="14" fontId="0" fillId="0" borderId="27" xfId="0" applyNumberFormat="1" applyBorder="1"/>
    <xf numFmtId="14" fontId="0" fillId="0" borderId="10" xfId="0" applyNumberFormat="1" applyBorder="1"/>
    <xf numFmtId="14" fontId="0" fillId="0" borderId="9" xfId="0" applyNumberFormat="1" applyBorder="1"/>
    <xf numFmtId="14" fontId="0" fillId="0" borderId="11"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28" xfId="0" applyNumberFormat="1" applyBorder="1" applyAlignment="1">
      <alignment horizontal="right"/>
    </xf>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4" fontId="0" fillId="0" borderId="22" xfId="0" applyNumberFormat="1" applyBorder="1" applyAlignment="1">
      <alignment horizontal="right"/>
    </xf>
    <xf numFmtId="3" fontId="0" fillId="0" borderId="5" xfId="0" applyNumberFormat="1" applyBorder="1"/>
    <xf numFmtId="0" fontId="1" fillId="0" borderId="25" xfId="0" applyFont="1" applyBorder="1"/>
    <xf numFmtId="14" fontId="0" fillId="0" borderId="0" xfId="0" applyNumberFormat="1" applyBorder="1"/>
    <xf numFmtId="14" fontId="0" fillId="0" borderId="23"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0" fontId="37" fillId="0" borderId="0" xfId="0" applyFont="1"/>
    <xf numFmtId="0" fontId="38" fillId="0" borderId="0" xfId="0" applyFont="1" applyFill="1" applyBorder="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4" fontId="1" fillId="0" borderId="0" xfId="0" applyNumberFormat="1" applyFont="1" applyBorder="1"/>
    <xf numFmtId="4" fontId="1" fillId="0" borderId="0" xfId="0" applyNumberFormat="1" applyFont="1" applyBorder="1" applyAlignment="1">
      <alignment horizontal="right"/>
    </xf>
    <xf numFmtId="0" fontId="1" fillId="0" borderId="0" xfId="0" applyFont="1" applyAlignment="1">
      <alignment wrapText="1"/>
    </xf>
    <xf numFmtId="14" fontId="36" fillId="0" borderId="0" xfId="0" applyNumberFormat="1" applyFont="1" applyProtection="1">
      <protection hidden="1"/>
    </xf>
    <xf numFmtId="14" fontId="35" fillId="0" borderId="0" xfId="0" applyNumberFormat="1" applyFont="1"/>
    <xf numFmtId="0" fontId="1" fillId="0" borderId="4" xfId="0" applyFont="1" applyFill="1" applyBorder="1"/>
    <xf numFmtId="1" fontId="0" fillId="0" borderId="0" xfId="0" applyNumberFormat="1" applyBorder="1"/>
    <xf numFmtId="1" fontId="0" fillId="0" borderId="23" xfId="0" applyNumberFormat="1" applyBorder="1"/>
    <xf numFmtId="1" fontId="0" fillId="0" borderId="28" xfId="0" applyNumberFormat="1" applyBorder="1"/>
    <xf numFmtId="169" fontId="0" fillId="0" borderId="0" xfId="0" applyNumberFormat="1"/>
    <xf numFmtId="1" fontId="0" fillId="0" borderId="0" xfId="0" applyNumberFormat="1"/>
    <xf numFmtId="0" fontId="28" fillId="8" borderId="0" xfId="0" applyFont="1" applyFill="1" applyBorder="1"/>
    <xf numFmtId="49" fontId="29" fillId="8" borderId="0" xfId="0" applyNumberFormat="1" applyFont="1" applyFill="1" applyBorder="1" applyAlignment="1">
      <alignment horizontal="left"/>
    </xf>
    <xf numFmtId="49" fontId="29" fillId="8" borderId="0" xfId="0" quotePrefix="1" applyNumberFormat="1" applyFont="1" applyFill="1" applyBorder="1" applyAlignment="1">
      <alignment horizontal="left" vertical="center"/>
    </xf>
    <xf numFmtId="49" fontId="29" fillId="8" borderId="0" xfId="0" applyNumberFormat="1" applyFont="1" applyFill="1" applyBorder="1" applyAlignment="1">
      <alignment vertical="center" wrapText="1"/>
    </xf>
    <xf numFmtId="49" fontId="26" fillId="8" borderId="0" xfId="0" applyNumberFormat="1" applyFont="1" applyFill="1" applyBorder="1" applyAlignment="1">
      <alignment vertical="center"/>
    </xf>
    <xf numFmtId="49" fontId="29" fillId="8" borderId="0" xfId="0" applyNumberFormat="1" applyFont="1" applyFill="1" applyBorder="1" applyAlignment="1">
      <alignment vertical="center"/>
    </xf>
    <xf numFmtId="0" fontId="34" fillId="0" borderId="0" xfId="0" applyFont="1" applyProtection="1">
      <protection hidden="1"/>
    </xf>
    <xf numFmtId="0" fontId="34" fillId="0" borderId="0" xfId="0" applyFont="1"/>
    <xf numFmtId="14" fontId="3" fillId="0" borderId="0" xfId="0" applyNumberFormat="1" applyFont="1" applyProtection="1">
      <protection hidden="1"/>
    </xf>
    <xf numFmtId="0" fontId="0" fillId="0" borderId="0" xfId="0" applyBorder="1" applyProtection="1">
      <protection hidden="1"/>
    </xf>
    <xf numFmtId="172" fontId="0" fillId="0" borderId="23"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left"/>
    </xf>
    <xf numFmtId="166" fontId="0" fillId="0" borderId="0" xfId="0" applyNumberFormat="1" applyBorder="1"/>
    <xf numFmtId="173" fontId="1" fillId="0" borderId="0" xfId="0" applyNumberFormat="1" applyFont="1" applyProtection="1">
      <protection hidden="1"/>
    </xf>
    <xf numFmtId="174"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9" borderId="0" xfId="5" applyFill="1"/>
    <xf numFmtId="0" fontId="41" fillId="9" borderId="0" xfId="5" applyFont="1" applyFill="1"/>
    <xf numFmtId="0" fontId="41" fillId="9" borderId="22" xfId="5" applyFont="1" applyFill="1" applyBorder="1"/>
    <xf numFmtId="0" fontId="41" fillId="9" borderId="26" xfId="5" applyFont="1" applyFill="1" applyBorder="1"/>
    <xf numFmtId="0" fontId="41" fillId="9" borderId="27" xfId="5" applyFont="1" applyFill="1" applyBorder="1"/>
    <xf numFmtId="0" fontId="41" fillId="9" borderId="28" xfId="5" applyFont="1" applyFill="1" applyBorder="1"/>
    <xf numFmtId="0" fontId="42" fillId="9" borderId="0" xfId="5" applyFont="1" applyFill="1" applyBorder="1"/>
    <xf numFmtId="0" fontId="41" fillId="9" borderId="23" xfId="5" applyFont="1" applyFill="1" applyBorder="1"/>
    <xf numFmtId="0" fontId="41" fillId="0" borderId="23" xfId="5" applyFont="1" applyBorder="1" applyAlignment="1"/>
    <xf numFmtId="0" fontId="41" fillId="9" borderId="7" xfId="5" applyFont="1" applyFill="1" applyBorder="1"/>
    <xf numFmtId="0" fontId="42" fillId="9" borderId="6" xfId="5" applyFont="1" applyFill="1" applyBorder="1"/>
    <xf numFmtId="164" fontId="42" fillId="9" borderId="6" xfId="5" applyNumberFormat="1" applyFont="1" applyFill="1" applyBorder="1"/>
    <xf numFmtId="0" fontId="41" fillId="9" borderId="5" xfId="5" applyFont="1" applyFill="1" applyBorder="1"/>
    <xf numFmtId="164" fontId="42" fillId="9" borderId="0" xfId="5" applyNumberFormat="1" applyFont="1" applyFill="1" applyBorder="1"/>
    <xf numFmtId="0" fontId="41" fillId="9" borderId="0" xfId="5" applyFont="1" applyFill="1" applyBorder="1"/>
    <xf numFmtId="0" fontId="42" fillId="9" borderId="0" xfId="5" applyFont="1" applyFill="1"/>
    <xf numFmtId="0" fontId="44" fillId="9" borderId="26" xfId="5" applyFont="1" applyFill="1" applyBorder="1" applyAlignment="1" applyProtection="1">
      <alignment vertical="center"/>
      <protection hidden="1"/>
    </xf>
    <xf numFmtId="0" fontId="42" fillId="9" borderId="26" xfId="5" applyFont="1" applyFill="1" applyBorder="1"/>
    <xf numFmtId="0" fontId="43" fillId="9" borderId="0" xfId="5" applyFont="1" applyFill="1" applyBorder="1"/>
    <xf numFmtId="0" fontId="41" fillId="9" borderId="6" xfId="5" applyFont="1" applyFill="1" applyBorder="1"/>
    <xf numFmtId="14" fontId="41" fillId="9" borderId="0" xfId="5" applyNumberFormat="1" applyFont="1" applyFill="1"/>
    <xf numFmtId="0" fontId="45" fillId="9" borderId="0" xfId="5" applyFont="1" applyFill="1"/>
    <xf numFmtId="164" fontId="42" fillId="9" borderId="3" xfId="5" applyNumberFormat="1" applyFont="1" applyFill="1" applyBorder="1" applyAlignment="1">
      <alignment horizontal="right"/>
    </xf>
    <xf numFmtId="0" fontId="43" fillId="9" borderId="0" xfId="5" applyFont="1" applyFill="1" applyBorder="1" applyAlignment="1" applyProtection="1">
      <alignment vertical="center" wrapText="1"/>
      <protection hidden="1"/>
    </xf>
    <xf numFmtId="0" fontId="42" fillId="9" borderId="0" xfId="5" applyFont="1" applyFill="1" applyAlignment="1"/>
    <xf numFmtId="0" fontId="41" fillId="0" borderId="0" xfId="5" applyFont="1" applyAlignment="1"/>
    <xf numFmtId="0" fontId="42" fillId="9" borderId="3" xfId="5" applyFont="1" applyFill="1" applyBorder="1" applyAlignment="1">
      <alignment horizontal="right"/>
    </xf>
    <xf numFmtId="0" fontId="42" fillId="9" borderId="0" xfId="5" applyFont="1" applyFill="1" applyBorder="1" applyAlignment="1">
      <alignment horizontal="right"/>
    </xf>
    <xf numFmtId="164" fontId="42" fillId="9" borderId="0" xfId="5" applyNumberFormat="1" applyFont="1" applyFill="1" applyBorder="1" applyAlignment="1">
      <alignment horizontal="right"/>
    </xf>
    <xf numFmtId="0" fontId="43" fillId="9" borderId="0" xfId="5" applyFont="1" applyFill="1" applyBorder="1" applyAlignment="1">
      <alignment wrapText="1"/>
    </xf>
    <xf numFmtId="0" fontId="43" fillId="9" borderId="6" xfId="5" applyFont="1" applyFill="1" applyBorder="1"/>
    <xf numFmtId="164" fontId="42" fillId="9" borderId="6" xfId="5" applyNumberFormat="1" applyFont="1" applyFill="1" applyBorder="1" applyAlignment="1">
      <alignment horizontal="right"/>
    </xf>
    <xf numFmtId="0" fontId="41" fillId="9" borderId="0" xfId="5" applyFont="1" applyFill="1" applyBorder="1" applyAlignment="1" applyProtection="1">
      <alignment vertical="center" wrapText="1"/>
      <protection hidden="1"/>
    </xf>
    <xf numFmtId="0" fontId="46" fillId="9" borderId="0" xfId="5" applyFont="1" applyFill="1"/>
    <xf numFmtId="0" fontId="7" fillId="0" borderId="0" xfId="0" applyFont="1"/>
    <xf numFmtId="0" fontId="1" fillId="0" borderId="12" xfId="0" applyFont="1" applyFill="1" applyBorder="1"/>
    <xf numFmtId="14" fontId="0" fillId="0" borderId="7" xfId="0" applyNumberFormat="1" applyBorder="1"/>
    <xf numFmtId="0" fontId="3" fillId="10" borderId="0" xfId="0" applyFont="1" applyFill="1"/>
    <xf numFmtId="0" fontId="0" fillId="10" borderId="0" xfId="0" applyFill="1"/>
    <xf numFmtId="0" fontId="3" fillId="10" borderId="0" xfId="0" applyFont="1" applyFill="1" applyBorder="1"/>
    <xf numFmtId="0" fontId="3" fillId="0" borderId="0" xfId="0" applyFont="1" applyFill="1"/>
    <xf numFmtId="0" fontId="1" fillId="0" borderId="0" xfId="0" applyFont="1" applyFill="1"/>
    <xf numFmtId="0" fontId="0" fillId="0" borderId="0" xfId="0" applyFill="1" applyBorder="1"/>
    <xf numFmtId="1" fontId="32" fillId="0" borderId="0" xfId="0" applyNumberFormat="1" applyFont="1" applyFill="1" applyBorder="1" applyAlignment="1">
      <alignment horizontal="right" vertical="center"/>
    </xf>
    <xf numFmtId="1" fontId="0" fillId="0" borderId="12" xfId="0" applyNumberFormat="1" applyBorder="1"/>
    <xf numFmtId="3" fontId="1" fillId="0" borderId="22" xfId="0" applyNumberFormat="1" applyFont="1" applyBorder="1"/>
    <xf numFmtId="3" fontId="1" fillId="0" borderId="27" xfId="0" applyNumberFormat="1" applyFont="1" applyBorder="1"/>
    <xf numFmtId="3" fontId="1" fillId="0" borderId="23" xfId="0" applyNumberFormat="1" applyFont="1" applyBorder="1"/>
    <xf numFmtId="3" fontId="1" fillId="0" borderId="5" xfId="0" applyNumberFormat="1" applyFont="1" applyBorder="1"/>
    <xf numFmtId="3" fontId="1" fillId="0" borderId="26" xfId="0" applyNumberFormat="1" applyFont="1" applyBorder="1"/>
    <xf numFmtId="3" fontId="1" fillId="0" borderId="6" xfId="0" applyNumberFormat="1" applyFont="1" applyBorder="1"/>
    <xf numFmtId="0" fontId="1" fillId="0" borderId="28" xfId="0" applyFont="1" applyBorder="1"/>
    <xf numFmtId="0" fontId="0" fillId="9" borderId="0" xfId="0" applyFill="1" applyProtection="1">
      <protection hidden="1"/>
    </xf>
    <xf numFmtId="0" fontId="0" fillId="0" borderId="13" xfId="0" applyBorder="1" applyProtection="1">
      <protection hidden="1"/>
    </xf>
    <xf numFmtId="0" fontId="0" fillId="9" borderId="13" xfId="0" applyFill="1" applyBorder="1" applyProtection="1">
      <protection hidden="1"/>
    </xf>
    <xf numFmtId="0" fontId="1" fillId="9" borderId="0" xfId="0" applyFont="1" applyFill="1" applyProtection="1">
      <protection hidden="1"/>
    </xf>
    <xf numFmtId="0" fontId="0" fillId="9" borderId="37" xfId="0" applyFill="1" applyBorder="1" applyProtection="1">
      <protection hidden="1"/>
    </xf>
    <xf numFmtId="0" fontId="27" fillId="9" borderId="0" xfId="5" applyFont="1" applyFill="1" applyBorder="1" applyProtection="1">
      <protection hidden="1"/>
    </xf>
    <xf numFmtId="0" fontId="12" fillId="9" borderId="0" xfId="5" applyFont="1" applyFill="1" applyBorder="1" applyProtection="1">
      <protection hidden="1"/>
    </xf>
    <xf numFmtId="0" fontId="1" fillId="9" borderId="0" xfId="5" applyFill="1" applyBorder="1" applyProtection="1">
      <protection hidden="1"/>
    </xf>
    <xf numFmtId="0" fontId="1" fillId="0" borderId="0" xfId="5" applyFill="1" applyBorder="1" applyProtection="1">
      <protection hidden="1"/>
    </xf>
    <xf numFmtId="0" fontId="1" fillId="0" borderId="0" xfId="5" applyBorder="1"/>
    <xf numFmtId="0" fontId="3" fillId="9" borderId="0" xfId="5" applyFont="1" applyFill="1" applyBorder="1"/>
    <xf numFmtId="0" fontId="1" fillId="0" borderId="0" xfId="5" applyFont="1" applyFill="1" applyBorder="1" applyProtection="1">
      <protection hidden="1"/>
    </xf>
    <xf numFmtId="49" fontId="1" fillId="9" borderId="0" xfId="5" applyNumberFormat="1" applyFont="1" applyFill="1" applyBorder="1" applyAlignment="1">
      <alignment horizontal="left"/>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49" fontId="3" fillId="9" borderId="0" xfId="5" applyNumberFormat="1" applyFont="1" applyFill="1" applyBorder="1" applyAlignment="1">
      <alignment vertical="center"/>
    </xf>
    <xf numFmtId="49" fontId="1" fillId="9" borderId="0" xfId="5" applyNumberFormat="1" applyFont="1" applyFill="1" applyBorder="1" applyAlignment="1">
      <alignment vertical="center"/>
    </xf>
    <xf numFmtId="0" fontId="1" fillId="0" borderId="0" xfId="5" applyFill="1" applyBorder="1"/>
    <xf numFmtId="0" fontId="1" fillId="9" borderId="0" xfId="0" applyFont="1" applyFill="1" applyBorder="1" applyProtection="1">
      <protection hidden="1"/>
    </xf>
    <xf numFmtId="0" fontId="0" fillId="9" borderId="0" xfId="0" applyFill="1" applyBorder="1" applyProtection="1">
      <protection hidden="1"/>
    </xf>
    <xf numFmtId="0" fontId="53" fillId="8" borderId="0" xfId="0" applyFont="1" applyFill="1" applyBorder="1"/>
    <xf numFmtId="49" fontId="1" fillId="8" borderId="0" xfId="0" quotePrefix="1" applyNumberFormat="1" applyFont="1" applyFill="1" applyBorder="1" applyAlignment="1">
      <alignment horizontal="left" vertical="center"/>
    </xf>
    <xf numFmtId="49" fontId="1" fillId="8" borderId="0" xfId="0" applyNumberFormat="1" applyFont="1" applyFill="1" applyBorder="1" applyAlignment="1">
      <alignment vertical="center" wrapText="1"/>
    </xf>
    <xf numFmtId="0" fontId="54" fillId="14" borderId="38" xfId="0" applyFont="1" applyFill="1" applyBorder="1" applyAlignment="1">
      <alignment horizontal="center" wrapText="1"/>
    </xf>
    <xf numFmtId="14" fontId="56" fillId="14" borderId="38" xfId="0" applyNumberFormat="1" applyFont="1" applyFill="1" applyBorder="1" applyAlignment="1">
      <alignment horizontal="center" wrapText="1"/>
    </xf>
    <xf numFmtId="0" fontId="54" fillId="14" borderId="39" xfId="0" applyFont="1" applyFill="1" applyBorder="1" applyAlignment="1">
      <alignment horizontal="center" vertical="top" wrapText="1"/>
    </xf>
    <xf numFmtId="0" fontId="54" fillId="14" borderId="40" xfId="0" applyFont="1" applyFill="1" applyBorder="1" applyAlignment="1">
      <alignment horizontal="center" wrapText="1"/>
    </xf>
    <xf numFmtId="0" fontId="55" fillId="14" borderId="38" xfId="0" applyFont="1" applyFill="1" applyBorder="1" applyAlignment="1">
      <alignment horizontal="center" vertical="top" wrapText="1"/>
    </xf>
    <xf numFmtId="0" fontId="57" fillId="0" borderId="0" xfId="0" applyFont="1" applyAlignment="1">
      <alignment horizontal="left" vertical="center"/>
    </xf>
    <xf numFmtId="0" fontId="1" fillId="0" borderId="0" xfId="0" applyFont="1" applyBorder="1" applyAlignment="1">
      <alignment horizontal="center"/>
    </xf>
    <xf numFmtId="0" fontId="54" fillId="14" borderId="38" xfId="0" applyFont="1" applyFill="1" applyBorder="1" applyAlignment="1">
      <alignment horizontal="left" wrapText="1"/>
    </xf>
    <xf numFmtId="0" fontId="54" fillId="14" borderId="39" xfId="0" applyFont="1" applyFill="1" applyBorder="1" applyAlignment="1">
      <alignment horizontal="left" vertical="top" wrapText="1"/>
    </xf>
    <xf numFmtId="0" fontId="54" fillId="14" borderId="40" xfId="0" applyFont="1" applyFill="1" applyBorder="1" applyAlignment="1">
      <alignment horizontal="left" wrapText="1"/>
    </xf>
    <xf numFmtId="0" fontId="55" fillId="14" borderId="38" xfId="0" applyFont="1" applyFill="1" applyBorder="1" applyAlignment="1">
      <alignment horizontal="left" vertical="top" wrapText="1"/>
    </xf>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166" fontId="0" fillId="0" borderId="12" xfId="0" applyNumberFormat="1" applyBorder="1" applyAlignment="1">
      <alignment horizontal="right"/>
    </xf>
    <xf numFmtId="0" fontId="1" fillId="0" borderId="11" xfId="0" applyFont="1" applyFill="1" applyBorder="1"/>
    <xf numFmtId="0" fontId="1" fillId="0" borderId="8" xfId="0" applyFont="1" applyBorder="1"/>
    <xf numFmtId="0" fontId="3" fillId="0" borderId="9" xfId="0" applyNumberFormat="1" applyFont="1" applyBorder="1"/>
    <xf numFmtId="4" fontId="36" fillId="0" borderId="0" xfId="0" applyNumberFormat="1" applyFont="1"/>
    <xf numFmtId="0" fontId="1" fillId="0" borderId="0" xfId="0" applyFont="1" applyFill="1" applyBorder="1" applyProtection="1">
      <protection hidden="1"/>
    </xf>
    <xf numFmtId="0" fontId="24" fillId="9" borderId="0" xfId="0" applyFont="1" applyFill="1" applyProtection="1">
      <protection hidden="1"/>
    </xf>
    <xf numFmtId="0" fontId="51" fillId="9" borderId="0" xfId="0" applyFont="1" applyFill="1" applyBorder="1" applyProtection="1">
      <protection hidden="1"/>
    </xf>
    <xf numFmtId="0" fontId="27" fillId="9" borderId="0" xfId="0" applyFont="1" applyFill="1" applyBorder="1" applyProtection="1">
      <protection hidden="1"/>
    </xf>
    <xf numFmtId="0" fontId="12" fillId="9" borderId="0" xfId="0" applyFont="1" applyFill="1" applyBorder="1" applyProtection="1">
      <protection hidden="1"/>
    </xf>
    <xf numFmtId="0" fontId="0" fillId="9" borderId="18" xfId="0" applyFill="1" applyBorder="1" applyProtection="1">
      <protection hidden="1"/>
    </xf>
    <xf numFmtId="0" fontId="49" fillId="9" borderId="0" xfId="0" applyFont="1" applyFill="1" applyBorder="1" applyProtection="1">
      <protection hidden="1"/>
    </xf>
    <xf numFmtId="164" fontId="51" fillId="9" borderId="0" xfId="0" applyNumberFormat="1" applyFont="1" applyFill="1" applyBorder="1" applyAlignment="1" applyProtection="1">
      <alignment horizontal="center"/>
      <protection hidden="1"/>
    </xf>
    <xf numFmtId="168" fontId="49" fillId="9" borderId="0" xfId="4" quotePrefix="1" applyNumberFormat="1" applyFont="1" applyFill="1" applyBorder="1" applyAlignment="1" applyProtection="1">
      <alignment horizontal="center" vertical="center"/>
      <protection hidden="1"/>
    </xf>
    <xf numFmtId="164" fontId="49" fillId="9" borderId="0" xfId="0" applyNumberFormat="1" applyFont="1" applyFill="1" applyBorder="1" applyAlignment="1" applyProtection="1">
      <alignment horizontal="center"/>
      <protection hidden="1"/>
    </xf>
    <xf numFmtId="0" fontId="49" fillId="9" borderId="0" xfId="0" applyFont="1" applyFill="1" applyBorder="1" applyAlignment="1" applyProtection="1">
      <alignment horizontal="center" vertical="center"/>
      <protection hidden="1"/>
    </xf>
    <xf numFmtId="0" fontId="49" fillId="9" borderId="18" xfId="0" applyFont="1" applyFill="1" applyBorder="1" applyProtection="1">
      <protection hidden="1"/>
    </xf>
    <xf numFmtId="0" fontId="51" fillId="9" borderId="18" xfId="0" applyFont="1" applyFill="1" applyBorder="1" applyProtection="1">
      <protection hidden="1"/>
    </xf>
    <xf numFmtId="0" fontId="1" fillId="9" borderId="18" xfId="0" applyFont="1" applyFill="1" applyBorder="1" applyProtection="1">
      <protection hidden="1"/>
    </xf>
    <xf numFmtId="0" fontId="36" fillId="9" borderId="0" xfId="0" applyFont="1" applyFill="1" applyBorder="1" applyProtection="1">
      <protection hidden="1"/>
    </xf>
    <xf numFmtId="0" fontId="61" fillId="9" borderId="0" xfId="0" applyFont="1" applyFill="1" applyBorder="1" applyProtection="1">
      <protection hidden="1"/>
    </xf>
    <xf numFmtId="0" fontId="3" fillId="9" borderId="0" xfId="0" applyFont="1" applyFill="1" applyBorder="1" applyProtection="1">
      <protection hidden="1"/>
    </xf>
    <xf numFmtId="0" fontId="0" fillId="9" borderId="17" xfId="0" applyFill="1" applyBorder="1" applyProtection="1">
      <protection hidden="1"/>
    </xf>
    <xf numFmtId="0" fontId="0" fillId="9" borderId="36" xfId="0" applyFill="1" applyBorder="1" applyProtection="1">
      <protection hidden="1"/>
    </xf>
    <xf numFmtId="0" fontId="25" fillId="9" borderId="17" xfId="0" applyFont="1" applyFill="1" applyBorder="1" applyProtection="1"/>
    <xf numFmtId="0" fontId="3" fillId="9" borderId="17" xfId="0" applyFont="1" applyFill="1" applyBorder="1" applyProtection="1">
      <protection hidden="1"/>
    </xf>
    <xf numFmtId="0" fontId="24" fillId="9" borderId="0" xfId="0" applyFont="1" applyFill="1" applyBorder="1" applyProtection="1"/>
    <xf numFmtId="2" fontId="0" fillId="9" borderId="0" xfId="0" applyNumberFormat="1" applyFill="1" applyBorder="1" applyProtection="1">
      <protection hidden="1"/>
    </xf>
    <xf numFmtId="0" fontId="12" fillId="9" borderId="0" xfId="0" applyFont="1" applyFill="1" applyBorder="1" applyProtection="1"/>
    <xf numFmtId="0" fontId="49" fillId="9" borderId="0" xfId="2" applyNumberFormat="1" applyFont="1" applyFill="1" applyBorder="1" applyProtection="1">
      <protection locked="0"/>
    </xf>
    <xf numFmtId="0" fontId="36" fillId="9" borderId="13" xfId="0" applyFont="1" applyFill="1" applyBorder="1" applyProtection="1">
      <protection hidden="1"/>
    </xf>
    <xf numFmtId="0" fontId="0" fillId="9" borderId="0" xfId="0" applyFill="1" applyBorder="1" applyAlignment="1" applyProtection="1">
      <alignment horizontal="center"/>
      <protection hidden="1"/>
    </xf>
    <xf numFmtId="0" fontId="24" fillId="9" borderId="18" xfId="0" applyFont="1" applyFill="1" applyBorder="1" applyProtection="1"/>
    <xf numFmtId="0" fontId="24" fillId="9" borderId="18" xfId="2" applyNumberFormat="1" applyFont="1" applyFill="1" applyBorder="1" applyProtection="1">
      <protection locked="0"/>
    </xf>
    <xf numFmtId="0" fontId="0" fillId="9" borderId="18" xfId="0" applyFill="1" applyBorder="1" applyAlignment="1" applyProtection="1">
      <alignment horizontal="center"/>
      <protection hidden="1"/>
    </xf>
    <xf numFmtId="0" fontId="1" fillId="9" borderId="13" xfId="0" applyFont="1" applyFill="1" applyBorder="1" applyProtection="1">
      <protection hidden="1"/>
    </xf>
    <xf numFmtId="0" fontId="1" fillId="9" borderId="37" xfId="0" applyFont="1" applyFill="1" applyBorder="1" applyProtection="1">
      <protection hidden="1"/>
    </xf>
    <xf numFmtId="0" fontId="0" fillId="9" borderId="0" xfId="0" applyFill="1" applyAlignment="1" applyProtection="1">
      <alignment wrapText="1"/>
      <protection hidden="1"/>
    </xf>
    <xf numFmtId="14" fontId="36" fillId="0" borderId="0" xfId="0" applyNumberFormat="1" applyFont="1" applyBorder="1" applyAlignment="1">
      <alignment horizontal="left"/>
    </xf>
    <xf numFmtId="0" fontId="0" fillId="0" borderId="0" xfId="0" applyFill="1"/>
    <xf numFmtId="14" fontId="21" fillId="0" borderId="0" xfId="0" applyNumberFormat="1" applyFont="1" applyBorder="1" applyAlignment="1">
      <alignment horizontal="right"/>
    </xf>
    <xf numFmtId="175" fontId="0" fillId="9" borderId="0" xfId="0" applyNumberFormat="1" applyFill="1" applyBorder="1" applyProtection="1">
      <protection hidden="1"/>
    </xf>
    <xf numFmtId="175" fontId="1" fillId="0" borderId="0" xfId="0" applyNumberFormat="1" applyFont="1" applyProtection="1">
      <protection hidden="1"/>
    </xf>
    <xf numFmtId="175" fontId="0" fillId="0" borderId="0" xfId="0" applyNumberFormat="1" applyProtection="1">
      <protection hidden="1"/>
    </xf>
    <xf numFmtId="0" fontId="39" fillId="9" borderId="0" xfId="5" applyFont="1" applyFill="1" applyAlignment="1"/>
    <xf numFmtId="0" fontId="40" fillId="0" borderId="0" xfId="5" applyFont="1" applyAlignment="1"/>
    <xf numFmtId="2" fontId="1" fillId="0" borderId="0" xfId="0" applyNumberFormat="1" applyFont="1" applyFill="1" applyProtection="1">
      <protection hidden="1"/>
    </xf>
    <xf numFmtId="176" fontId="0" fillId="0" borderId="0" xfId="0" applyNumberFormat="1" applyProtection="1">
      <protection hidden="1"/>
    </xf>
    <xf numFmtId="0" fontId="1" fillId="0" borderId="0" xfId="0" applyFont="1" applyAlignment="1" applyProtection="1">
      <alignment wrapText="1"/>
      <protection hidden="1"/>
    </xf>
    <xf numFmtId="0" fontId="0" fillId="0" borderId="0" xfId="0" applyAlignment="1" applyProtection="1">
      <alignment wrapText="1"/>
      <protection hidden="1"/>
    </xf>
    <xf numFmtId="0" fontId="36" fillId="0" borderId="0" xfId="0" applyFont="1" applyProtection="1">
      <protection hidden="1"/>
    </xf>
    <xf numFmtId="2" fontId="0" fillId="0" borderId="0" xfId="0" applyNumberFormat="1" applyProtection="1">
      <protection hidden="1"/>
    </xf>
    <xf numFmtId="0" fontId="0" fillId="10" borderId="22" xfId="0" applyFill="1" applyBorder="1"/>
    <xf numFmtId="0" fontId="3" fillId="10" borderId="25" xfId="0" applyFont="1" applyFill="1" applyBorder="1"/>
    <xf numFmtId="0" fontId="3" fillId="10" borderId="11" xfId="0" applyFont="1" applyFill="1" applyBorder="1" applyAlignment="1">
      <alignment horizontal="center"/>
    </xf>
    <xf numFmtId="0" fontId="3" fillId="10" borderId="10" xfId="0" applyFont="1" applyFill="1" applyBorder="1" applyAlignment="1">
      <alignment horizontal="center"/>
    </xf>
    <xf numFmtId="0" fontId="3" fillId="10" borderId="9" xfId="0" applyFont="1" applyFill="1" applyBorder="1" applyAlignment="1">
      <alignment horizontal="center"/>
    </xf>
    <xf numFmtId="0" fontId="1" fillId="10" borderId="12" xfId="0" applyFont="1" applyFill="1" applyBorder="1"/>
    <xf numFmtId="9" fontId="0" fillId="10" borderId="28" xfId="0" applyNumberFormat="1" applyFill="1" applyBorder="1"/>
    <xf numFmtId="9" fontId="0" fillId="10" borderId="0" xfId="0" applyNumberFormat="1" applyFill="1" applyBorder="1"/>
    <xf numFmtId="9" fontId="0" fillId="10" borderId="23" xfId="0" applyNumberFormat="1" applyFill="1" applyBorder="1"/>
    <xf numFmtId="0" fontId="0" fillId="10" borderId="12" xfId="0" applyFill="1" applyBorder="1"/>
    <xf numFmtId="0" fontId="0" fillId="10" borderId="4" xfId="0" applyFill="1" applyBorder="1"/>
    <xf numFmtId="9" fontId="0" fillId="10" borderId="7" xfId="0" applyNumberFormat="1" applyFill="1" applyBorder="1"/>
    <xf numFmtId="9" fontId="0" fillId="10" borderId="6" xfId="0" applyNumberFormat="1" applyFill="1" applyBorder="1"/>
    <xf numFmtId="9" fontId="0" fillId="10" borderId="5" xfId="0" applyNumberFormat="1" applyFill="1" applyBorder="1"/>
    <xf numFmtId="0" fontId="1" fillId="10" borderId="0" xfId="0" applyFont="1" applyFill="1" applyProtection="1">
      <protection hidden="1"/>
    </xf>
    <xf numFmtId="14" fontId="1" fillId="10" borderId="0" xfId="0" applyNumberFormat="1" applyFont="1" applyFill="1" applyProtection="1">
      <protection hidden="1"/>
    </xf>
    <xf numFmtId="1" fontId="0" fillId="10" borderId="0" xfId="0" applyNumberFormat="1" applyFill="1" applyProtection="1">
      <protection hidden="1"/>
    </xf>
    <xf numFmtId="14" fontId="35" fillId="10" borderId="0" xfId="0" applyNumberFormat="1" applyFont="1" applyFill="1"/>
    <xf numFmtId="0" fontId="1" fillId="9" borderId="14" xfId="0" applyFont="1" applyFill="1" applyBorder="1" applyProtection="1">
      <protection hidden="1"/>
    </xf>
    <xf numFmtId="0" fontId="1" fillId="9" borderId="15" xfId="0" applyFont="1" applyFill="1" applyBorder="1" applyProtection="1">
      <protection hidden="1"/>
    </xf>
    <xf numFmtId="0" fontId="0" fillId="0" borderId="0" xfId="0" applyFill="1" applyProtection="1">
      <protection hidden="1"/>
    </xf>
    <xf numFmtId="14" fontId="56" fillId="14" borderId="43" xfId="0" applyNumberFormat="1" applyFont="1" applyFill="1" applyBorder="1" applyAlignment="1">
      <alignment horizontal="center" wrapText="1"/>
    </xf>
    <xf numFmtId="14" fontId="56" fillId="14" borderId="44" xfId="0" applyNumberFormat="1" applyFont="1" applyFill="1" applyBorder="1" applyAlignment="1">
      <alignment horizontal="center" wrapText="1"/>
    </xf>
    <xf numFmtId="14" fontId="56" fillId="14" borderId="8" xfId="0" applyNumberFormat="1" applyFont="1" applyFill="1" applyBorder="1" applyAlignment="1">
      <alignment horizontal="center" wrapText="1"/>
    </xf>
    <xf numFmtId="14" fontId="56" fillId="14" borderId="12" xfId="0" applyNumberFormat="1" applyFont="1" applyFill="1" applyBorder="1" applyAlignment="1">
      <alignment horizontal="center" wrapText="1"/>
    </xf>
    <xf numFmtId="14" fontId="56" fillId="14" borderId="45" xfId="0" applyNumberFormat="1" applyFont="1" applyFill="1" applyBorder="1" applyAlignment="1">
      <alignment horizontal="center" wrapText="1"/>
    </xf>
    <xf numFmtId="14" fontId="56" fillId="14" borderId="46" xfId="0" applyNumberFormat="1" applyFont="1" applyFill="1" applyBorder="1" applyAlignment="1">
      <alignment horizontal="center" wrapText="1"/>
    </xf>
    <xf numFmtId="14" fontId="56" fillId="14" borderId="25" xfId="0" applyNumberFormat="1" applyFont="1" applyFill="1" applyBorder="1" applyAlignment="1">
      <alignment horizontal="center" wrapText="1"/>
    </xf>
    <xf numFmtId="0" fontId="0" fillId="0" borderId="0" xfId="0" applyFont="1" applyFill="1" applyBorder="1"/>
    <xf numFmtId="0" fontId="36" fillId="0" borderId="0" xfId="0" applyFont="1" applyBorder="1"/>
    <xf numFmtId="172" fontId="0" fillId="0" borderId="0" xfId="0" applyNumberFormat="1" applyBorder="1" applyAlignment="1">
      <alignment horizontal="right"/>
    </xf>
    <xf numFmtId="14" fontId="0" fillId="0" borderId="28" xfId="0" applyNumberFormat="1" applyBorder="1" applyAlignment="1">
      <alignment horizontal="right"/>
    </xf>
    <xf numFmtId="0" fontId="0" fillId="0" borderId="0" xfId="0" applyBorder="1" applyAlignment="1">
      <alignment horizontal="right"/>
    </xf>
    <xf numFmtId="0" fontId="36" fillId="0" borderId="26" xfId="0" applyFont="1" applyFill="1" applyBorder="1"/>
    <xf numFmtId="4" fontId="0" fillId="0" borderId="26" xfId="0" applyNumberFormat="1" applyBorder="1" applyAlignment="1">
      <alignment horizontal="right"/>
    </xf>
    <xf numFmtId="4" fontId="0" fillId="0" borderId="30" xfId="0" applyNumberFormat="1" applyBorder="1" applyAlignment="1">
      <alignment horizontal="right"/>
    </xf>
    <xf numFmtId="4" fontId="0" fillId="0" borderId="7" xfId="0" applyNumberFormat="1" applyBorder="1" applyAlignment="1">
      <alignment horizontal="right"/>
    </xf>
    <xf numFmtId="4" fontId="0" fillId="0" borderId="6" xfId="0" applyNumberFormat="1" applyBorder="1" applyAlignment="1">
      <alignment horizontal="right"/>
    </xf>
    <xf numFmtId="2" fontId="0" fillId="0" borderId="12" xfId="0" applyNumberFormat="1" applyBorder="1"/>
    <xf numFmtId="0" fontId="3" fillId="0" borderId="29" xfId="0" applyFont="1" applyFill="1" applyBorder="1"/>
    <xf numFmtId="4" fontId="0" fillId="0" borderId="17" xfId="0" applyNumberFormat="1" applyFill="1" applyBorder="1"/>
    <xf numFmtId="4" fontId="0" fillId="0" borderId="0" xfId="0" applyNumberFormat="1" applyFill="1" applyBorder="1" applyAlignment="1">
      <alignment horizontal="right"/>
    </xf>
    <xf numFmtId="4" fontId="0" fillId="0" borderId="6" xfId="0" applyNumberFormat="1" applyFill="1" applyBorder="1" applyAlignment="1">
      <alignment horizontal="right"/>
    </xf>
    <xf numFmtId="166" fontId="0" fillId="0" borderId="0" xfId="0" applyNumberFormat="1" applyFill="1" applyProtection="1">
      <protection hidden="1"/>
    </xf>
    <xf numFmtId="0" fontId="36" fillId="0" borderId="0" xfId="0" applyFont="1" applyFill="1" applyProtection="1">
      <protection hidden="1"/>
    </xf>
    <xf numFmtId="175" fontId="1" fillId="0" borderId="0" xfId="0" applyNumberFormat="1" applyFont="1" applyFill="1" applyProtection="1">
      <protection hidden="1"/>
    </xf>
    <xf numFmtId="2" fontId="0" fillId="0" borderId="0" xfId="0" applyNumberFormat="1" applyFill="1" applyProtection="1">
      <protection hidden="1"/>
    </xf>
    <xf numFmtId="14" fontId="0" fillId="0" borderId="0" xfId="0" applyNumberFormat="1" applyFill="1" applyProtection="1">
      <protection hidden="1"/>
    </xf>
    <xf numFmtId="175" fontId="1" fillId="10" borderId="0" xfId="0" applyNumberFormat="1" applyFont="1" applyFill="1" applyProtection="1">
      <protection hidden="1"/>
    </xf>
    <xf numFmtId="43" fontId="1" fillId="10" borderId="0" xfId="1" applyFont="1" applyFill="1" applyProtection="1">
      <protection hidden="1"/>
    </xf>
    <xf numFmtId="0" fontId="3" fillId="10" borderId="0" xfId="0" applyFont="1" applyFill="1" applyProtection="1">
      <protection hidden="1"/>
    </xf>
    <xf numFmtId="0" fontId="0" fillId="10" borderId="0" xfId="0" applyFill="1" applyProtection="1">
      <protection hidden="1"/>
    </xf>
    <xf numFmtId="1" fontId="1" fillId="10" borderId="0" xfId="0" applyNumberFormat="1" applyFont="1" applyFill="1" applyProtection="1">
      <protection hidden="1"/>
    </xf>
    <xf numFmtId="14" fontId="62" fillId="14" borderId="40" xfId="0" applyNumberFormat="1" applyFont="1" applyFill="1" applyBorder="1" applyAlignment="1">
      <alignment horizontal="center" wrapText="1"/>
    </xf>
    <xf numFmtId="14" fontId="62" fillId="14" borderId="38" xfId="0" applyNumberFormat="1" applyFont="1" applyFill="1" applyBorder="1" applyAlignment="1">
      <alignment horizontal="center" wrapText="1"/>
    </xf>
    <xf numFmtId="14" fontId="62" fillId="14" borderId="43" xfId="0" applyNumberFormat="1" applyFont="1" applyFill="1" applyBorder="1" applyAlignment="1">
      <alignment horizontal="center" wrapText="1"/>
    </xf>
    <xf numFmtId="14" fontId="62" fillId="14" borderId="44" xfId="0" applyNumberFormat="1" applyFont="1" applyFill="1" applyBorder="1" applyAlignment="1">
      <alignment horizontal="center" wrapText="1"/>
    </xf>
    <xf numFmtId="2" fontId="0" fillId="0" borderId="0" xfId="0" applyNumberFormat="1" applyFill="1"/>
    <xf numFmtId="14" fontId="56" fillId="0" borderId="43" xfId="0" applyNumberFormat="1" applyFont="1" applyFill="1" applyBorder="1" applyAlignment="1">
      <alignment horizontal="center" wrapText="1"/>
    </xf>
    <xf numFmtId="14" fontId="56" fillId="0" borderId="0" xfId="0" applyNumberFormat="1" applyFont="1" applyFill="1" applyBorder="1" applyAlignment="1">
      <alignment horizontal="center" wrapText="1"/>
    </xf>
    <xf numFmtId="2" fontId="0" fillId="0" borderId="0" xfId="0" applyNumberFormat="1" applyFill="1" applyBorder="1"/>
    <xf numFmtId="172" fontId="0" fillId="0" borderId="28" xfId="0" applyNumberFormat="1" applyBorder="1" applyAlignment="1">
      <alignment horizontal="right"/>
    </xf>
    <xf numFmtId="0" fontId="49" fillId="0" borderId="0" xfId="0" applyFont="1" applyAlignment="1">
      <alignment horizontal="left" vertical="center" indent="3"/>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166" fontId="1" fillId="0" borderId="0" xfId="0" applyNumberFormat="1" applyFont="1" applyAlignment="1">
      <alignment horizontal="center" vertical="center" wrapText="1"/>
    </xf>
    <xf numFmtId="0" fontId="3" fillId="0" borderId="5" xfId="0"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top" wrapText="1"/>
    </xf>
    <xf numFmtId="0" fontId="51" fillId="0" borderId="0" xfId="0" applyFont="1" applyAlignment="1">
      <alignment vertical="center"/>
    </xf>
    <xf numFmtId="0" fontId="1" fillId="0" borderId="26" xfId="0" applyFont="1" applyBorder="1" applyAlignment="1">
      <alignment horizontal="center" vertical="center" wrapText="1"/>
    </xf>
    <xf numFmtId="0" fontId="49" fillId="0" borderId="0" xfId="0" applyFont="1" applyAlignment="1">
      <alignment horizontal="left" vertical="center" wrapText="1" indent="4"/>
    </xf>
    <xf numFmtId="0" fontId="3" fillId="0" borderId="0" xfId="0" applyFont="1" applyAlignment="1">
      <alignment vertical="top"/>
    </xf>
    <xf numFmtId="0" fontId="31" fillId="0" borderId="0" xfId="3" applyAlignment="1" applyProtection="1">
      <alignment horizontal="left" vertical="center"/>
    </xf>
    <xf numFmtId="0" fontId="49" fillId="0" borderId="0" xfId="0" applyFont="1"/>
    <xf numFmtId="0" fontId="3" fillId="0" borderId="6" xfId="0" applyFont="1" applyBorder="1" applyAlignment="1">
      <alignment vertical="center"/>
    </xf>
    <xf numFmtId="0" fontId="3" fillId="0" borderId="0" xfId="0" applyFont="1" applyAlignment="1">
      <alignment vertical="center"/>
    </xf>
    <xf numFmtId="0" fontId="65" fillId="0" borderId="0" xfId="0" applyFont="1" applyAlignment="1">
      <alignment vertical="center"/>
    </xf>
    <xf numFmtId="0" fontId="3" fillId="0" borderId="26" xfId="0" applyFont="1" applyBorder="1" applyAlignment="1">
      <alignment horizontal="center" vertical="center"/>
    </xf>
    <xf numFmtId="0" fontId="3" fillId="0" borderId="0" xfId="0" applyFont="1" applyAlignment="1">
      <alignment horizontal="center" vertical="center"/>
    </xf>
    <xf numFmtId="166" fontId="1" fillId="0" borderId="22" xfId="0" applyNumberFormat="1" applyFont="1" applyBorder="1" applyAlignment="1">
      <alignment horizontal="center" vertical="center"/>
    </xf>
    <xf numFmtId="166" fontId="1" fillId="0" borderId="26" xfId="0" applyNumberFormat="1" applyFont="1" applyBorder="1" applyAlignment="1">
      <alignment horizontal="center" vertical="center"/>
    </xf>
    <xf numFmtId="166" fontId="1" fillId="0" borderId="28" xfId="0" applyNumberFormat="1" applyFont="1" applyBorder="1" applyAlignment="1">
      <alignment horizontal="center" vertical="center"/>
    </xf>
    <xf numFmtId="166" fontId="1" fillId="0" borderId="0" xfId="0" applyNumberFormat="1" applyFont="1" applyAlignment="1">
      <alignment horizontal="center" vertical="center"/>
    </xf>
    <xf numFmtId="166" fontId="49" fillId="0" borderId="0" xfId="0" applyNumberFormat="1" applyFont="1"/>
    <xf numFmtId="0" fontId="64" fillId="0" borderId="26" xfId="0" applyFont="1" applyBorder="1" applyAlignment="1">
      <alignment vertical="center"/>
    </xf>
    <xf numFmtId="0" fontId="64" fillId="0" borderId="0" xfId="0" applyFont="1" applyAlignment="1">
      <alignment vertical="center" wrapText="1"/>
    </xf>
    <xf numFmtId="0" fontId="49" fillId="0" borderId="0" xfId="0" applyFont="1" applyAlignment="1"/>
    <xf numFmtId="0" fontId="49" fillId="0" borderId="6" xfId="0" applyFont="1" applyBorder="1"/>
    <xf numFmtId="0" fontId="3" fillId="0" borderId="6" xfId="0" applyFont="1" applyBorder="1" applyAlignment="1">
      <alignment horizontal="center" vertical="center"/>
    </xf>
    <xf numFmtId="166" fontId="1" fillId="0" borderId="7" xfId="0" applyNumberFormat="1" applyFont="1" applyBorder="1" applyAlignment="1">
      <alignment horizontal="center" vertical="center"/>
    </xf>
    <xf numFmtId="166" fontId="49" fillId="0" borderId="6" xfId="0" applyNumberFormat="1" applyFont="1" applyBorder="1"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49" fillId="0" borderId="0" xfId="0" applyFont="1" applyAlignment="1">
      <alignment vertical="top"/>
    </xf>
    <xf numFmtId="0" fontId="1" fillId="0" borderId="0" xfId="0" applyFont="1" applyAlignment="1">
      <alignment vertical="center" wrapText="1"/>
    </xf>
    <xf numFmtId="0" fontId="0" fillId="0" borderId="0" xfId="0" applyAlignment="1">
      <alignment vertical="center" wrapText="1"/>
    </xf>
    <xf numFmtId="0" fontId="20" fillId="0" borderId="0" xfId="0" applyFont="1" applyFill="1"/>
    <xf numFmtId="10" fontId="32" fillId="0" borderId="0" xfId="4" applyNumberFormat="1" applyFont="1"/>
    <xf numFmtId="10" fontId="32" fillId="0" borderId="7" xfId="4" applyNumberFormat="1" applyFont="1" applyBorder="1"/>
    <xf numFmtId="10" fontId="32" fillId="0" borderId="5" xfId="4" applyNumberFormat="1" applyFont="1" applyBorder="1"/>
    <xf numFmtId="4" fontId="1" fillId="0" borderId="0" xfId="0" applyNumberFormat="1" applyFont="1"/>
    <xf numFmtId="1" fontId="32" fillId="0" borderId="22" xfId="0" applyNumberFormat="1" applyFont="1" applyBorder="1"/>
    <xf numFmtId="0" fontId="32" fillId="0" borderId="27" xfId="0" applyFont="1" applyBorder="1"/>
    <xf numFmtId="4" fontId="0" fillId="0" borderId="10" xfId="0" applyNumberFormat="1" applyBorder="1" applyAlignment="1">
      <alignment horizontal="right"/>
    </xf>
    <xf numFmtId="0" fontId="0" fillId="10" borderId="25" xfId="0" applyFill="1" applyBorder="1"/>
    <xf numFmtId="0" fontId="3" fillId="10" borderId="4" xfId="0" applyFont="1" applyFill="1" applyBorder="1"/>
    <xf numFmtId="14" fontId="0" fillId="10" borderId="4" xfId="0" applyNumberFormat="1" applyFill="1" applyBorder="1"/>
    <xf numFmtId="0" fontId="1" fillId="10" borderId="27" xfId="0" applyFont="1" applyFill="1" applyBorder="1"/>
    <xf numFmtId="0" fontId="0" fillId="10" borderId="5" xfId="0" applyNumberFormat="1" applyFill="1" applyBorder="1"/>
    <xf numFmtId="167" fontId="1" fillId="10" borderId="25" xfId="0" applyNumberFormat="1" applyFont="1" applyFill="1" applyBorder="1"/>
    <xf numFmtId="0" fontId="3" fillId="10" borderId="12" xfId="0" applyFont="1" applyFill="1" applyBorder="1"/>
    <xf numFmtId="167" fontId="0" fillId="10" borderId="12" xfId="0" applyNumberFormat="1" applyFill="1" applyBorder="1"/>
    <xf numFmtId="0" fontId="3" fillId="10" borderId="4" xfId="0" applyFont="1" applyFill="1" applyBorder="1" applyAlignment="1">
      <alignment horizontal="left"/>
    </xf>
    <xf numFmtId="167" fontId="0" fillId="10" borderId="4" xfId="0" applyNumberFormat="1" applyFill="1" applyBorder="1"/>
    <xf numFmtId="0" fontId="3" fillId="10" borderId="25" xfId="0" applyFont="1" applyFill="1" applyBorder="1" applyAlignment="1">
      <alignment horizontal="left"/>
    </xf>
    <xf numFmtId="167" fontId="0" fillId="10" borderId="25" xfId="0" applyNumberFormat="1" applyFill="1" applyBorder="1"/>
    <xf numFmtId="0" fontId="3" fillId="10" borderId="0" xfId="0" applyFont="1" applyFill="1" applyBorder="1" applyAlignment="1">
      <alignment horizontal="center" vertical="center" wrapText="1"/>
    </xf>
    <xf numFmtId="167" fontId="0" fillId="10" borderId="26" xfId="0" applyNumberFormat="1" applyFill="1" applyBorder="1"/>
    <xf numFmtId="167" fontId="0" fillId="10" borderId="12" xfId="0" applyNumberFormat="1" applyFill="1" applyBorder="1" applyAlignment="1">
      <alignment horizontal="right"/>
    </xf>
    <xf numFmtId="4" fontId="1" fillId="10" borderId="12" xfId="0" applyNumberFormat="1" applyFont="1" applyFill="1" applyBorder="1" applyAlignment="1">
      <alignment horizontal="right"/>
    </xf>
    <xf numFmtId="0" fontId="3" fillId="10" borderId="25" xfId="0" applyFont="1" applyFill="1" applyBorder="1" applyAlignment="1">
      <alignment horizontal="center" vertical="center" wrapText="1"/>
    </xf>
    <xf numFmtId="4" fontId="1" fillId="10" borderId="8" xfId="0" applyNumberFormat="1" applyFont="1" applyFill="1" applyBorder="1" applyAlignment="1">
      <alignment horizontal="right"/>
    </xf>
    <xf numFmtId="3" fontId="1" fillId="10" borderId="12" xfId="0" applyNumberFormat="1" applyFont="1" applyFill="1" applyBorder="1" applyAlignment="1">
      <alignment horizontal="right"/>
    </xf>
    <xf numFmtId="171" fontId="1" fillId="10" borderId="12" xfId="0" applyNumberFormat="1" applyFont="1" applyFill="1" applyBorder="1" applyAlignment="1">
      <alignment horizontal="right"/>
    </xf>
    <xf numFmtId="4" fontId="0" fillId="10" borderId="25" xfId="0" applyNumberFormat="1" applyFill="1" applyBorder="1"/>
    <xf numFmtId="4" fontId="0" fillId="10" borderId="4" xfId="0" applyNumberFormat="1" applyFill="1" applyBorder="1"/>
    <xf numFmtId="171" fontId="0" fillId="0" borderId="0" xfId="0" applyNumberFormat="1"/>
    <xf numFmtId="14" fontId="20" fillId="0" borderId="0" xfId="0" applyNumberFormat="1" applyFont="1" applyFill="1"/>
    <xf numFmtId="2" fontId="20" fillId="0" borderId="0" xfId="0" applyNumberFormat="1" applyFont="1" applyFill="1"/>
    <xf numFmtId="4" fontId="0" fillId="10" borderId="12" xfId="0" applyNumberFormat="1" applyFill="1" applyBorder="1"/>
    <xf numFmtId="3" fontId="0" fillId="10" borderId="22" xfId="0" applyNumberFormat="1" applyFill="1" applyBorder="1"/>
    <xf numFmtId="3" fontId="0" fillId="10" borderId="26" xfId="0" applyNumberFormat="1" applyFill="1" applyBorder="1"/>
    <xf numFmtId="3" fontId="0" fillId="10" borderId="27" xfId="0" applyNumberFormat="1" applyFill="1" applyBorder="1"/>
    <xf numFmtId="3" fontId="0" fillId="10" borderId="28" xfId="0" applyNumberFormat="1" applyFill="1" applyBorder="1"/>
    <xf numFmtId="3" fontId="0" fillId="10" borderId="0" xfId="0" applyNumberFormat="1" applyFill="1" applyBorder="1"/>
    <xf numFmtId="3" fontId="0" fillId="10" borderId="23" xfId="0" applyNumberFormat="1" applyFill="1" applyBorder="1"/>
    <xf numFmtId="4" fontId="0" fillId="10" borderId="7" xfId="0" applyNumberFormat="1" applyFill="1" applyBorder="1"/>
    <xf numFmtId="4" fontId="0" fillId="10" borderId="6" xfId="0" applyNumberFormat="1" applyFill="1" applyBorder="1"/>
    <xf numFmtId="4" fontId="0" fillId="10" borderId="5" xfId="0" applyNumberFormat="1" applyFill="1" applyBorder="1"/>
    <xf numFmtId="0" fontId="3" fillId="0" borderId="0" xfId="0" applyFont="1" applyBorder="1" applyAlignment="1">
      <alignment vertical="center" wrapText="1"/>
    </xf>
    <xf numFmtId="0" fontId="1" fillId="9" borderId="0" xfId="5" applyFill="1" applyProtection="1">
      <protection hidden="1"/>
    </xf>
    <xf numFmtId="0" fontId="47" fillId="9" borderId="14" xfId="5" applyFont="1" applyFill="1" applyBorder="1" applyProtection="1">
      <protection hidden="1"/>
    </xf>
    <xf numFmtId="0" fontId="3" fillId="9" borderId="17" xfId="5" applyFont="1" applyFill="1" applyBorder="1" applyProtection="1">
      <protection hidden="1"/>
    </xf>
    <xf numFmtId="0" fontId="1" fillId="9" borderId="17" xfId="5" applyFill="1" applyBorder="1" applyProtection="1">
      <protection hidden="1"/>
    </xf>
    <xf numFmtId="0" fontId="1" fillId="9" borderId="36" xfId="5" applyFill="1" applyBorder="1" applyProtection="1">
      <protection hidden="1"/>
    </xf>
    <xf numFmtId="0" fontId="52" fillId="9" borderId="15" xfId="5" applyFont="1" applyFill="1" applyBorder="1" applyProtection="1">
      <protection hidden="1"/>
    </xf>
    <xf numFmtId="0" fontId="3" fillId="9" borderId="0" xfId="5" applyFont="1" applyFill="1" applyBorder="1" applyProtection="1">
      <protection hidden="1"/>
    </xf>
    <xf numFmtId="0" fontId="1" fillId="9" borderId="13" xfId="5" applyFill="1" applyBorder="1" applyProtection="1">
      <protection hidden="1"/>
    </xf>
    <xf numFmtId="0" fontId="1" fillId="9" borderId="0" xfId="5" applyFont="1" applyFill="1" applyProtection="1">
      <protection hidden="1"/>
    </xf>
    <xf numFmtId="0" fontId="51" fillId="9" borderId="15" xfId="5" applyFont="1" applyFill="1" applyBorder="1" applyProtection="1">
      <protection hidden="1"/>
    </xf>
    <xf numFmtId="0" fontId="58" fillId="9" borderId="15" xfId="5" applyFont="1" applyFill="1" applyBorder="1" applyProtection="1">
      <protection hidden="1"/>
    </xf>
    <xf numFmtId="0" fontId="49" fillId="9" borderId="0" xfId="5" applyFont="1" applyFill="1" applyBorder="1" applyProtection="1">
      <protection hidden="1"/>
    </xf>
    <xf numFmtId="0" fontId="1" fillId="9" borderId="0" xfId="5" applyFont="1" applyFill="1" applyBorder="1" applyProtection="1">
      <protection hidden="1"/>
    </xf>
    <xf numFmtId="0" fontId="36" fillId="9" borderId="13" xfId="5" applyFont="1" applyFill="1" applyBorder="1" applyProtection="1">
      <protection hidden="1"/>
    </xf>
    <xf numFmtId="0" fontId="49" fillId="9" borderId="15" xfId="5" applyFont="1" applyFill="1" applyBorder="1" applyProtection="1">
      <protection hidden="1"/>
    </xf>
    <xf numFmtId="164" fontId="51" fillId="9" borderId="0" xfId="5" applyNumberFormat="1" applyFont="1" applyFill="1" applyBorder="1" applyAlignment="1" applyProtection="1">
      <alignment horizontal="center"/>
      <protection hidden="1"/>
    </xf>
    <xf numFmtId="4" fontId="51" fillId="9" borderId="0" xfId="5" applyNumberFormat="1" applyFont="1" applyFill="1" applyBorder="1" applyAlignment="1" applyProtection="1">
      <alignment horizontal="center"/>
      <protection hidden="1"/>
    </xf>
    <xf numFmtId="168" fontId="49" fillId="9" borderId="0" xfId="8" quotePrefix="1" applyNumberFormat="1" applyFont="1" applyFill="1" applyBorder="1" applyAlignment="1" applyProtection="1">
      <alignment horizontal="center" vertical="center"/>
      <protection hidden="1"/>
    </xf>
    <xf numFmtId="168" fontId="49" fillId="9" borderId="0" xfId="8" applyNumberFormat="1" applyFont="1" applyFill="1" applyBorder="1" applyAlignment="1" applyProtection="1">
      <alignment horizontal="center" vertical="center"/>
      <protection hidden="1"/>
    </xf>
    <xf numFmtId="0" fontId="49" fillId="9" borderId="15" xfId="5" applyFont="1" applyFill="1" applyBorder="1" applyAlignment="1" applyProtection="1">
      <alignment vertical="center"/>
      <protection hidden="1"/>
    </xf>
    <xf numFmtId="164" fontId="49" fillId="9" borderId="0" xfId="5" applyNumberFormat="1" applyFont="1" applyFill="1" applyBorder="1" applyAlignment="1" applyProtection="1">
      <alignment horizontal="center"/>
      <protection hidden="1"/>
    </xf>
    <xf numFmtId="0" fontId="49" fillId="9" borderId="0" xfId="5" applyFont="1" applyFill="1" applyBorder="1" applyAlignment="1" applyProtection="1">
      <alignment horizontal="center" vertical="center"/>
      <protection hidden="1"/>
    </xf>
    <xf numFmtId="0" fontId="59" fillId="9" borderId="15" xfId="5" applyFont="1" applyFill="1" applyBorder="1" applyProtection="1">
      <protection hidden="1"/>
    </xf>
    <xf numFmtId="164" fontId="1" fillId="9" borderId="0" xfId="5" applyNumberFormat="1" applyFill="1" applyProtection="1">
      <protection hidden="1"/>
    </xf>
    <xf numFmtId="0" fontId="51" fillId="9" borderId="0" xfId="5" applyFont="1" applyFill="1" applyBorder="1" applyProtection="1">
      <protection hidden="1"/>
    </xf>
    <xf numFmtId="0" fontId="51" fillId="9" borderId="16" xfId="5" applyFont="1" applyFill="1" applyBorder="1" applyProtection="1">
      <protection hidden="1"/>
    </xf>
    <xf numFmtId="0" fontId="49" fillId="9" borderId="18" xfId="5" applyFont="1" applyFill="1" applyBorder="1" applyProtection="1">
      <protection hidden="1"/>
    </xf>
    <xf numFmtId="0" fontId="51" fillId="9" borderId="18" xfId="5" applyFont="1" applyFill="1" applyBorder="1" applyProtection="1">
      <protection hidden="1"/>
    </xf>
    <xf numFmtId="0" fontId="1" fillId="9" borderId="18" xfId="5" applyFill="1" applyBorder="1" applyProtection="1">
      <protection hidden="1"/>
    </xf>
    <xf numFmtId="0" fontId="1" fillId="9" borderId="37" xfId="5" applyFill="1" applyBorder="1" applyProtection="1">
      <protection hidden="1"/>
    </xf>
    <xf numFmtId="0" fontId="1" fillId="9" borderId="0" xfId="5" applyFill="1" applyAlignment="1" applyProtection="1">
      <alignment wrapText="1"/>
      <protection hidden="1"/>
    </xf>
    <xf numFmtId="0" fontId="3" fillId="9" borderId="0" xfId="5" applyFont="1" applyFill="1" applyProtection="1">
      <protection hidden="1"/>
    </xf>
    <xf numFmtId="0" fontId="7" fillId="9" borderId="0" xfId="5" applyFont="1" applyFill="1" applyProtection="1">
      <protection hidden="1"/>
    </xf>
    <xf numFmtId="14" fontId="1" fillId="9" borderId="0" xfId="5" applyNumberFormat="1" applyFont="1" applyFill="1" applyProtection="1">
      <protection hidden="1"/>
    </xf>
    <xf numFmtId="43" fontId="1" fillId="9" borderId="0" xfId="6" applyFont="1" applyFill="1" applyProtection="1">
      <protection hidden="1"/>
    </xf>
    <xf numFmtId="0" fontId="1" fillId="9" borderId="0" xfId="5" applyFont="1" applyFill="1" applyAlignment="1" applyProtection="1">
      <alignment horizontal="right"/>
      <protection hidden="1"/>
    </xf>
    <xf numFmtId="2" fontId="1" fillId="9" borderId="0" xfId="5" applyNumberFormat="1" applyFont="1" applyFill="1" applyProtection="1">
      <protection hidden="1"/>
    </xf>
    <xf numFmtId="14" fontId="1" fillId="9" borderId="0" xfId="5" applyNumberFormat="1" applyFill="1" applyProtection="1">
      <protection hidden="1"/>
    </xf>
    <xf numFmtId="0" fontId="3" fillId="9" borderId="0" xfId="5" applyFont="1" applyFill="1" applyAlignment="1" applyProtection="1">
      <protection hidden="1"/>
    </xf>
    <xf numFmtId="0" fontId="3" fillId="9" borderId="0" xfId="5" applyFont="1" applyFill="1" applyAlignment="1" applyProtection="1">
      <alignment wrapText="1"/>
      <protection hidden="1"/>
    </xf>
    <xf numFmtId="170" fontId="1" fillId="9" borderId="0" xfId="5" quotePrefix="1" applyNumberFormat="1" applyFont="1" applyFill="1" applyAlignment="1" applyProtection="1">
      <alignment horizontal="left" vertical="top"/>
      <protection hidden="1"/>
    </xf>
    <xf numFmtId="1" fontId="1" fillId="9" borderId="0" xfId="5" applyNumberFormat="1" applyFont="1" applyFill="1" applyProtection="1">
      <protection hidden="1"/>
    </xf>
    <xf numFmtId="0" fontId="8" fillId="9" borderId="0" xfId="5" applyFont="1" applyFill="1" applyProtection="1">
      <protection hidden="1"/>
    </xf>
    <xf numFmtId="0" fontId="23" fillId="9" borderId="0" xfId="5" applyFont="1" applyFill="1" applyProtection="1">
      <protection hidden="1"/>
    </xf>
    <xf numFmtId="0" fontId="1" fillId="0" borderId="0" xfId="5" applyProtection="1">
      <protection hidden="1"/>
    </xf>
    <xf numFmtId="1" fontId="1" fillId="9" borderId="0" xfId="5" applyNumberFormat="1" applyFill="1" applyProtection="1">
      <protection hidden="1"/>
    </xf>
    <xf numFmtId="1" fontId="34" fillId="0" borderId="28" xfId="0" applyNumberFormat="1" applyFont="1" applyBorder="1" applyAlignment="1">
      <alignment horizontal="right"/>
    </xf>
    <xf numFmtId="1" fontId="34" fillId="0" borderId="0" xfId="0" applyNumberFormat="1" applyFont="1" applyBorder="1" applyAlignment="1">
      <alignment horizontal="right"/>
    </xf>
    <xf numFmtId="14" fontId="62" fillId="14" borderId="46" xfId="0" applyNumberFormat="1" applyFont="1" applyFill="1" applyBorder="1" applyAlignment="1">
      <alignment horizontal="center" wrapText="1"/>
    </xf>
    <xf numFmtId="4" fontId="0" fillId="0" borderId="10" xfId="0" applyNumberFormat="1" applyBorder="1"/>
    <xf numFmtId="4" fontId="0" fillId="0" borderId="9" xfId="0" applyNumberFormat="1" applyBorder="1"/>
    <xf numFmtId="14" fontId="56" fillId="0" borderId="26" xfId="0" applyNumberFormat="1" applyFont="1" applyFill="1" applyBorder="1" applyAlignment="1">
      <alignment horizontal="center" wrapText="1"/>
    </xf>
    <xf numFmtId="14" fontId="56" fillId="0" borderId="44" xfId="0" applyNumberFormat="1" applyFont="1" applyFill="1" applyBorder="1" applyAlignment="1">
      <alignment horizontal="center" wrapText="1"/>
    </xf>
    <xf numFmtId="10" fontId="35" fillId="0" borderId="0" xfId="0" applyNumberFormat="1" applyFont="1" applyFill="1"/>
    <xf numFmtId="0" fontId="31" fillId="0" borderId="0" xfId="3" applyFill="1" applyBorder="1" applyAlignment="1" applyProtection="1"/>
    <xf numFmtId="2" fontId="1" fillId="10" borderId="0" xfId="0" applyNumberFormat="1" applyFont="1" applyFill="1" applyProtection="1">
      <protection hidden="1"/>
    </xf>
    <xf numFmtId="0" fontId="3" fillId="0" borderId="0" xfId="0" applyFont="1" applyFill="1" applyProtection="1">
      <protection hidden="1"/>
    </xf>
    <xf numFmtId="175" fontId="0" fillId="0" borderId="0" xfId="0" applyNumberFormat="1" applyFill="1" applyProtection="1">
      <protection hidden="1"/>
    </xf>
    <xf numFmtId="0" fontId="3" fillId="0" borderId="0" xfId="0" applyFont="1" applyFill="1" applyAlignment="1" applyProtection="1">
      <protection hidden="1"/>
    </xf>
    <xf numFmtId="0" fontId="3" fillId="0" borderId="0" xfId="0" applyFont="1" applyFill="1" applyAlignment="1" applyProtection="1">
      <alignment wrapText="1"/>
      <protection hidden="1"/>
    </xf>
    <xf numFmtId="170" fontId="1" fillId="0" borderId="0" xfId="0" quotePrefix="1" applyNumberFormat="1" applyFont="1" applyFill="1" applyAlignment="1" applyProtection="1">
      <alignment horizontal="left" vertical="top"/>
      <protection hidden="1"/>
    </xf>
    <xf numFmtId="0" fontId="18" fillId="9" borderId="0" xfId="0" quotePrefix="1" applyFont="1" applyFill="1" applyAlignment="1" applyProtection="1">
      <alignment vertical="center" wrapText="1"/>
      <protection hidden="1"/>
    </xf>
    <xf numFmtId="4" fontId="1" fillId="0" borderId="12" xfId="0" applyNumberFormat="1" applyFont="1" applyFill="1" applyBorder="1"/>
    <xf numFmtId="2" fontId="0" fillId="0" borderId="12" xfId="0" applyNumberFormat="1" applyFill="1" applyBorder="1" applyAlignment="1">
      <alignment horizontal="right"/>
    </xf>
    <xf numFmtId="167" fontId="0" fillId="10" borderId="7" xfId="0" applyNumberFormat="1" applyFill="1" applyBorder="1"/>
    <xf numFmtId="167" fontId="0" fillId="10" borderId="6" xfId="0" applyNumberFormat="1" applyFill="1" applyBorder="1"/>
    <xf numFmtId="167" fontId="0" fillId="10" borderId="5" xfId="0" applyNumberFormat="1" applyFill="1" applyBorder="1"/>
    <xf numFmtId="0" fontId="12" fillId="0" borderId="0" xfId="0" applyFont="1" applyFill="1" applyBorder="1" applyProtection="1"/>
    <xf numFmtId="4" fontId="34" fillId="0" borderId="7" xfId="0" applyNumberFormat="1" applyFont="1" applyBorder="1"/>
    <xf numFmtId="169" fontId="0" fillId="0" borderId="26" xfId="0" applyNumberFormat="1" applyBorder="1"/>
    <xf numFmtId="9" fontId="35" fillId="0" borderId="0" xfId="0" applyNumberFormat="1" applyFont="1"/>
    <xf numFmtId="166" fontId="1" fillId="0" borderId="4" xfId="0" applyNumberFormat="1" applyFont="1" applyBorder="1"/>
    <xf numFmtId="0" fontId="1" fillId="0" borderId="7" xfId="0" applyFont="1" applyFill="1" applyBorder="1" applyAlignment="1">
      <alignment wrapText="1"/>
    </xf>
    <xf numFmtId="175" fontId="50" fillId="0" borderId="0" xfId="0" applyNumberFormat="1" applyFont="1" applyFill="1" applyBorder="1" applyProtection="1">
      <protection locked="0"/>
    </xf>
    <xf numFmtId="0" fontId="26" fillId="0" borderId="0" xfId="0" applyFont="1" applyFill="1" applyBorder="1" applyAlignment="1" applyProtection="1">
      <alignment horizontal="center"/>
    </xf>
    <xf numFmtId="0" fontId="49" fillId="9" borderId="0" xfId="0" applyFont="1" applyFill="1" applyBorder="1" applyProtection="1"/>
    <xf numFmtId="10" fontId="50" fillId="13" borderId="0" xfId="0" applyNumberFormat="1" applyFont="1" applyFill="1" applyBorder="1" applyProtection="1">
      <protection locked="0"/>
    </xf>
    <xf numFmtId="0" fontId="50" fillId="13" borderId="0" xfId="0" applyNumberFormat="1" applyFont="1" applyFill="1" applyBorder="1" applyProtection="1">
      <protection locked="0"/>
    </xf>
    <xf numFmtId="0" fontId="49" fillId="9" borderId="0" xfId="0" applyFont="1" applyFill="1" applyBorder="1" applyProtection="1">
      <protection locked="0"/>
    </xf>
    <xf numFmtId="0" fontId="24" fillId="9" borderId="0" xfId="0" applyFont="1" applyFill="1" applyBorder="1" applyProtection="1">
      <protection locked="0"/>
    </xf>
    <xf numFmtId="0" fontId="0" fillId="9" borderId="0" xfId="0" applyFill="1" applyBorder="1" applyProtection="1">
      <protection locked="0"/>
    </xf>
    <xf numFmtId="0" fontId="1" fillId="9" borderId="0" xfId="0" applyFont="1" applyFill="1" applyBorder="1" applyProtection="1">
      <protection locked="0"/>
    </xf>
    <xf numFmtId="0" fontId="26" fillId="11" borderId="0" xfId="0" applyFont="1" applyFill="1" applyBorder="1" applyAlignment="1" applyProtection="1">
      <alignment horizontal="center"/>
      <protection locked="0"/>
    </xf>
    <xf numFmtId="0" fontId="0" fillId="9" borderId="0" xfId="0" applyFill="1" applyBorder="1" applyAlignment="1" applyProtection="1">
      <alignment horizontal="center"/>
      <protection locked="0"/>
    </xf>
    <xf numFmtId="175" fontId="50" fillId="16" borderId="0" xfId="0" applyNumberFormat="1" applyFont="1" applyFill="1" applyBorder="1" applyProtection="1">
      <protection locked="0"/>
    </xf>
    <xf numFmtId="0" fontId="26" fillId="11" borderId="0" xfId="0" applyFont="1" applyFill="1" applyBorder="1" applyAlignment="1" applyProtection="1">
      <alignment horizontal="center"/>
    </xf>
    <xf numFmtId="0" fontId="0" fillId="0" borderId="15" xfId="0" applyBorder="1" applyProtection="1">
      <protection hidden="1"/>
    </xf>
    <xf numFmtId="0" fontId="49" fillId="12" borderId="15" xfId="0" applyFont="1" applyFill="1" applyBorder="1" applyAlignment="1" applyProtection="1">
      <alignment horizontal="right"/>
    </xf>
    <xf numFmtId="177" fontId="1" fillId="12" borderId="0" xfId="0" quotePrefix="1" applyNumberFormat="1" applyFont="1" applyFill="1" applyBorder="1" applyAlignment="1" applyProtection="1">
      <alignment horizontal="right"/>
      <protection hidden="1"/>
    </xf>
    <xf numFmtId="44" fontId="50" fillId="0" borderId="0" xfId="0" applyNumberFormat="1" applyFont="1" applyFill="1" applyBorder="1" applyProtection="1">
      <protection locked="0"/>
    </xf>
    <xf numFmtId="0" fontId="49" fillId="9" borderId="0" xfId="0" quotePrefix="1" applyFont="1" applyFill="1" applyBorder="1" applyAlignment="1" applyProtection="1">
      <alignment horizontal="right"/>
    </xf>
    <xf numFmtId="175" fontId="50" fillId="13" borderId="0" xfId="0" applyNumberFormat="1" applyFont="1" applyFill="1" applyBorder="1" applyProtection="1">
      <protection locked="0"/>
    </xf>
    <xf numFmtId="165" fontId="50" fillId="13" borderId="0" xfId="0" applyNumberFormat="1" applyFont="1" applyFill="1" applyBorder="1" applyProtection="1">
      <protection locked="0"/>
    </xf>
    <xf numFmtId="0" fontId="49" fillId="12" borderId="0" xfId="0" applyFont="1" applyFill="1" applyBorder="1" applyAlignment="1" applyProtection="1">
      <alignment horizontal="right"/>
    </xf>
    <xf numFmtId="0" fontId="50" fillId="13" borderId="0" xfId="0" applyNumberFormat="1" applyFont="1" applyFill="1" applyBorder="1" applyAlignment="1" applyProtection="1">
      <alignment horizontal="left"/>
      <protection locked="0"/>
    </xf>
    <xf numFmtId="44" fontId="50" fillId="13" borderId="0" xfId="0" applyNumberFormat="1" applyFont="1" applyFill="1" applyBorder="1" applyProtection="1">
      <protection locked="0"/>
    </xf>
    <xf numFmtId="0" fontId="51" fillId="11" borderId="0" xfId="0" applyFont="1" applyFill="1" applyBorder="1" applyAlignment="1" applyProtection="1">
      <alignment horizontal="center"/>
    </xf>
    <xf numFmtId="0" fontId="49" fillId="12" borderId="0" xfId="0" applyFont="1" applyFill="1" applyBorder="1" applyProtection="1"/>
    <xf numFmtId="0" fontId="49" fillId="0" borderId="0" xfId="0" applyNumberFormat="1" applyFont="1" applyFill="1" applyBorder="1" applyAlignment="1" applyProtection="1">
      <alignment horizontal="left"/>
      <protection locked="0"/>
    </xf>
    <xf numFmtId="0" fontId="52" fillId="9" borderId="0" xfId="0" applyFont="1" applyFill="1" applyBorder="1" applyProtection="1">
      <protection hidden="1"/>
    </xf>
    <xf numFmtId="0" fontId="51" fillId="0" borderId="0" xfId="0" applyFont="1" applyFill="1" applyBorder="1" applyProtection="1">
      <protection hidden="1"/>
    </xf>
    <xf numFmtId="0" fontId="58" fillId="9" borderId="0" xfId="0" applyFont="1" applyFill="1" applyBorder="1" applyProtection="1">
      <protection hidden="1"/>
    </xf>
    <xf numFmtId="0" fontId="49" fillId="9" borderId="0" xfId="0" applyFont="1" applyFill="1" applyBorder="1" applyAlignment="1" applyProtection="1">
      <alignment vertical="center"/>
      <protection hidden="1"/>
    </xf>
    <xf numFmtId="0" fontId="0" fillId="9" borderId="14" xfId="0" applyFill="1" applyBorder="1" applyProtection="1">
      <protection hidden="1"/>
    </xf>
    <xf numFmtId="0" fontId="0" fillId="9" borderId="15" xfId="0" applyFill="1" applyBorder="1" applyProtection="1">
      <protection hidden="1"/>
    </xf>
    <xf numFmtId="0" fontId="0" fillId="9" borderId="16" xfId="0" applyFill="1" applyBorder="1" applyProtection="1">
      <protection hidden="1"/>
    </xf>
    <xf numFmtId="0" fontId="52" fillId="9" borderId="17" xfId="0" applyFont="1" applyFill="1" applyBorder="1" applyProtection="1">
      <protection hidden="1"/>
    </xf>
    <xf numFmtId="0" fontId="1" fillId="0" borderId="0" xfId="0" applyFont="1" applyBorder="1" applyProtection="1">
      <protection hidden="1"/>
    </xf>
    <xf numFmtId="0" fontId="1" fillId="9" borderId="17" xfId="0" applyFont="1" applyFill="1" applyBorder="1" applyProtection="1">
      <protection hidden="1"/>
    </xf>
    <xf numFmtId="0" fontId="52" fillId="9" borderId="17" xfId="0" applyFont="1" applyFill="1" applyBorder="1" applyProtection="1"/>
    <xf numFmtId="0" fontId="49" fillId="9" borderId="18" xfId="0" applyFont="1" applyFill="1" applyBorder="1" applyProtection="1"/>
    <xf numFmtId="177" fontId="1" fillId="0" borderId="0" xfId="0" quotePrefix="1" applyNumberFormat="1" applyFont="1" applyFill="1" applyBorder="1" applyAlignment="1" applyProtection="1">
      <alignment horizontal="right"/>
      <protection hidden="1"/>
    </xf>
    <xf numFmtId="0" fontId="51" fillId="0" borderId="0" xfId="0" applyFont="1" applyFill="1" applyBorder="1" applyAlignment="1" applyProtection="1">
      <alignment horizontal="center"/>
    </xf>
    <xf numFmtId="0" fontId="49" fillId="0" borderId="0" xfId="0" applyNumberFormat="1" applyFont="1" applyFill="1" applyBorder="1" applyAlignment="1" applyProtection="1">
      <alignment horizontal="right"/>
      <protection locked="0"/>
    </xf>
    <xf numFmtId="0" fontId="0" fillId="0" borderId="19" xfId="0" applyBorder="1"/>
    <xf numFmtId="14" fontId="0" fillId="0" borderId="17" xfId="0" applyNumberFormat="1" applyBorder="1"/>
    <xf numFmtId="14" fontId="0" fillId="0" borderId="36" xfId="0" applyNumberFormat="1" applyBorder="1"/>
    <xf numFmtId="0" fontId="0" fillId="0" borderId="20" xfId="0" applyBorder="1"/>
    <xf numFmtId="14" fontId="0" fillId="0" borderId="13" xfId="0" applyNumberFormat="1" applyBorder="1"/>
    <xf numFmtId="0" fontId="1" fillId="0" borderId="20" xfId="0" applyFont="1" applyFill="1" applyBorder="1"/>
    <xf numFmtId="0" fontId="1" fillId="0" borderId="20" xfId="0" applyFont="1" applyFill="1" applyBorder="1" applyAlignment="1">
      <alignment wrapText="1"/>
    </xf>
    <xf numFmtId="0" fontId="1" fillId="0" borderId="21" xfId="0" applyFont="1" applyFill="1" applyBorder="1"/>
    <xf numFmtId="0" fontId="0" fillId="0" borderId="13" xfId="0" applyBorder="1"/>
    <xf numFmtId="167" fontId="1" fillId="0" borderId="18" xfId="0" applyNumberFormat="1" applyFont="1" applyBorder="1"/>
    <xf numFmtId="167" fontId="1" fillId="0" borderId="0" xfId="0" applyNumberFormat="1" applyFont="1" applyBorder="1"/>
    <xf numFmtId="44" fontId="0" fillId="0" borderId="26" xfId="0" applyNumberFormat="1" applyFill="1" applyBorder="1"/>
    <xf numFmtId="0" fontId="67" fillId="11" borderId="0" xfId="0" applyFont="1" applyFill="1" applyBorder="1" applyAlignment="1" applyProtection="1">
      <alignment horizontal="center"/>
    </xf>
    <xf numFmtId="0" fontId="1" fillId="0" borderId="0" xfId="0" applyFont="1" applyFill="1" applyBorder="1" applyProtection="1"/>
    <xf numFmtId="169" fontId="0" fillId="0" borderId="6" xfId="0" applyNumberFormat="1" applyBorder="1"/>
    <xf numFmtId="43" fontId="1" fillId="0" borderId="0" xfId="1" applyFont="1" applyBorder="1" applyAlignment="1">
      <alignment horizontal="right"/>
    </xf>
    <xf numFmtId="43" fontId="0" fillId="0" borderId="0" xfId="1" applyFont="1" applyBorder="1"/>
    <xf numFmtId="178" fontId="1" fillId="0" borderId="0" xfId="1" applyNumberFormat="1" applyFont="1" applyBorder="1"/>
    <xf numFmtId="167" fontId="1" fillId="0" borderId="0" xfId="0" applyNumberFormat="1" applyFont="1" applyBorder="1" applyAlignment="1">
      <alignment horizontal="right"/>
    </xf>
    <xf numFmtId="1" fontId="1" fillId="0" borderId="14" xfId="0" applyNumberFormat="1" applyFont="1" applyBorder="1" applyAlignment="1">
      <alignment wrapText="1"/>
    </xf>
    <xf numFmtId="14" fontId="1" fillId="0" borderId="17" xfId="0" applyNumberFormat="1" applyFont="1" applyBorder="1"/>
    <xf numFmtId="0" fontId="0" fillId="0" borderId="17" xfId="0" applyBorder="1"/>
    <xf numFmtId="0" fontId="0" fillId="0" borderId="36" xfId="0" applyBorder="1"/>
    <xf numFmtId="0" fontId="1" fillId="0" borderId="15" xfId="0" applyFont="1" applyBorder="1" applyAlignment="1">
      <alignment wrapText="1"/>
    </xf>
    <xf numFmtId="14" fontId="1" fillId="0" borderId="0" xfId="0" applyNumberFormat="1" applyFont="1" applyBorder="1"/>
    <xf numFmtId="169" fontId="1" fillId="0" borderId="0" xfId="0" applyNumberFormat="1" applyFont="1" applyBorder="1"/>
    <xf numFmtId="172" fontId="0" fillId="0" borderId="13" xfId="0" applyNumberFormat="1" applyBorder="1"/>
    <xf numFmtId="0" fontId="3" fillId="0" borderId="15" xfId="0" applyFont="1" applyBorder="1"/>
    <xf numFmtId="0" fontId="1" fillId="0" borderId="15" xfId="0" applyFont="1" applyFill="1" applyBorder="1" applyAlignment="1">
      <alignment wrapText="1"/>
    </xf>
    <xf numFmtId="0" fontId="1" fillId="0" borderId="15" xfId="0" applyFont="1" applyBorder="1"/>
    <xf numFmtId="0" fontId="1" fillId="0" borderId="16" xfId="0" applyFont="1" applyBorder="1"/>
    <xf numFmtId="2" fontId="1" fillId="0" borderId="18" xfId="0" applyNumberFormat="1" applyFont="1" applyBorder="1"/>
    <xf numFmtId="0" fontId="0" fillId="0" borderId="37" xfId="0" applyBorder="1"/>
    <xf numFmtId="0" fontId="1" fillId="0" borderId="14" xfId="0" applyFont="1" applyBorder="1"/>
    <xf numFmtId="0" fontId="1" fillId="0" borderId="36" xfId="0" applyFont="1" applyBorder="1" applyAlignment="1">
      <alignment horizontal="center" vertical="center" wrapText="1"/>
    </xf>
    <xf numFmtId="0" fontId="1" fillId="0" borderId="15" xfId="0" applyFont="1" applyBorder="1" applyAlignment="1">
      <alignment horizontal="left"/>
    </xf>
    <xf numFmtId="167" fontId="1" fillId="0" borderId="13" xfId="0" applyNumberFormat="1" applyFont="1" applyBorder="1"/>
    <xf numFmtId="0" fontId="1" fillId="0" borderId="15" xfId="0" applyFont="1" applyFill="1" applyBorder="1" applyAlignment="1">
      <alignment horizontal="left"/>
    </xf>
    <xf numFmtId="167" fontId="1" fillId="0" borderId="13" xfId="0" applyNumberFormat="1" applyFont="1" applyFill="1" applyBorder="1"/>
    <xf numFmtId="0" fontId="1" fillId="0" borderId="16" xfId="0" applyFont="1" applyFill="1" applyBorder="1" applyAlignment="1">
      <alignment horizontal="left"/>
    </xf>
    <xf numFmtId="167" fontId="1" fillId="0" borderId="37" xfId="0" applyNumberFormat="1" applyFont="1" applyFill="1" applyBorder="1"/>
    <xf numFmtId="4" fontId="1" fillId="0" borderId="17" xfId="0" applyNumberFormat="1" applyFont="1" applyBorder="1" applyAlignment="1">
      <alignment horizontal="right"/>
    </xf>
    <xf numFmtId="4" fontId="1" fillId="0" borderId="36" xfId="0" applyNumberFormat="1" applyFont="1" applyBorder="1" applyAlignment="1">
      <alignment horizontal="right"/>
    </xf>
    <xf numFmtId="178" fontId="1" fillId="0" borderId="13" xfId="1" applyNumberFormat="1" applyFont="1" applyBorder="1"/>
    <xf numFmtId="43" fontId="1" fillId="0" borderId="13" xfId="1" applyFont="1" applyBorder="1" applyAlignment="1">
      <alignment horizontal="right"/>
    </xf>
    <xf numFmtId="0" fontId="1" fillId="0" borderId="15" xfId="0" applyFont="1" applyFill="1" applyBorder="1"/>
    <xf numFmtId="43" fontId="0" fillId="0" borderId="18" xfId="1" applyFont="1" applyBorder="1"/>
    <xf numFmtId="43" fontId="0" fillId="0" borderId="37" xfId="1" applyFont="1" applyBorder="1"/>
    <xf numFmtId="49" fontId="1" fillId="9" borderId="0" xfId="5" quotePrefix="1" applyNumberFormat="1" applyFont="1" applyFill="1" applyBorder="1" applyAlignment="1">
      <alignment horizontal="left" vertical="center"/>
    </xf>
    <xf numFmtId="49" fontId="1" fillId="9" borderId="0" xfId="5" applyNumberFormat="1" applyFont="1" applyFill="1" applyBorder="1" applyAlignment="1">
      <alignment vertical="center" wrapText="1"/>
    </xf>
    <xf numFmtId="4" fontId="3" fillId="0" borderId="0" xfId="0" applyNumberFormat="1" applyFont="1" applyBorder="1" applyAlignment="1">
      <alignment horizontal="right"/>
    </xf>
    <xf numFmtId="4" fontId="3" fillId="0" borderId="13" xfId="0" applyNumberFormat="1" applyFont="1" applyBorder="1" applyAlignment="1">
      <alignment horizontal="right"/>
    </xf>
    <xf numFmtId="49" fontId="45" fillId="9" borderId="0" xfId="5" quotePrefix="1" applyNumberFormat="1" applyFont="1" applyFill="1" applyBorder="1" applyAlignment="1">
      <alignment horizontal="left" vertical="center" wrapText="1"/>
    </xf>
    <xf numFmtId="164" fontId="42" fillId="9" borderId="3" xfId="5" applyNumberFormat="1" applyFont="1" applyFill="1" applyBorder="1" applyAlignment="1" applyProtection="1">
      <alignment horizontal="right"/>
      <protection hidden="1"/>
    </xf>
    <xf numFmtId="0" fontId="42" fillId="9" borderId="3" xfId="5" applyFont="1" applyFill="1" applyBorder="1" applyAlignment="1" applyProtection="1">
      <alignment horizontal="right"/>
      <protection hidden="1"/>
    </xf>
    <xf numFmtId="0" fontId="42" fillId="9" borderId="0" xfId="5" applyFont="1" applyFill="1" applyBorder="1" applyProtection="1">
      <protection hidden="1"/>
    </xf>
    <xf numFmtId="14" fontId="42" fillId="9" borderId="3" xfId="5" applyNumberFormat="1" applyFont="1" applyFill="1" applyBorder="1" applyProtection="1">
      <protection hidden="1"/>
    </xf>
    <xf numFmtId="14" fontId="42" fillId="9" borderId="0" xfId="5" applyNumberFormat="1" applyFont="1" applyFill="1" applyBorder="1" applyProtection="1">
      <protection hidden="1"/>
    </xf>
    <xf numFmtId="0" fontId="42" fillId="9" borderId="0" xfId="5" applyFont="1" applyFill="1" applyBorder="1" applyAlignment="1" applyProtection="1">
      <protection hidden="1"/>
    </xf>
    <xf numFmtId="175" fontId="36" fillId="0" borderId="0" xfId="0" applyNumberFormat="1" applyFont="1" applyProtection="1">
      <protection hidden="1"/>
    </xf>
    <xf numFmtId="14" fontId="36" fillId="0" borderId="0" xfId="0" applyNumberFormat="1" applyFont="1"/>
    <xf numFmtId="0" fontId="36" fillId="0" borderId="0" xfId="0" applyFont="1" applyAlignment="1">
      <alignment wrapText="1"/>
    </xf>
    <xf numFmtId="14" fontId="50" fillId="13" borderId="0" xfId="0" applyNumberFormat="1" applyFont="1" applyFill="1" applyBorder="1" applyAlignment="1" applyProtection="1">
      <alignment horizontal="right"/>
      <protection hidden="1"/>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168" fontId="51" fillId="9" borderId="0" xfId="4" applyNumberFormat="1" applyFont="1" applyFill="1" applyBorder="1" applyAlignment="1" applyProtection="1">
      <alignment horizontal="center" vertical="center"/>
      <protection hidden="1"/>
    </xf>
    <xf numFmtId="4" fontId="51" fillId="9" borderId="0" xfId="0" applyNumberFormat="1" applyFont="1" applyFill="1" applyBorder="1" applyAlignment="1" applyProtection="1">
      <alignment horizontal="center"/>
      <protection hidden="1"/>
    </xf>
    <xf numFmtId="9" fontId="51" fillId="9" borderId="0" xfId="4" quotePrefix="1" applyNumberFormat="1" applyFont="1" applyFill="1" applyBorder="1" applyAlignment="1" applyProtection="1">
      <alignment horizontal="center" vertical="center"/>
      <protection hidden="1"/>
    </xf>
    <xf numFmtId="0" fontId="68" fillId="9" borderId="0" xfId="0" applyFont="1" applyFill="1" applyBorder="1" applyProtection="1">
      <protection hidden="1"/>
    </xf>
    <xf numFmtId="0" fontId="3" fillId="9" borderId="0" xfId="0" applyFont="1" applyFill="1" applyProtection="1">
      <protection hidden="1"/>
    </xf>
    <xf numFmtId="0" fontId="3" fillId="9" borderId="15" xfId="0" applyFont="1" applyFill="1" applyBorder="1" applyProtection="1">
      <protection hidden="1"/>
    </xf>
    <xf numFmtId="0" fontId="0" fillId="0" borderId="0" xfId="0" applyAlignment="1">
      <alignment wrapText="1"/>
    </xf>
    <xf numFmtId="0" fontId="47" fillId="9" borderId="0" xfId="0" applyFont="1" applyFill="1" applyBorder="1" applyAlignment="1" applyProtection="1">
      <alignment horizontal="center"/>
    </xf>
    <xf numFmtId="0" fontId="47" fillId="9" borderId="13" xfId="0" applyFont="1" applyFill="1" applyBorder="1" applyAlignment="1" applyProtection="1">
      <alignment horizontal="center"/>
    </xf>
    <xf numFmtId="49" fontId="18" fillId="8" borderId="0" xfId="0" quotePrefix="1" applyNumberFormat="1" applyFont="1" applyFill="1" applyBorder="1" applyAlignment="1">
      <alignment horizontal="left" vertical="center"/>
    </xf>
    <xf numFmtId="49" fontId="29" fillId="8" borderId="0" xfId="0" quotePrefix="1" applyNumberFormat="1" applyFont="1" applyFill="1" applyBorder="1" applyAlignment="1">
      <alignment horizontal="left" vertical="center"/>
    </xf>
    <xf numFmtId="0" fontId="29" fillId="8" borderId="0" xfId="0" quotePrefix="1" applyNumberFormat="1" applyFont="1" applyFill="1" applyAlignment="1" applyProtection="1">
      <alignment vertical="center" wrapText="1"/>
      <protection hidden="1"/>
    </xf>
    <xf numFmtId="0" fontId="18" fillId="8" borderId="0" xfId="0" quotePrefix="1" applyFont="1" applyFill="1" applyBorder="1" applyAlignment="1">
      <alignment horizontal="left" vertical="center"/>
    </xf>
    <xf numFmtId="49" fontId="29" fillId="8" borderId="0" xfId="0" quotePrefix="1" applyNumberFormat="1" applyFont="1" applyFill="1" applyBorder="1" applyAlignment="1">
      <alignment horizontal="left" vertical="center" wrapText="1"/>
    </xf>
    <xf numFmtId="49" fontId="18" fillId="8" borderId="0" xfId="0" quotePrefix="1" applyNumberFormat="1" applyFont="1" applyFill="1" applyBorder="1" applyAlignment="1">
      <alignment horizontal="left" vertical="center" wrapText="1"/>
    </xf>
    <xf numFmtId="0" fontId="18" fillId="8" borderId="0" xfId="0" quotePrefix="1" applyFont="1" applyFill="1" applyAlignment="1" applyProtection="1">
      <alignment horizontal="left" vertical="center" wrapText="1"/>
      <protection hidden="1"/>
    </xf>
    <xf numFmtId="49" fontId="29" fillId="8" borderId="0" xfId="0" quotePrefix="1" applyNumberFormat="1" applyFont="1" applyFill="1" applyBorder="1" applyAlignment="1">
      <alignment vertical="center" wrapText="1"/>
    </xf>
    <xf numFmtId="49" fontId="18" fillId="8" borderId="0" xfId="0" quotePrefix="1" applyNumberFormat="1" applyFont="1" applyFill="1" applyBorder="1" applyAlignment="1">
      <alignment vertical="center" wrapText="1"/>
    </xf>
    <xf numFmtId="0" fontId="49" fillId="9" borderId="0" xfId="0" quotePrefix="1" applyFont="1" applyFill="1" applyBorder="1" applyAlignment="1" applyProtection="1">
      <alignment horizontal="left" wrapText="1"/>
      <protection hidden="1"/>
    </xf>
    <xf numFmtId="0" fontId="49" fillId="9" borderId="13" xfId="0" quotePrefix="1" applyFont="1" applyFill="1" applyBorder="1" applyAlignment="1" applyProtection="1">
      <alignment horizontal="left" wrapText="1"/>
      <protection hidden="1"/>
    </xf>
    <xf numFmtId="49" fontId="1" fillId="8"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1" fillId="9" borderId="0" xfId="0" applyFont="1" applyFill="1" applyBorder="1" applyAlignment="1" applyProtection="1">
      <alignment horizontal="center"/>
      <protection hidden="1"/>
    </xf>
    <xf numFmtId="49" fontId="29" fillId="8" borderId="0" xfId="0" applyNumberFormat="1" applyFont="1" applyFill="1" applyBorder="1" applyAlignment="1">
      <alignment vertical="center" wrapText="1"/>
    </xf>
    <xf numFmtId="0" fontId="18" fillId="8" borderId="0" xfId="0" quotePrefix="1" applyFont="1" applyFill="1" applyAlignment="1" applyProtection="1">
      <alignment vertical="center" wrapText="1"/>
      <protection hidden="1"/>
    </xf>
    <xf numFmtId="0" fontId="18" fillId="8" borderId="0" xfId="0" quotePrefix="1" applyNumberFormat="1" applyFont="1" applyFill="1" applyAlignment="1" applyProtection="1">
      <alignment vertical="center" wrapText="1"/>
      <protection hidden="1"/>
    </xf>
    <xf numFmtId="14" fontId="50" fillId="13" borderId="0" xfId="0" applyNumberFormat="1" applyFont="1" applyFill="1" applyBorder="1" applyAlignment="1" applyProtection="1">
      <alignment horizontal="center"/>
      <protection locked="0"/>
    </xf>
    <xf numFmtId="0" fontId="69" fillId="15" borderId="22" xfId="3" applyFont="1" applyFill="1" applyBorder="1" applyAlignment="1" applyProtection="1">
      <alignment horizontal="center" vertical="center"/>
      <protection hidden="1"/>
    </xf>
    <xf numFmtId="0" fontId="69" fillId="15" borderId="26" xfId="3" applyFont="1" applyFill="1" applyBorder="1" applyAlignment="1" applyProtection="1">
      <alignment horizontal="center" vertical="center"/>
    </xf>
    <xf numFmtId="0" fontId="69" fillId="15" borderId="27" xfId="3" applyFont="1" applyFill="1" applyBorder="1" applyAlignment="1" applyProtection="1">
      <alignment horizontal="center" vertical="center"/>
    </xf>
    <xf numFmtId="0" fontId="69" fillId="15" borderId="7" xfId="3" applyFont="1" applyFill="1" applyBorder="1" applyAlignment="1" applyProtection="1">
      <alignment horizontal="center" vertical="center"/>
    </xf>
    <xf numFmtId="0" fontId="69" fillId="15" borderId="6" xfId="3" applyFont="1" applyFill="1" applyBorder="1" applyAlignment="1" applyProtection="1">
      <alignment horizontal="center" vertical="center"/>
    </xf>
    <xf numFmtId="0" fontId="69" fillId="15" borderId="5" xfId="3" applyFont="1" applyFill="1" applyBorder="1" applyAlignment="1" applyProtection="1">
      <alignment horizontal="center" vertical="center"/>
    </xf>
    <xf numFmtId="0" fontId="69" fillId="15" borderId="22" xfId="0" applyFont="1" applyFill="1" applyBorder="1" applyAlignment="1" applyProtection="1">
      <alignment horizontal="center" vertical="center"/>
      <protection hidden="1"/>
    </xf>
    <xf numFmtId="0" fontId="69" fillId="15" borderId="26" xfId="0" applyFont="1" applyFill="1" applyBorder="1" applyAlignment="1">
      <alignment horizontal="center" vertical="center"/>
    </xf>
    <xf numFmtId="0" fontId="69" fillId="15" borderId="27" xfId="0" applyFont="1" applyFill="1" applyBorder="1" applyAlignment="1">
      <alignment horizontal="center" vertical="center"/>
    </xf>
    <xf numFmtId="0" fontId="69" fillId="15" borderId="7" xfId="0" applyFont="1" applyFill="1" applyBorder="1" applyAlignment="1">
      <alignment horizontal="center" vertical="center"/>
    </xf>
    <xf numFmtId="0" fontId="69" fillId="15" borderId="6" xfId="0" applyFont="1" applyFill="1" applyBorder="1" applyAlignment="1">
      <alignment horizontal="center" vertical="center"/>
    </xf>
    <xf numFmtId="0" fontId="69" fillId="15" borderId="5" xfId="0" applyFont="1" applyFill="1" applyBorder="1" applyAlignment="1">
      <alignment horizontal="center" vertical="center"/>
    </xf>
    <xf numFmtId="0" fontId="48" fillId="9" borderId="0" xfId="0" applyFont="1" applyFill="1" applyBorder="1" applyAlignment="1" applyProtection="1">
      <alignment horizontal="left"/>
    </xf>
    <xf numFmtId="0" fontId="48" fillId="9" borderId="13" xfId="0" applyFont="1" applyFill="1" applyBorder="1" applyAlignment="1" applyProtection="1">
      <alignment horizontal="left"/>
    </xf>
    <xf numFmtId="0" fontId="49" fillId="9" borderId="0" xfId="0" quotePrefix="1" applyFont="1" applyFill="1" applyBorder="1" applyAlignment="1">
      <alignment horizontal="left" vertical="center" wrapText="1"/>
    </xf>
    <xf numFmtId="0" fontId="49" fillId="9" borderId="13" xfId="0" quotePrefix="1" applyFont="1" applyFill="1" applyBorder="1" applyAlignment="1">
      <alignment horizontal="left" vertical="center" wrapText="1"/>
    </xf>
    <xf numFmtId="175" fontId="49" fillId="9" borderId="0" xfId="0" quotePrefix="1" applyNumberFormat="1" applyFont="1" applyFill="1" applyBorder="1" applyAlignment="1" applyProtection="1">
      <alignment horizontal="left" wrapText="1"/>
      <protection hidden="1"/>
    </xf>
    <xf numFmtId="175" fontId="49" fillId="9" borderId="13" xfId="0" quotePrefix="1" applyNumberFormat="1" applyFont="1" applyFill="1" applyBorder="1" applyAlignment="1" applyProtection="1">
      <alignment horizontal="left" wrapText="1"/>
      <protection hidden="1"/>
    </xf>
    <xf numFmtId="0" fontId="3" fillId="9" borderId="0" xfId="5" applyFont="1" applyFill="1" applyBorder="1" applyAlignment="1"/>
    <xf numFmtId="0" fontId="0" fillId="0" borderId="0" xfId="0" applyAlignment="1"/>
    <xf numFmtId="49" fontId="1" fillId="9" borderId="0" xfId="5" quotePrefix="1" applyNumberFormat="1" applyFont="1" applyFill="1" applyBorder="1" applyAlignment="1">
      <alignment horizontal="left" vertical="center" wrapText="1"/>
    </xf>
    <xf numFmtId="49" fontId="1" fillId="9" borderId="0" xfId="5" quotePrefix="1" applyNumberFormat="1" applyFont="1" applyFill="1" applyBorder="1" applyAlignment="1">
      <alignment horizontal="left" vertical="center"/>
    </xf>
    <xf numFmtId="0" fontId="1" fillId="9" borderId="0" xfId="5" quotePrefix="1" applyNumberFormat="1" applyFont="1" applyFill="1" applyBorder="1" applyAlignment="1">
      <alignment horizontal="left" vertical="center" wrapText="1"/>
    </xf>
    <xf numFmtId="49" fontId="1" fillId="0" borderId="0" xfId="5" quotePrefix="1" applyNumberFormat="1" applyFont="1" applyFill="1" applyBorder="1" applyAlignment="1">
      <alignment horizontal="left" vertical="top"/>
    </xf>
    <xf numFmtId="0" fontId="1" fillId="9" borderId="0" xfId="5" quotePrefix="1" applyFont="1" applyFill="1" applyBorder="1" applyAlignment="1">
      <alignment horizontal="left" vertical="center"/>
    </xf>
    <xf numFmtId="0" fontId="1" fillId="9" borderId="0" xfId="5" applyFont="1" applyFill="1" applyBorder="1" applyAlignment="1">
      <alignment horizontal="left" vertical="center" wrapText="1"/>
    </xf>
    <xf numFmtId="49" fontId="1" fillId="9" borderId="0" xfId="5" quotePrefix="1" applyNumberFormat="1" applyFont="1" applyFill="1" applyBorder="1" applyAlignment="1">
      <alignment vertical="center" wrapText="1"/>
    </xf>
    <xf numFmtId="49" fontId="1" fillId="9" borderId="0" xfId="5"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0" fillId="0" borderId="0" xfId="0" applyAlignment="1">
      <alignment vertical="center" wrapText="1"/>
    </xf>
    <xf numFmtId="49" fontId="45" fillId="9" borderId="0" xfId="5" quotePrefix="1" applyNumberFormat="1" applyFont="1" applyFill="1" applyBorder="1" applyAlignment="1">
      <alignment horizontal="left" vertical="center" wrapText="1"/>
    </xf>
    <xf numFmtId="14" fontId="42" fillId="9" borderId="35" xfId="5" applyNumberFormat="1" applyFont="1" applyFill="1" applyBorder="1" applyAlignment="1" applyProtection="1">
      <alignment horizontal="center"/>
      <protection hidden="1"/>
    </xf>
    <xf numFmtId="14" fontId="42" fillId="9" borderId="24" xfId="5" applyNumberFormat="1" applyFont="1" applyFill="1" applyBorder="1" applyAlignment="1" applyProtection="1">
      <alignment horizontal="center"/>
      <protection hidden="1"/>
    </xf>
    <xf numFmtId="0" fontId="43" fillId="9" borderId="0" xfId="5" applyFont="1" applyFill="1" applyBorder="1" applyAlignment="1" applyProtection="1">
      <alignment horizontal="left" vertical="center" wrapText="1"/>
      <protection hidden="1"/>
    </xf>
    <xf numFmtId="0" fontId="42" fillId="9" borderId="0" xfId="5" applyFont="1" applyFill="1" applyBorder="1" applyAlignment="1">
      <alignment wrapText="1"/>
    </xf>
    <xf numFmtId="0" fontId="42" fillId="9" borderId="0" xfId="5" applyFont="1" applyFill="1" applyBorder="1" applyAlignment="1"/>
    <xf numFmtId="0" fontId="42" fillId="0" borderId="0" xfId="5" applyFont="1" applyAlignment="1"/>
    <xf numFmtId="0" fontId="43" fillId="9" borderId="0" xfId="5" applyFont="1" applyFill="1" applyBorder="1" applyAlignment="1">
      <alignment horizontal="left" wrapText="1"/>
    </xf>
    <xf numFmtId="0" fontId="49" fillId="9" borderId="0" xfId="5" applyFont="1" applyFill="1" applyBorder="1" applyAlignment="1" applyProtection="1">
      <alignment horizontal="center"/>
      <protection hidden="1"/>
    </xf>
    <xf numFmtId="0" fontId="60" fillId="15" borderId="22" xfId="5" applyFont="1" applyFill="1" applyBorder="1" applyAlignment="1" applyProtection="1">
      <alignment horizontal="center" vertical="center"/>
      <protection hidden="1"/>
    </xf>
    <xf numFmtId="0" fontId="60" fillId="15" borderId="26" xfId="5" applyFont="1" applyFill="1" applyBorder="1" applyAlignment="1">
      <alignment horizontal="center" vertical="center"/>
    </xf>
    <xf numFmtId="0" fontId="60" fillId="15" borderId="27" xfId="5" applyFont="1" applyFill="1" applyBorder="1" applyAlignment="1">
      <alignment horizontal="center" vertical="center"/>
    </xf>
    <xf numFmtId="0" fontId="60" fillId="15" borderId="7" xfId="5" applyFont="1" applyFill="1" applyBorder="1" applyAlignment="1">
      <alignment horizontal="center" vertical="center"/>
    </xf>
    <xf numFmtId="0" fontId="60" fillId="15" borderId="6" xfId="5" applyFont="1" applyFill="1" applyBorder="1" applyAlignment="1">
      <alignment horizontal="center" vertical="center"/>
    </xf>
    <xf numFmtId="0" fontId="60" fillId="15" borderId="5" xfId="5" applyFont="1" applyFill="1" applyBorder="1" applyAlignment="1">
      <alignment horizontal="center" vertical="center"/>
    </xf>
    <xf numFmtId="0" fontId="60" fillId="15" borderId="22" xfId="0" applyFont="1" applyFill="1" applyBorder="1" applyAlignment="1" applyProtection="1">
      <alignment horizontal="center" vertical="center"/>
      <protection hidden="1"/>
    </xf>
    <xf numFmtId="0" fontId="60" fillId="15" borderId="26" xfId="0" applyFont="1" applyFill="1" applyBorder="1" applyAlignment="1">
      <alignment horizontal="center" vertical="center"/>
    </xf>
    <xf numFmtId="0" fontId="60" fillId="15" borderId="27" xfId="0" applyFont="1" applyFill="1" applyBorder="1" applyAlignment="1">
      <alignment horizontal="center" vertical="center"/>
    </xf>
    <xf numFmtId="0" fontId="60" fillId="15" borderId="7" xfId="0" applyFont="1" applyFill="1" applyBorder="1" applyAlignment="1">
      <alignment horizontal="center" vertical="center"/>
    </xf>
    <xf numFmtId="0" fontId="60" fillId="15" borderId="6" xfId="0" applyFont="1" applyFill="1" applyBorder="1" applyAlignment="1">
      <alignment horizontal="center" vertical="center"/>
    </xf>
    <xf numFmtId="0" fontId="60" fillId="15" borderId="5" xfId="0" applyFont="1" applyFill="1" applyBorder="1" applyAlignment="1">
      <alignment horizontal="center" vertical="center"/>
    </xf>
    <xf numFmtId="0" fontId="1" fillId="0" borderId="0" xfId="0" applyFont="1" applyAlignment="1">
      <alignment horizontal="center"/>
    </xf>
    <xf numFmtId="0" fontId="3" fillId="10" borderId="11" xfId="0" applyFont="1" applyFill="1" applyBorder="1" applyAlignment="1">
      <alignment horizontal="center"/>
    </xf>
    <xf numFmtId="0" fontId="3" fillId="10" borderId="10" xfId="0" applyFont="1" applyFill="1" applyBorder="1" applyAlignment="1">
      <alignment horizontal="center"/>
    </xf>
    <xf numFmtId="0" fontId="3" fillId="10" borderId="9" xfId="0" applyFont="1" applyFill="1" applyBorder="1" applyAlignment="1">
      <alignment horizontal="center"/>
    </xf>
    <xf numFmtId="0" fontId="54" fillId="14" borderId="41" xfId="0" applyFont="1" applyFill="1" applyBorder="1" applyAlignment="1">
      <alignment horizontal="center" vertical="top" wrapText="1"/>
    </xf>
    <xf numFmtId="0" fontId="54" fillId="14" borderId="42" xfId="0" applyFont="1" applyFill="1" applyBorder="1" applyAlignment="1">
      <alignment horizontal="center" vertical="top" wrapText="1"/>
    </xf>
    <xf numFmtId="0" fontId="1" fillId="0" borderId="26" xfId="0" applyFont="1" applyBorder="1" applyAlignment="1">
      <alignment vertical="center"/>
    </xf>
    <xf numFmtId="0" fontId="64" fillId="0" borderId="0" xfId="0" applyFont="1" applyAlignment="1">
      <alignment vertical="center" wrapText="1"/>
    </xf>
    <xf numFmtId="0" fontId="3" fillId="0" borderId="0" xfId="0" applyFont="1" applyAlignment="1">
      <alignment vertical="center"/>
    </xf>
    <xf numFmtId="0" fontId="49" fillId="0" borderId="0" xfId="0" applyFont="1"/>
    <xf numFmtId="0" fontId="49" fillId="0" borderId="6" xfId="0" applyFont="1" applyBorder="1"/>
    <xf numFmtId="0" fontId="3" fillId="0" borderId="26" xfId="0" applyFont="1" applyBorder="1" applyAlignment="1">
      <alignment horizontal="center" vertical="center"/>
    </xf>
    <xf numFmtId="0" fontId="64" fillId="0" borderId="0" xfId="0" applyFont="1" applyAlignment="1">
      <alignment horizontal="left" vertical="center" wrapText="1" indent="4"/>
    </xf>
    <xf numFmtId="0" fontId="3" fillId="0" borderId="26" xfId="0" applyFont="1" applyBorder="1" applyAlignment="1">
      <alignment horizontal="center" vertical="center" wrapText="1"/>
    </xf>
    <xf numFmtId="0" fontId="64" fillId="0" borderId="26" xfId="0" applyFont="1" applyBorder="1" applyAlignment="1">
      <alignment vertical="center" wrapText="1"/>
    </xf>
    <xf numFmtId="0" fontId="64" fillId="0" borderId="0" xfId="0" applyFont="1" applyBorder="1" applyAlignment="1">
      <alignment vertical="center" wrapText="1"/>
    </xf>
    <xf numFmtId="0" fontId="1" fillId="0" borderId="26" xfId="0" applyFont="1" applyBorder="1" applyAlignment="1">
      <alignment vertical="center" wrapText="1"/>
    </xf>
    <xf numFmtId="0" fontId="1" fillId="0" borderId="0" xfId="0" applyFont="1" applyAlignment="1">
      <alignment horizontal="left" vertical="center" wrapText="1" indent="4"/>
    </xf>
    <xf numFmtId="0" fontId="49" fillId="0" borderId="0" xfId="0" applyFont="1" applyAlignment="1">
      <alignment horizontal="left" vertical="center" wrapText="1" indent="4"/>
    </xf>
    <xf numFmtId="0" fontId="64" fillId="0" borderId="26" xfId="0" applyFont="1" applyBorder="1" applyAlignment="1">
      <alignment horizontal="left" vertical="center" wrapText="1" indent="4"/>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25"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4" xfId="0" applyFont="1" applyFill="1" applyBorder="1" applyAlignment="1">
      <alignment horizontal="center" vertic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10" borderId="22" xfId="0" applyFont="1" applyFill="1" applyBorder="1" applyAlignment="1">
      <alignment horizontal="center" vertical="center"/>
    </xf>
    <xf numFmtId="0" fontId="3" fillId="10" borderId="28" xfId="0" applyFont="1" applyFill="1" applyBorder="1" applyAlignment="1">
      <alignment horizontal="center" vertical="center"/>
    </xf>
    <xf numFmtId="0" fontId="3" fillId="10" borderId="7"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22">
    <dxf>
      <font>
        <color theme="0"/>
      </font>
      <fill>
        <patternFill patternType="none">
          <bgColor auto="1"/>
        </patternFill>
      </fill>
      <border>
        <left/>
        <right/>
        <top/>
        <bottom/>
        <vertical/>
        <horizontal/>
      </border>
    </dxf>
    <dxf>
      <font>
        <strike val="0"/>
        <color theme="0"/>
      </font>
      <fill>
        <patternFill>
          <fgColor theme="0"/>
          <bgColor theme="0"/>
        </patternFill>
      </fill>
      <border>
        <left/>
        <right/>
        <top/>
        <bottom/>
      </border>
    </dxf>
    <dxf>
      <font>
        <color theme="0"/>
      </font>
      <fill>
        <patternFill patternType="none">
          <fgColor indexed="64"/>
          <bgColor auto="1"/>
        </patternFill>
      </fill>
      <border>
        <left/>
        <right/>
        <top/>
        <bottom/>
      </border>
    </dxf>
    <dxf>
      <font>
        <strike val="0"/>
        <color theme="0"/>
      </font>
      <fill>
        <patternFill>
          <fgColor theme="0"/>
          <bgColor theme="0"/>
        </patternFill>
      </fill>
      <border>
        <left/>
        <right/>
        <top/>
        <bottom/>
      </border>
    </dxf>
    <dxf>
      <border>
        <left style="thin">
          <color auto="1"/>
        </left>
        <vertical/>
        <horizontal/>
      </border>
    </dxf>
    <dxf>
      <font>
        <strike val="0"/>
      </font>
      <border>
        <left style="thin">
          <color auto="1"/>
        </left>
        <vertical/>
        <horizontal/>
      </border>
    </dxf>
    <dxf>
      <font>
        <strike val="0"/>
        <color theme="0"/>
      </font>
      <fill>
        <patternFill>
          <fgColor theme="0"/>
          <bgColor theme="0"/>
        </patternFill>
      </fill>
      <border>
        <left/>
        <right/>
        <top/>
        <bottom/>
        <vertical/>
        <horizontal/>
      </border>
    </dxf>
    <dxf>
      <font>
        <strike val="0"/>
        <color theme="0"/>
      </font>
      <fill>
        <patternFill>
          <fgColor theme="0"/>
          <bgColor theme="0"/>
        </patternFill>
      </fill>
      <border>
        <left style="thin">
          <color auto="1"/>
        </left>
        <vertical/>
        <horizontal/>
      </border>
    </dxf>
    <dxf>
      <font>
        <color rgb="FFFF0000"/>
      </font>
    </dxf>
    <dxf>
      <font>
        <color theme="0"/>
      </font>
      <fill>
        <patternFill patternType="none">
          <fgColor indexed="64"/>
          <bgColor auto="1"/>
        </patternFill>
      </fill>
      <border>
        <left/>
        <right/>
        <top/>
        <bottom/>
      </border>
    </dxf>
    <dxf>
      <font>
        <color theme="0"/>
      </font>
      <fill>
        <patternFill patternType="none">
          <bgColor auto="1"/>
        </patternFill>
      </fill>
      <border>
        <left/>
        <right/>
        <top/>
        <bottom/>
        <vertical/>
        <horizontal/>
      </border>
    </dxf>
    <dxf>
      <font>
        <strike val="0"/>
        <color theme="0"/>
      </font>
      <fill>
        <patternFill>
          <fgColor theme="0"/>
          <bgColor theme="0"/>
        </patternFill>
      </fill>
      <border>
        <left/>
        <right/>
        <top/>
        <bottom/>
      </border>
    </dxf>
    <dxf>
      <border>
        <left/>
        <right/>
        <top/>
        <bottom/>
        <vertical/>
        <horizontal/>
      </border>
    </dxf>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patternType="solid">
          <fgColor theme="0"/>
          <bgColor theme="0"/>
        </patternFill>
      </fill>
      <border>
        <left/>
        <right/>
        <top/>
        <bottom/>
        <vertical/>
        <horizontal/>
      </border>
    </dxf>
    <dxf>
      <font>
        <strike val="0"/>
        <color theme="0"/>
      </font>
      <fill>
        <patternFill patternType="none">
          <fgColor indexed="64"/>
          <bgColor auto="1"/>
        </patternFill>
      </fill>
      <border>
        <left/>
        <right/>
        <top/>
        <bottom/>
        <vertical/>
        <horizontal/>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fgColor theme="0"/>
        </patternFill>
      </fill>
      <border>
        <left/>
        <right/>
        <top/>
        <bottom/>
        <vertical/>
        <horizontal/>
      </border>
    </dxf>
    <dxf>
      <font>
        <b val="0"/>
        <i val="0"/>
        <color theme="0"/>
      </font>
      <fill>
        <patternFill patternType="none">
          <fgColor indexed="64"/>
          <bgColor auto="1"/>
        </patternFill>
      </fill>
      <border>
        <left/>
        <right/>
        <top/>
        <bottom/>
        <vertical/>
        <horizontal/>
      </border>
    </dxf>
  </dxfs>
  <tableStyles count="0" defaultTableStyle="TableStyleMedium9" defaultPivotStyle="PivotStyleLight16"/>
  <colors>
    <mruColors>
      <color rgb="FF0000FF"/>
      <color rgb="FFFF33CC"/>
      <color rgb="FFFF00FF"/>
      <color rgb="FF808080"/>
      <color rgb="FF002060"/>
      <color rgb="FFBACCCF"/>
      <color rgb="FFECE69C"/>
      <color rgb="FFCCC0DA"/>
      <color rgb="FFD8E4B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fmlaLink="Parameters!$B$10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1933575</xdr:colOff>
          <xdr:row>5</xdr:row>
          <xdr:rowOff>219075</xdr:rowOff>
        </xdr:to>
        <xdr:sp macro="" textlink="">
          <xdr:nvSpPr>
            <xdr:cNvPr id="1025" name="ClassificationCbo"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1</xdr:col>
          <xdr:colOff>1924050</xdr:colOff>
          <xdr:row>7</xdr:row>
          <xdr:rowOff>0</xdr:rowOff>
        </xdr:to>
        <xdr:sp macro="" textlink="">
          <xdr:nvSpPr>
            <xdr:cNvPr id="1026" name="DescriptorCbo"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39</xdr:row>
          <xdr:rowOff>95250</xdr:rowOff>
        </xdr:from>
        <xdr:to>
          <xdr:col>7</xdr:col>
          <xdr:colOff>561975</xdr:colOff>
          <xdr:row>41</xdr:row>
          <xdr:rowOff>123825</xdr:rowOff>
        </xdr:to>
        <xdr:sp macro="" textlink="">
          <xdr:nvSpPr>
            <xdr:cNvPr id="4380" name="Check Box 284" hidden="1">
              <a:extLst>
                <a:ext uri="{63B3BB69-23CF-44E3-9099-C40C66FF867C}">
                  <a14:compatExt spid="_x0000_s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15</xdr:col>
      <xdr:colOff>10583</xdr:colOff>
      <xdr:row>12</xdr:row>
      <xdr:rowOff>111953</xdr:rowOff>
    </xdr:to>
    <xdr:pic>
      <xdr:nvPicPr>
        <xdr:cNvPr id="2" name="Picture 1"/>
        <xdr:cNvPicPr>
          <a:picLocks noChangeAspect="1"/>
        </xdr:cNvPicPr>
      </xdr:nvPicPr>
      <xdr:blipFill>
        <a:blip xmlns:r="http://schemas.openxmlformats.org/officeDocument/2006/relationships" r:embed="rId1"/>
        <a:stretch>
          <a:fillRect/>
        </a:stretch>
      </xdr:blipFill>
      <xdr:spPr>
        <a:xfrm>
          <a:off x="444500" y="0"/>
          <a:ext cx="11758083" cy="2016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5</xdr:row>
      <xdr:rowOff>114300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67151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xdr:rowOff>
    </xdr:from>
    <xdr:to>
      <xdr:col>7</xdr:col>
      <xdr:colOff>19050</xdr:colOff>
      <xdr:row>3</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219075" y="1"/>
          <a:ext cx="5791200" cy="9334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haelrae\AppData\Local\Microsoft\Windows\INetCache\Content.Outlook\FEDZVD5V\170912PensionCalcSTSSPr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Nominal results"/>
      <sheetName val="Parameters"/>
      <sheetName val="Tapers"/>
      <sheetName val="Commutation Factors"/>
      <sheetName val="ERF and LRF"/>
      <sheetName val="FS Calcs"/>
      <sheetName val="Past Service CARE Calcs"/>
      <sheetName val="CARE calcs"/>
      <sheetName val="CARE calcs ABS"/>
      <sheetName val="Lump Sum"/>
      <sheetName val="Summary"/>
    </sheetNames>
    <sheetDataSet>
      <sheetData sheetId="0">
        <row r="2">
          <cell r="A2" t="str">
            <v>Scottish Fire pension  projection calculator</v>
          </cell>
        </row>
      </sheetData>
      <sheetData sheetId="1"/>
      <sheetData sheetId="2">
        <row r="25">
          <cell r="J25">
            <v>22005</v>
          </cell>
        </row>
      </sheetData>
      <sheetData sheetId="3"/>
      <sheetData sheetId="4"/>
      <sheetData sheetId="5"/>
      <sheetData sheetId="6">
        <row r="7">
          <cell r="E7" t="str">
            <v>NPA60</v>
          </cell>
        </row>
      </sheetData>
      <sheetData sheetId="7">
        <row r="13">
          <cell r="B13">
            <v>22737</v>
          </cell>
        </row>
      </sheetData>
      <sheetData sheetId="8">
        <row r="6">
          <cell r="F6">
            <v>3</v>
          </cell>
        </row>
      </sheetData>
      <sheetData sheetId="9">
        <row r="13">
          <cell r="B13">
            <v>55</v>
          </cell>
        </row>
      </sheetData>
      <sheetData sheetId="10">
        <row r="31">
          <cell r="F31" t="str">
            <v>Full</v>
          </cell>
        </row>
      </sheetData>
      <sheetData sheetId="11"/>
      <sheetData sheetId="12">
        <row r="24">
          <cell r="C24">
            <v>1.224</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hyperlink" Target="file:///\\Gad-fpt\fpt\NEW%20DATA\FPT%20Clients\Teachers\Scotland\Factors\2014-15%20Factor%20review\ERFs\Review%202025\Guidance\Scottish%20Teachers'%20Pension%20Scheme%202015%20(STPS)%20ERFs%2015%20June%202015.xlsx" TargetMode="External"/><Relationship Id="rId2" Type="http://schemas.openxmlformats.org/officeDocument/2006/relationships/hyperlink" Target="file:///\\Gad-fpt\fpt\NEW%20DATA\FPT%20Clients\Teachers\Scotland\Factors\2014-15%20Factor%20review\ERFs\Review%202025\Guidance\Scottish%20Teachers'%20Superannuation%20Scheme%20(STSS)%20ERFs%2015%20June%202015.xlsx" TargetMode="External"/><Relationship Id="rId1" Type="http://schemas.openxmlformats.org/officeDocument/2006/relationships/hyperlink" Target="file:///\\Gad-fpt\fpt\NEW%20DATA\FPT%20Clients\Teachers\Scotland\Factors\2014-15%20Factor%20review\ERFs\Review%202025\Guidance\Scottish%20Teachers'%20Superannuation%20Scheme%20(STSS)%20ERFs%2015%20June%202015.xlsx" TargetMode="External"/><Relationship Id="rId6" Type="http://schemas.openxmlformats.org/officeDocument/2006/relationships/printerSettings" Target="../printerSettings/printerSettings10.bin"/><Relationship Id="rId5" Type="http://schemas.openxmlformats.org/officeDocument/2006/relationships/hyperlink" Target="file:///\\Gad-fpt\fpt\NEW%20DATA\FPT%20Clients\Teachers\Scotland\Factors\2014-15%20Factor%20review\LRFs\CARE\Review%202025\Guidance\STPS%20Late%20Retirement%20Factor%20Guidance%20DRAFT%2020%20May%202015.xlsx" TargetMode="External"/><Relationship Id="rId4" Type="http://schemas.openxmlformats.org/officeDocument/2006/relationships/hyperlink" Target="file:///\\Gad-fpt\fpt\NEW%20DATA\FPT%20Clients\Teachers\Scotland\Factors\2014-15%20Factor%20review\LRFs\FS\Review%202025\Guidance\STSS%20Late%20Retirement%20Factors%20issued%2017%20June%202015.xlsx"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Gad-fpt\fpt\NEW%20DATA\FPT%20Clients\Teachers\Scotland\General\2017\Benefit%20Calculator\Pension%20calculator%20STSS%20v0.1.xlsx"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STSS/STSS%20Useful%20Resources/Calculators/Teacher%20Calculator%20FAQ%202018%20v1.0.pdf" TargetMode="External"/><Relationship Id="rId7" Type="http://schemas.openxmlformats.org/officeDocument/2006/relationships/ctrlProp" Target="../ctrlProps/ctrlProp3.xml"/><Relationship Id="rId2" Type="http://schemas.openxmlformats.org/officeDocument/2006/relationships/hyperlink" Target="http://www.sppa.gov.uk/index.php?option=com_content&amp;view=article&amp;id=63&amp;Itemid=5" TargetMode="External"/><Relationship Id="rId1" Type="http://schemas.openxmlformats.org/officeDocument/2006/relationships/hyperlink" Target="http://2015.sppa.gov.uk/scheme/teacher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ppa.gov.uk/index.php?option=com_content&amp;view=article&amp;id=63&amp;Itemid=5" TargetMode="External"/><Relationship Id="rId1" Type="http://schemas.openxmlformats.org/officeDocument/2006/relationships/hyperlink" Target="http://2015.sppa.gov.uk/scheme/teacher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is.org.uk/Pension_Scheme_Changes_2015/STPS2015.htm" TargetMode="External"/><Relationship Id="rId1" Type="http://schemas.openxmlformats.org/officeDocument/2006/relationships/hyperlink" Target="http://www.sppa.gov.uk/Documents/STSS/STSS%20Useful%20Resources/Valuations/STSS_2012%20valuation_Report%20by%20the%20scheme%20actuary_27%20February%202015.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heetViews>
  <sheetFormatPr defaultRowHeight="12.75" x14ac:dyDescent="0.2"/>
  <cols>
    <col min="1" max="1" width="20.42578125" style="9" customWidth="1"/>
    <col min="2" max="2" width="130.7109375" style="2" customWidth="1"/>
    <col min="3" max="3" width="9.140625" style="9" customWidth="1"/>
    <col min="4" max="4" width="10.140625" style="9" bestFit="1" customWidth="1"/>
    <col min="5" max="7" width="9.140625" style="9" customWidth="1"/>
    <col min="8" max="8" width="10.140625" style="9" customWidth="1"/>
    <col min="9" max="9" width="11.42578125" style="9" customWidth="1"/>
    <col min="10" max="11" width="9.140625" style="9" customWidth="1"/>
    <col min="12" max="12" width="15.42578125" style="9" bestFit="1" customWidth="1"/>
    <col min="13" max="13" width="21" style="9" bestFit="1" customWidth="1"/>
    <col min="14" max="14" width="9.28515625" style="9" customWidth="1"/>
    <col min="15" max="15" width="9.5703125" style="9" customWidth="1"/>
    <col min="16" max="20" width="13.140625" style="9" customWidth="1"/>
    <col min="21" max="26" width="9.140625" style="9" customWidth="1"/>
    <col min="27" max="27" width="11.28515625" style="9" customWidth="1"/>
    <col min="28" max="28" width="10.140625" style="9" customWidth="1"/>
    <col min="29" max="30" width="9.140625" style="9" customWidth="1"/>
    <col min="31" max="31" width="15.42578125" style="9" bestFit="1" customWidth="1"/>
    <col min="32" max="32" width="21" style="9" bestFit="1" customWidth="1"/>
    <col min="33" max="34" width="9.5703125" style="9" bestFit="1" customWidth="1"/>
    <col min="35" max="35" width="9.5703125" style="9" customWidth="1"/>
    <col min="36" max="38" width="9.140625" style="9" customWidth="1"/>
    <col min="39" max="39" width="12.42578125" style="9" bestFit="1" customWidth="1"/>
    <col min="40" max="45" width="9.140625" style="9" customWidth="1"/>
  </cols>
  <sheetData>
    <row r="1" spans="1:45" ht="20.25" x14ac:dyDescent="0.3">
      <c r="A1" s="4" t="s">
        <v>18</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75" x14ac:dyDescent="0.25">
      <c r="A2" s="5" t="s">
        <v>283</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75" x14ac:dyDescent="0.25">
      <c r="A3" s="65" t="s">
        <v>19</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
      <c r="A4" s="7" t="str">
        <f ca="1">CELL("filename",A1)</f>
        <v>C:\Users\U209873\AppData\Local\Microsoft\Windows\INetCache\Content.Outlook\QF7PK4UP\[180515PenCalcSTSSv2 1.xlsx]Cover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2">
      <c r="A6" s="1" t="s">
        <v>41</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2">
      <c r="A7" s="1" t="s">
        <v>42</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
      <c r="A9" s="1" t="s">
        <v>11</v>
      </c>
    </row>
    <row r="10" spans="1:45" x14ac:dyDescent="0.2">
      <c r="A10"/>
    </row>
    <row r="11" spans="1:45" x14ac:dyDescent="0.2">
      <c r="A11"/>
      <c r="B11" s="2" t="s">
        <v>85</v>
      </c>
    </row>
    <row r="12" spans="1:45" x14ac:dyDescent="0.2">
      <c r="A12"/>
    </row>
    <row r="13" spans="1:45" x14ac:dyDescent="0.2">
      <c r="A13" s="1" t="s">
        <v>13</v>
      </c>
    </row>
    <row r="14" spans="1:45" x14ac:dyDescent="0.2">
      <c r="A14"/>
    </row>
    <row r="15" spans="1:45" x14ac:dyDescent="0.2">
      <c r="A15" s="1" t="s">
        <v>4</v>
      </c>
      <c r="B15" s="15" t="s">
        <v>5</v>
      </c>
    </row>
    <row r="16" spans="1:45" x14ac:dyDescent="0.2">
      <c r="A16" s="3"/>
      <c r="B16" s="2" t="s">
        <v>38</v>
      </c>
    </row>
    <row r="17" spans="1:2" x14ac:dyDescent="0.2">
      <c r="A17" s="3"/>
    </row>
    <row r="18" spans="1:2" x14ac:dyDescent="0.2">
      <c r="A18" s="3"/>
    </row>
    <row r="19" spans="1:2" x14ac:dyDescent="0.2">
      <c r="A19" s="3"/>
    </row>
    <row r="20" spans="1:2" x14ac:dyDescent="0.2">
      <c r="A20" s="3"/>
    </row>
    <row r="21" spans="1:2" x14ac:dyDescent="0.2">
      <c r="A21" s="3"/>
    </row>
    <row r="22" spans="1:2" x14ac:dyDescent="0.2">
      <c r="A22" s="3"/>
    </row>
    <row r="23" spans="1:2" x14ac:dyDescent="0.2">
      <c r="A23" s="3"/>
    </row>
    <row r="24" spans="1:2" x14ac:dyDescent="0.2">
      <c r="A24" s="3"/>
    </row>
    <row r="25" spans="1:2" x14ac:dyDescent="0.2">
      <c r="A25" s="3"/>
    </row>
    <row r="26" spans="1:2" x14ac:dyDescent="0.2">
      <c r="A26" s="1" t="s">
        <v>39</v>
      </c>
    </row>
    <row r="27" spans="1:2" ht="25.5" x14ac:dyDescent="0.2">
      <c r="A27" s="1"/>
      <c r="B27" s="2" t="s">
        <v>55</v>
      </c>
    </row>
    <row r="28" spans="1:2" x14ac:dyDescent="0.2">
      <c r="A28" s="1"/>
    </row>
    <row r="29" spans="1:2" x14ac:dyDescent="0.2">
      <c r="A29" s="1"/>
    </row>
    <row r="30" spans="1:2" x14ac:dyDescent="0.2">
      <c r="A30" s="1"/>
    </row>
    <row r="31" spans="1:2" x14ac:dyDescent="0.2">
      <c r="A31" s="1"/>
    </row>
    <row r="32" spans="1:2" x14ac:dyDescent="0.2">
      <c r="A32" s="1"/>
    </row>
    <row r="33" spans="1:2" x14ac:dyDescent="0.2">
      <c r="A33" s="1"/>
    </row>
    <row r="34" spans="1:2" x14ac:dyDescent="0.2">
      <c r="A34" s="1"/>
    </row>
    <row r="35" spans="1:2" x14ac:dyDescent="0.2">
      <c r="A35" s="3"/>
    </row>
    <row r="36" spans="1:2" x14ac:dyDescent="0.2">
      <c r="A36" s="1" t="s">
        <v>12</v>
      </c>
    </row>
    <row r="37" spans="1:2" x14ac:dyDescent="0.2">
      <c r="A37"/>
    </row>
    <row r="38" spans="1:2" ht="25.5" x14ac:dyDescent="0.2">
      <c r="A38"/>
      <c r="B38" s="2" t="s">
        <v>17</v>
      </c>
    </row>
    <row r="39" spans="1:2" x14ac:dyDescent="0.2">
      <c r="A39"/>
    </row>
    <row r="40" spans="1:2" x14ac:dyDescent="0.2">
      <c r="A40" s="1" t="s">
        <v>15</v>
      </c>
    </row>
    <row r="41" spans="1:2" x14ac:dyDescent="0.2">
      <c r="A41"/>
    </row>
    <row r="42" spans="1:2" x14ac:dyDescent="0.2">
      <c r="A42" t="s">
        <v>40</v>
      </c>
    </row>
    <row r="43" spans="1:2" x14ac:dyDescent="0.2">
      <c r="A43"/>
      <c r="B43" s="2" t="s">
        <v>16</v>
      </c>
    </row>
    <row r="45" spans="1:2" x14ac:dyDescent="0.2">
      <c r="A45" s="16" t="s">
        <v>20</v>
      </c>
    </row>
    <row r="46" spans="1:2" x14ac:dyDescent="0.2">
      <c r="A46" s="66" t="s">
        <v>22</v>
      </c>
      <c r="B46" s="21" t="s">
        <v>29</v>
      </c>
    </row>
    <row r="47" spans="1:2" x14ac:dyDescent="0.2">
      <c r="A47" s="20" t="s">
        <v>26</v>
      </c>
      <c r="B47" s="21" t="s">
        <v>37</v>
      </c>
    </row>
    <row r="48" spans="1:2" x14ac:dyDescent="0.2">
      <c r="A48" s="17" t="s">
        <v>23</v>
      </c>
      <c r="B48" s="21" t="s">
        <v>36</v>
      </c>
    </row>
    <row r="49" spans="1:2" x14ac:dyDescent="0.2">
      <c r="A49" s="19" t="s">
        <v>25</v>
      </c>
      <c r="B49" s="21" t="s">
        <v>30</v>
      </c>
    </row>
    <row r="50" spans="1:2" x14ac:dyDescent="0.2">
      <c r="A50" s="22" t="s">
        <v>21</v>
      </c>
      <c r="B50" s="21" t="s">
        <v>31</v>
      </c>
    </row>
    <row r="51" spans="1:2" x14ac:dyDescent="0.2">
      <c r="A51" s="23" t="s">
        <v>27</v>
      </c>
      <c r="B51" s="21" t="s">
        <v>33</v>
      </c>
    </row>
    <row r="52" spans="1:2" x14ac:dyDescent="0.2">
      <c r="A52" s="24" t="s">
        <v>28</v>
      </c>
      <c r="B52" s="21" t="s">
        <v>34</v>
      </c>
    </row>
    <row r="53" spans="1:2" x14ac:dyDescent="0.2">
      <c r="A53" s="18" t="s">
        <v>24</v>
      </c>
      <c r="B53" s="21" t="s">
        <v>32</v>
      </c>
    </row>
    <row r="54" spans="1:2" hidden="1" x14ac:dyDescent="0.2">
      <c r="A54" s="25" t="s">
        <v>43</v>
      </c>
    </row>
    <row r="55" spans="1:2" hidden="1" x14ac:dyDescent="0.2">
      <c r="A55" s="25" t="s">
        <v>44</v>
      </c>
    </row>
    <row r="56" spans="1:2" hidden="1" x14ac:dyDescent="0.2">
      <c r="A56" s="25" t="s">
        <v>45</v>
      </c>
    </row>
    <row r="57" spans="1:2" hidden="1" x14ac:dyDescent="0.2">
      <c r="A57" s="26" t="s">
        <v>46</v>
      </c>
    </row>
    <row r="58" spans="1:2" hidden="1" x14ac:dyDescent="0.2">
      <c r="A58" s="26" t="s">
        <v>47</v>
      </c>
    </row>
    <row r="59" spans="1:2" hidden="1" x14ac:dyDescent="0.2">
      <c r="A59" s="26" t="s">
        <v>48</v>
      </c>
    </row>
    <row r="60" spans="1:2" hidden="1" x14ac:dyDescent="0.2">
      <c r="A60" s="26" t="s">
        <v>49</v>
      </c>
    </row>
    <row r="61" spans="1:2" hidden="1" x14ac:dyDescent="0.2">
      <c r="A61" s="26" t="s">
        <v>50</v>
      </c>
    </row>
    <row r="62" spans="1:2" hidden="1" x14ac:dyDescent="0.2">
      <c r="A62" s="26" t="s">
        <v>51</v>
      </c>
    </row>
    <row r="63" spans="1:2" hidden="1" x14ac:dyDescent="0.2">
      <c r="A63" s="26" t="s">
        <v>52</v>
      </c>
    </row>
    <row r="64" spans="1:2" hidden="1" x14ac:dyDescent="0.2">
      <c r="A64" s="26" t="s">
        <v>53</v>
      </c>
    </row>
    <row r="65" spans="1:1" hidden="1" x14ac:dyDescent="0.2">
      <c r="A65" s="26" t="s">
        <v>54</v>
      </c>
    </row>
    <row r="66" spans="1:1" hidden="1" x14ac:dyDescent="0.2">
      <c r="A66" s="25">
        <v>2</v>
      </c>
    </row>
    <row r="67" spans="1:1" hidden="1" x14ac:dyDescent="0.2">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9525</xdr:rowOff>
                  </from>
                  <to>
                    <xdr:col>1</xdr:col>
                    <xdr:colOff>1933575</xdr:colOff>
                    <xdr:row>5</xdr:row>
                    <xdr:rowOff>219075</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9525</xdr:rowOff>
                  </from>
                  <to>
                    <xdr:col>1</xdr:col>
                    <xdr:colOff>1924050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O121"/>
  <sheetViews>
    <sheetView topLeftCell="A94" workbookViewId="0">
      <selection activeCell="H13" sqref="H13:H14"/>
    </sheetView>
  </sheetViews>
  <sheetFormatPr defaultRowHeight="12.75" x14ac:dyDescent="0.2"/>
  <cols>
    <col min="2" max="2" width="15.28515625" bestFit="1" customWidth="1"/>
    <col min="3" max="3" width="16.28515625" customWidth="1"/>
    <col min="5" max="5" width="10.42578125" customWidth="1"/>
  </cols>
  <sheetData>
    <row r="1" spans="1:15" ht="20.25" x14ac:dyDescent="0.3">
      <c r="A1" s="13" t="s">
        <v>18</v>
      </c>
      <c r="B1" s="12"/>
      <c r="C1" s="12"/>
      <c r="D1" s="12"/>
      <c r="E1" s="12"/>
      <c r="F1" s="12"/>
      <c r="G1" s="12"/>
      <c r="H1" s="12"/>
      <c r="I1" s="12"/>
    </row>
    <row r="2" spans="1:15" ht="15.75" x14ac:dyDescent="0.25">
      <c r="A2" s="27" t="str">
        <f>IF(title="&gt; Enter workbook title here","Enter workbook title in Cover sheet",title)</f>
        <v>Scottish Fire pension  projection calculator</v>
      </c>
      <c r="B2" s="11"/>
      <c r="C2" s="11"/>
      <c r="D2" s="11"/>
      <c r="E2" s="11"/>
      <c r="F2" s="11"/>
      <c r="G2" s="11"/>
      <c r="H2" s="11"/>
      <c r="I2" s="11"/>
    </row>
    <row r="3" spans="1:15" ht="15.75" x14ac:dyDescent="0.25">
      <c r="A3" s="14" t="s">
        <v>152</v>
      </c>
      <c r="B3" s="11"/>
      <c r="C3" s="11"/>
      <c r="D3" s="11"/>
      <c r="E3" s="11"/>
      <c r="F3" s="11"/>
      <c r="G3" s="11"/>
      <c r="H3" s="11"/>
      <c r="I3" s="11"/>
    </row>
    <row r="4" spans="1:15" x14ac:dyDescent="0.2">
      <c r="A4" s="7" t="str">
        <f ca="1">CELL("filename",A1)</f>
        <v>C:\Users\U209873\AppData\Local\Microsoft\Windows\INetCache\Content.Outlook\QF7PK4UP\[180515PenCalcSTSSv2 1.xlsx]ERF and LRF</v>
      </c>
    </row>
    <row r="6" spans="1:15" x14ac:dyDescent="0.2">
      <c r="B6" s="1" t="s">
        <v>250</v>
      </c>
    </row>
    <row r="7" spans="1:15" x14ac:dyDescent="0.2">
      <c r="B7" s="1"/>
    </row>
    <row r="8" spans="1:15" x14ac:dyDescent="0.2">
      <c r="B8" s="1" t="s">
        <v>344</v>
      </c>
      <c r="D8" s="34" t="s">
        <v>343</v>
      </c>
    </row>
    <row r="9" spans="1:15" x14ac:dyDescent="0.2">
      <c r="B9" s="1"/>
    </row>
    <row r="10" spans="1:15" ht="15" thickBot="1" x14ac:dyDescent="0.25">
      <c r="B10" s="399" t="s">
        <v>337</v>
      </c>
    </row>
    <row r="11" spans="1:15" x14ac:dyDescent="0.2">
      <c r="B11" s="400" t="s">
        <v>90</v>
      </c>
      <c r="C11" s="751" t="s">
        <v>338</v>
      </c>
      <c r="D11" s="751"/>
      <c r="E11" s="751"/>
      <c r="F11" s="751"/>
      <c r="G11" s="751"/>
      <c r="H11" s="751"/>
      <c r="I11" s="751"/>
      <c r="J11" s="751"/>
      <c r="K11" s="751"/>
      <c r="L11" s="751"/>
      <c r="M11" s="751"/>
      <c r="N11" s="751"/>
    </row>
    <row r="12" spans="1:15" ht="13.5" thickBot="1" x14ac:dyDescent="0.25">
      <c r="B12" s="401"/>
      <c r="C12" s="401">
        <v>0</v>
      </c>
      <c r="D12" s="401">
        <v>1</v>
      </c>
      <c r="E12" s="401">
        <v>2</v>
      </c>
      <c r="F12" s="401">
        <v>3</v>
      </c>
      <c r="G12" s="401">
        <v>4</v>
      </c>
      <c r="H12" s="401">
        <v>5</v>
      </c>
      <c r="I12" s="401">
        <v>6</v>
      </c>
      <c r="J12" s="401">
        <v>7</v>
      </c>
      <c r="K12" s="401">
        <v>8</v>
      </c>
      <c r="L12" s="401">
        <v>9</v>
      </c>
      <c r="M12" s="401">
        <v>10</v>
      </c>
      <c r="N12" s="401">
        <v>11</v>
      </c>
    </row>
    <row r="13" spans="1:15" x14ac:dyDescent="0.2">
      <c r="B13" s="402">
        <v>55</v>
      </c>
      <c r="C13" s="403">
        <v>0.79400000000000004</v>
      </c>
      <c r="D13" s="403">
        <v>0.79700000000000004</v>
      </c>
      <c r="E13" s="403">
        <v>0.8</v>
      </c>
      <c r="F13" s="403">
        <v>0.80300000000000005</v>
      </c>
      <c r="G13" s="403">
        <v>0.80600000000000005</v>
      </c>
      <c r="H13" s="403">
        <v>0.80900000000000005</v>
      </c>
      <c r="I13" s="403">
        <v>0.81200000000000006</v>
      </c>
      <c r="J13" s="403">
        <v>0.81499999999999995</v>
      </c>
      <c r="K13" s="403">
        <v>0.81799999999999995</v>
      </c>
      <c r="L13" s="403">
        <v>0.82099999999999995</v>
      </c>
      <c r="M13" s="403">
        <v>0.82399999999999995</v>
      </c>
      <c r="N13" s="403">
        <v>0.82699999999999996</v>
      </c>
      <c r="O13" t="s">
        <v>426</v>
      </c>
    </row>
    <row r="14" spans="1:15" x14ac:dyDescent="0.2">
      <c r="B14" s="402">
        <v>56</v>
      </c>
      <c r="C14" s="403">
        <v>0.83</v>
      </c>
      <c r="D14" s="403">
        <v>0.83399999999999996</v>
      </c>
      <c r="E14" s="403">
        <v>0.83699999999999997</v>
      </c>
      <c r="F14" s="403">
        <v>0.84</v>
      </c>
      <c r="G14" s="403">
        <v>0.84299999999999997</v>
      </c>
      <c r="H14" s="403">
        <v>0.84699999999999998</v>
      </c>
      <c r="I14" s="403">
        <v>0.85</v>
      </c>
      <c r="J14" s="403">
        <v>0.85299999999999998</v>
      </c>
      <c r="K14" s="403">
        <v>0.85599999999999998</v>
      </c>
      <c r="L14" s="403">
        <v>0.86</v>
      </c>
      <c r="M14" s="403">
        <v>0.86299999999999999</v>
      </c>
      <c r="N14" s="403">
        <v>0.86599999999999999</v>
      </c>
    </row>
    <row r="15" spans="1:15" x14ac:dyDescent="0.2">
      <c r="B15" s="402">
        <v>57</v>
      </c>
      <c r="C15" s="403">
        <v>0.86899999999999999</v>
      </c>
      <c r="D15" s="403">
        <v>0.873</v>
      </c>
      <c r="E15" s="403">
        <v>0.876</v>
      </c>
      <c r="F15" s="403">
        <v>0.88</v>
      </c>
      <c r="G15" s="403">
        <v>0.88300000000000001</v>
      </c>
      <c r="H15" s="403">
        <v>0.88700000000000001</v>
      </c>
      <c r="I15" s="403">
        <v>0.89</v>
      </c>
      <c r="J15" s="403">
        <v>0.89400000000000002</v>
      </c>
      <c r="K15" s="403">
        <v>0.89700000000000002</v>
      </c>
      <c r="L15" s="403">
        <v>0.9</v>
      </c>
      <c r="M15" s="403">
        <v>0.90400000000000003</v>
      </c>
      <c r="N15" s="403">
        <v>0.90700000000000003</v>
      </c>
    </row>
    <row r="16" spans="1:15" x14ac:dyDescent="0.2">
      <c r="B16" s="402">
        <v>58</v>
      </c>
      <c r="C16" s="403">
        <v>0.91100000000000003</v>
      </c>
      <c r="D16" s="403">
        <v>0.91500000000000004</v>
      </c>
      <c r="E16" s="403">
        <v>0.91800000000000004</v>
      </c>
      <c r="F16" s="403">
        <v>0.92200000000000004</v>
      </c>
      <c r="G16" s="403">
        <v>0.92600000000000005</v>
      </c>
      <c r="H16" s="403">
        <v>0.92900000000000005</v>
      </c>
      <c r="I16" s="403">
        <v>0.93300000000000005</v>
      </c>
      <c r="J16" s="403">
        <v>0.93700000000000006</v>
      </c>
      <c r="K16" s="403">
        <v>0.94</v>
      </c>
      <c r="L16" s="403">
        <v>0.94399999999999995</v>
      </c>
      <c r="M16" s="403">
        <v>0.94799999999999995</v>
      </c>
      <c r="N16" s="403">
        <v>0.95099999999999996</v>
      </c>
    </row>
    <row r="17" spans="2:15" ht="13.5" thickBot="1" x14ac:dyDescent="0.25">
      <c r="B17" s="404">
        <v>59</v>
      </c>
      <c r="C17" s="405">
        <v>0.95499999999999996</v>
      </c>
      <c r="D17" s="405">
        <v>0.95899999999999996</v>
      </c>
      <c r="E17" s="405">
        <v>0.96299999999999997</v>
      </c>
      <c r="F17" s="405">
        <v>0.96699999999999997</v>
      </c>
      <c r="G17" s="405">
        <v>0.97099999999999997</v>
      </c>
      <c r="H17" s="405">
        <v>0.97499999999999998</v>
      </c>
      <c r="I17" s="405">
        <v>0.97899999999999998</v>
      </c>
      <c r="J17" s="405">
        <v>0.98199999999999998</v>
      </c>
      <c r="K17" s="405">
        <v>0.98599999999999999</v>
      </c>
      <c r="L17" s="405">
        <v>0.99</v>
      </c>
      <c r="M17" s="405">
        <v>0.99399999999999999</v>
      </c>
      <c r="N17" s="405">
        <v>0.998</v>
      </c>
    </row>
    <row r="18" spans="2:15" x14ac:dyDescent="0.2">
      <c r="B18" s="406"/>
      <c r="C18" s="754"/>
      <c r="D18" s="754"/>
      <c r="E18" s="754"/>
      <c r="F18" s="754"/>
      <c r="G18" s="754"/>
      <c r="H18" s="754"/>
      <c r="I18" s="754"/>
      <c r="J18" s="754"/>
      <c r="K18" s="754"/>
      <c r="L18" s="754"/>
      <c r="M18" s="754"/>
      <c r="N18" s="754"/>
    </row>
    <row r="19" spans="2:15" x14ac:dyDescent="0.2">
      <c r="B19" s="406" t="s">
        <v>339</v>
      </c>
      <c r="C19" s="755" t="s">
        <v>340</v>
      </c>
      <c r="D19" s="755"/>
      <c r="E19" s="755"/>
      <c r="F19" s="755"/>
      <c r="G19" s="755"/>
      <c r="H19" s="755"/>
      <c r="I19" s="755"/>
      <c r="J19" s="755"/>
      <c r="K19" s="755"/>
      <c r="L19" s="755"/>
      <c r="M19" s="755"/>
      <c r="N19" s="755"/>
    </row>
    <row r="20" spans="2:15" x14ac:dyDescent="0.2">
      <c r="B20" s="407"/>
      <c r="C20" s="755" t="s">
        <v>341</v>
      </c>
      <c r="D20" s="755"/>
      <c r="E20" s="755"/>
      <c r="F20" s="755"/>
      <c r="G20" s="755"/>
      <c r="H20" s="755"/>
      <c r="I20" s="755"/>
      <c r="J20" s="755"/>
      <c r="K20" s="755"/>
      <c r="L20" s="755"/>
      <c r="M20" s="755"/>
      <c r="N20" s="755"/>
    </row>
    <row r="21" spans="2:15" ht="14.25" x14ac:dyDescent="0.2">
      <c r="B21" s="407"/>
      <c r="C21" s="756" t="s">
        <v>342</v>
      </c>
      <c r="D21" s="756"/>
      <c r="E21" s="756"/>
      <c r="F21" s="756"/>
      <c r="G21" s="756"/>
      <c r="H21" s="756"/>
      <c r="I21" s="756"/>
      <c r="J21" s="756"/>
      <c r="K21" s="756"/>
      <c r="L21" s="756"/>
      <c r="M21" s="756"/>
      <c r="N21" s="756"/>
    </row>
    <row r="22" spans="2:15" ht="14.25" x14ac:dyDescent="0.2">
      <c r="B22" s="407"/>
      <c r="C22" s="410"/>
      <c r="D22" s="410"/>
      <c r="E22" s="410"/>
      <c r="F22" s="410"/>
      <c r="G22" s="410"/>
      <c r="H22" s="410"/>
      <c r="I22" s="410"/>
      <c r="J22" s="410"/>
      <c r="K22" s="410"/>
      <c r="L22" s="410"/>
      <c r="M22" s="410"/>
      <c r="N22" s="410"/>
    </row>
    <row r="23" spans="2:15" ht="14.25" x14ac:dyDescent="0.2">
      <c r="B23" s="407"/>
      <c r="C23" s="410"/>
      <c r="D23" s="410"/>
      <c r="E23" s="410"/>
      <c r="F23" s="410"/>
      <c r="G23" s="410"/>
      <c r="H23" s="410"/>
      <c r="I23" s="410"/>
      <c r="J23" s="410"/>
      <c r="K23" s="410"/>
      <c r="L23" s="410"/>
      <c r="M23" s="410"/>
      <c r="N23" s="410"/>
    </row>
    <row r="24" spans="2:15" x14ac:dyDescent="0.2">
      <c r="B24" s="1" t="s">
        <v>349</v>
      </c>
      <c r="D24" s="34" t="s">
        <v>343</v>
      </c>
    </row>
    <row r="25" spans="2:15" x14ac:dyDescent="0.2">
      <c r="B25" s="1"/>
    </row>
    <row r="26" spans="2:15" ht="15.75" thickBot="1" x14ac:dyDescent="0.25">
      <c r="B26" s="408" t="s">
        <v>345</v>
      </c>
    </row>
    <row r="27" spans="2:15" x14ac:dyDescent="0.2">
      <c r="B27" s="400" t="s">
        <v>90</v>
      </c>
      <c r="C27" s="751" t="s">
        <v>338</v>
      </c>
      <c r="D27" s="751"/>
      <c r="E27" s="751"/>
      <c r="F27" s="751"/>
      <c r="G27" s="751"/>
      <c r="H27" s="751"/>
      <c r="I27" s="751"/>
      <c r="J27" s="751"/>
      <c r="K27" s="751"/>
      <c r="L27" s="751"/>
      <c r="M27" s="751"/>
      <c r="N27" s="751"/>
    </row>
    <row r="28" spans="2:15" ht="13.5" thickBot="1" x14ac:dyDescent="0.25">
      <c r="B28" s="401"/>
      <c r="C28" s="401">
        <v>0</v>
      </c>
      <c r="D28" s="401">
        <v>1</v>
      </c>
      <c r="E28" s="401">
        <v>2</v>
      </c>
      <c r="F28" s="401">
        <v>3</v>
      </c>
      <c r="G28" s="401">
        <v>4</v>
      </c>
      <c r="H28" s="401">
        <v>5</v>
      </c>
      <c r="I28" s="401">
        <v>6</v>
      </c>
      <c r="J28" s="401">
        <v>7</v>
      </c>
      <c r="K28" s="401">
        <v>8</v>
      </c>
      <c r="L28" s="401">
        <v>9</v>
      </c>
      <c r="M28" s="401">
        <v>10</v>
      </c>
      <c r="N28" s="401">
        <v>11</v>
      </c>
    </row>
    <row r="29" spans="2:15" x14ac:dyDescent="0.2">
      <c r="B29" s="402">
        <v>55</v>
      </c>
      <c r="C29" s="403">
        <v>0.6</v>
      </c>
      <c r="D29" s="403">
        <v>0.60199999999999998</v>
      </c>
      <c r="E29" s="403">
        <v>0.60499999999999998</v>
      </c>
      <c r="F29" s="403">
        <v>0.60699999999999998</v>
      </c>
      <c r="G29" s="403">
        <v>0.60899999999999999</v>
      </c>
      <c r="H29" s="403">
        <v>0.61199999999999999</v>
      </c>
      <c r="I29" s="403">
        <v>0.61399999999999999</v>
      </c>
      <c r="J29" s="403">
        <v>0.61699999999999999</v>
      </c>
      <c r="K29" s="403">
        <v>0.61899999999999999</v>
      </c>
      <c r="L29" s="403">
        <v>0.622</v>
      </c>
      <c r="M29" s="403">
        <v>0.624</v>
      </c>
      <c r="N29" s="403">
        <v>0.626</v>
      </c>
    </row>
    <row r="30" spans="2:15" x14ac:dyDescent="0.2">
      <c r="B30" s="402">
        <v>56</v>
      </c>
      <c r="C30" s="403">
        <v>0.629</v>
      </c>
      <c r="D30" s="403">
        <v>0.63100000000000001</v>
      </c>
      <c r="E30" s="403">
        <v>0.63400000000000001</v>
      </c>
      <c r="F30" s="403">
        <v>0.63700000000000001</v>
      </c>
      <c r="G30" s="403">
        <v>0.63900000000000001</v>
      </c>
      <c r="H30" s="403">
        <v>0.64200000000000002</v>
      </c>
      <c r="I30" s="403">
        <v>0.64400000000000002</v>
      </c>
      <c r="J30" s="403">
        <v>0.64700000000000002</v>
      </c>
      <c r="K30" s="403">
        <v>0.64900000000000002</v>
      </c>
      <c r="L30" s="403">
        <v>0.65200000000000002</v>
      </c>
      <c r="M30" s="403">
        <v>0.65500000000000003</v>
      </c>
      <c r="N30" s="403">
        <v>0.65700000000000003</v>
      </c>
    </row>
    <row r="31" spans="2:15" x14ac:dyDescent="0.2">
      <c r="B31" s="402">
        <v>57</v>
      </c>
      <c r="C31" s="403">
        <v>0.66</v>
      </c>
      <c r="D31" s="403">
        <v>0.66300000000000003</v>
      </c>
      <c r="E31" s="403">
        <v>0.66500000000000004</v>
      </c>
      <c r="F31" s="403">
        <v>0.66800000000000004</v>
      </c>
      <c r="G31" s="403">
        <v>0.67100000000000004</v>
      </c>
      <c r="H31" s="403">
        <v>0.67400000000000004</v>
      </c>
      <c r="I31" s="403">
        <v>0.67600000000000005</v>
      </c>
      <c r="J31" s="403">
        <v>0.67900000000000005</v>
      </c>
      <c r="K31" s="403">
        <v>0.68200000000000005</v>
      </c>
      <c r="L31" s="403">
        <v>0.68500000000000005</v>
      </c>
      <c r="M31" s="403">
        <v>0.68700000000000006</v>
      </c>
      <c r="N31" s="403">
        <v>0.69</v>
      </c>
      <c r="O31" t="s">
        <v>427</v>
      </c>
    </row>
    <row r="32" spans="2:15" x14ac:dyDescent="0.2">
      <c r="B32" s="402">
        <v>58</v>
      </c>
      <c r="C32" s="403">
        <v>0.69299999999999995</v>
      </c>
      <c r="D32" s="403">
        <v>0.69599999999999995</v>
      </c>
      <c r="E32" s="403">
        <v>0.69899999999999995</v>
      </c>
      <c r="F32" s="403">
        <v>0.70199999999999996</v>
      </c>
      <c r="G32" s="403">
        <v>0.70499999999999996</v>
      </c>
      <c r="H32" s="403">
        <v>0.70799999999999996</v>
      </c>
      <c r="I32" s="403">
        <v>0.71099999999999997</v>
      </c>
      <c r="J32" s="403">
        <v>0.71399999999999997</v>
      </c>
      <c r="K32" s="403">
        <v>0.71599999999999997</v>
      </c>
      <c r="L32" s="403">
        <v>0.71899999999999997</v>
      </c>
      <c r="M32" s="403">
        <v>0.72199999999999998</v>
      </c>
      <c r="N32" s="403">
        <v>0.72499999999999998</v>
      </c>
    </row>
    <row r="33" spans="2:14" x14ac:dyDescent="0.2">
      <c r="B33" s="402">
        <v>59</v>
      </c>
      <c r="C33" s="403">
        <v>0.72799999999999998</v>
      </c>
      <c r="D33" s="403">
        <v>0.73099999999999998</v>
      </c>
      <c r="E33" s="403">
        <v>0.73499999999999999</v>
      </c>
      <c r="F33" s="403">
        <v>0.73799999999999999</v>
      </c>
      <c r="G33" s="403">
        <v>0.74099999999999999</v>
      </c>
      <c r="H33" s="403">
        <v>0.74399999999999999</v>
      </c>
      <c r="I33" s="403">
        <v>0.747</v>
      </c>
      <c r="J33" s="403">
        <v>0.75</v>
      </c>
      <c r="K33" s="403">
        <v>0.753</v>
      </c>
      <c r="L33" s="403">
        <v>0.75700000000000001</v>
      </c>
      <c r="M33" s="403">
        <v>0.76</v>
      </c>
      <c r="N33" s="403">
        <v>0.76300000000000001</v>
      </c>
    </row>
    <row r="34" spans="2:14" x14ac:dyDescent="0.2">
      <c r="B34" s="402">
        <v>60</v>
      </c>
      <c r="C34" s="403">
        <v>0.76600000000000001</v>
      </c>
      <c r="D34" s="403">
        <v>0.77</v>
      </c>
      <c r="E34" s="403">
        <v>0.77300000000000002</v>
      </c>
      <c r="F34" s="403">
        <v>0.77600000000000002</v>
      </c>
      <c r="G34" s="403">
        <v>0.78</v>
      </c>
      <c r="H34" s="403">
        <v>0.78300000000000003</v>
      </c>
      <c r="I34" s="403">
        <v>0.78600000000000003</v>
      </c>
      <c r="J34" s="403">
        <v>0.79</v>
      </c>
      <c r="K34" s="403">
        <v>0.79300000000000004</v>
      </c>
      <c r="L34" s="403">
        <v>0.79700000000000004</v>
      </c>
      <c r="M34" s="403">
        <v>0.8</v>
      </c>
      <c r="N34" s="403">
        <v>0.80300000000000005</v>
      </c>
    </row>
    <row r="35" spans="2:14" x14ac:dyDescent="0.2">
      <c r="B35" s="402">
        <v>61</v>
      </c>
      <c r="C35" s="403">
        <v>0.80700000000000005</v>
      </c>
      <c r="D35" s="403">
        <v>0.81</v>
      </c>
      <c r="E35" s="403">
        <v>0.81399999999999995</v>
      </c>
      <c r="F35" s="403">
        <v>0.81799999999999995</v>
      </c>
      <c r="G35" s="403">
        <v>0.82099999999999995</v>
      </c>
      <c r="H35" s="403">
        <v>0.82499999999999996</v>
      </c>
      <c r="I35" s="403">
        <v>0.82799999999999996</v>
      </c>
      <c r="J35" s="403">
        <v>0.83199999999999996</v>
      </c>
      <c r="K35" s="403">
        <v>0.83599999999999997</v>
      </c>
      <c r="L35" s="403">
        <v>0.83899999999999997</v>
      </c>
      <c r="M35" s="403">
        <v>0.84299999999999997</v>
      </c>
      <c r="N35" s="403">
        <v>0.84699999999999998</v>
      </c>
    </row>
    <row r="36" spans="2:14" x14ac:dyDescent="0.2">
      <c r="B36" s="402">
        <v>62</v>
      </c>
      <c r="C36" s="403">
        <v>0.85</v>
      </c>
      <c r="D36" s="403">
        <v>0.85399999999999998</v>
      </c>
      <c r="E36" s="403">
        <v>0.85799999999999998</v>
      </c>
      <c r="F36" s="403">
        <v>0.86199999999999999</v>
      </c>
      <c r="G36" s="403">
        <v>0.86599999999999999</v>
      </c>
      <c r="H36" s="403">
        <v>0.87</v>
      </c>
      <c r="I36" s="403">
        <v>0.874</v>
      </c>
      <c r="J36" s="403">
        <v>0.878</v>
      </c>
      <c r="K36" s="403">
        <v>0.88200000000000001</v>
      </c>
      <c r="L36" s="403">
        <v>0.88500000000000001</v>
      </c>
      <c r="M36" s="403">
        <v>0.88900000000000001</v>
      </c>
      <c r="N36" s="403">
        <v>0.89300000000000002</v>
      </c>
    </row>
    <row r="37" spans="2:14" x14ac:dyDescent="0.2">
      <c r="B37" s="402">
        <v>63</v>
      </c>
      <c r="C37" s="403">
        <v>0.89700000000000002</v>
      </c>
      <c r="D37" s="403">
        <v>0.90100000000000002</v>
      </c>
      <c r="E37" s="403">
        <v>0.90600000000000003</v>
      </c>
      <c r="F37" s="403">
        <v>0.91</v>
      </c>
      <c r="G37" s="403">
        <v>0.91400000000000003</v>
      </c>
      <c r="H37" s="403">
        <v>0.91800000000000004</v>
      </c>
      <c r="I37" s="403">
        <v>0.92200000000000004</v>
      </c>
      <c r="J37" s="403">
        <v>0.92700000000000005</v>
      </c>
      <c r="K37" s="403">
        <v>0.93100000000000005</v>
      </c>
      <c r="L37" s="403">
        <v>0.93500000000000005</v>
      </c>
      <c r="M37" s="403">
        <v>0.93899999999999995</v>
      </c>
      <c r="N37" s="403">
        <v>0.94299999999999995</v>
      </c>
    </row>
    <row r="38" spans="2:14" ht="13.5" thickBot="1" x14ac:dyDescent="0.25">
      <c r="B38" s="402">
        <v>64</v>
      </c>
      <c r="C38" s="403">
        <v>0.94799999999999995</v>
      </c>
      <c r="D38" s="403">
        <v>0.95199999999999996</v>
      </c>
      <c r="E38" s="403">
        <v>0.95699999999999996</v>
      </c>
      <c r="F38" s="403">
        <v>0.96099999999999997</v>
      </c>
      <c r="G38" s="403">
        <v>0.96599999999999997</v>
      </c>
      <c r="H38" s="403">
        <v>0.97099999999999997</v>
      </c>
      <c r="I38" s="403">
        <v>0.97499999999999998</v>
      </c>
      <c r="J38" s="403">
        <v>0.98</v>
      </c>
      <c r="K38" s="403">
        <v>0.98399999999999999</v>
      </c>
      <c r="L38" s="403">
        <v>0.98899999999999999</v>
      </c>
      <c r="M38" s="403">
        <v>0.99299999999999999</v>
      </c>
      <c r="N38" s="403">
        <v>0.998</v>
      </c>
    </row>
    <row r="39" spans="2:14" x14ac:dyDescent="0.2">
      <c r="B39" s="409"/>
      <c r="C39" s="754"/>
      <c r="D39" s="754"/>
      <c r="E39" s="754"/>
      <c r="F39" s="754"/>
      <c r="G39" s="754"/>
      <c r="H39" s="754"/>
      <c r="I39" s="754"/>
      <c r="J39" s="754"/>
      <c r="K39" s="754"/>
      <c r="L39" s="754"/>
      <c r="M39" s="754"/>
      <c r="N39" s="754"/>
    </row>
    <row r="40" spans="2:14" x14ac:dyDescent="0.2">
      <c r="B40" s="406" t="s">
        <v>339</v>
      </c>
      <c r="C40" s="755" t="s">
        <v>346</v>
      </c>
      <c r="D40" s="755"/>
      <c r="E40" s="755"/>
      <c r="F40" s="755"/>
      <c r="G40" s="755"/>
      <c r="H40" s="755"/>
      <c r="I40" s="755"/>
      <c r="J40" s="755"/>
      <c r="K40" s="755"/>
      <c r="L40" s="755"/>
      <c r="M40" s="755"/>
      <c r="N40" s="755"/>
    </row>
    <row r="41" spans="2:14" x14ac:dyDescent="0.2">
      <c r="B41" s="407"/>
      <c r="C41" s="755" t="s">
        <v>347</v>
      </c>
      <c r="D41" s="755"/>
      <c r="E41" s="755"/>
      <c r="F41" s="755"/>
      <c r="G41" s="755"/>
      <c r="H41" s="755"/>
      <c r="I41" s="755"/>
      <c r="J41" s="755"/>
      <c r="K41" s="755"/>
      <c r="L41" s="755"/>
      <c r="M41" s="755"/>
      <c r="N41" s="755"/>
    </row>
    <row r="42" spans="2:14" ht="14.25" x14ac:dyDescent="0.2">
      <c r="B42" s="407"/>
      <c r="C42" s="756" t="s">
        <v>348</v>
      </c>
      <c r="D42" s="756"/>
      <c r="E42" s="756"/>
      <c r="F42" s="756"/>
      <c r="G42" s="756"/>
      <c r="H42" s="756"/>
      <c r="I42" s="756"/>
      <c r="J42" s="756"/>
      <c r="K42" s="756"/>
      <c r="L42" s="756"/>
      <c r="M42" s="756"/>
      <c r="N42" s="756"/>
    </row>
    <row r="43" spans="2:14" ht="14.25" x14ac:dyDescent="0.2">
      <c r="B43" s="407"/>
      <c r="C43" s="410"/>
      <c r="D43" s="410"/>
      <c r="E43" s="410"/>
      <c r="F43" s="410"/>
      <c r="G43" s="410"/>
      <c r="H43" s="410"/>
      <c r="I43" s="410"/>
      <c r="J43" s="410"/>
      <c r="K43" s="410"/>
      <c r="L43" s="410"/>
      <c r="M43" s="410"/>
      <c r="N43" s="410"/>
    </row>
    <row r="44" spans="2:14" ht="14.25" x14ac:dyDescent="0.2">
      <c r="B44" s="407"/>
      <c r="C44" s="410"/>
      <c r="D44" s="410"/>
      <c r="E44" s="410"/>
      <c r="F44" s="410"/>
      <c r="G44" s="410"/>
      <c r="H44" s="410"/>
      <c r="I44" s="410"/>
      <c r="J44" s="410"/>
      <c r="K44" s="410"/>
      <c r="L44" s="410"/>
      <c r="M44" s="410"/>
      <c r="N44" s="410"/>
    </row>
    <row r="45" spans="2:14" ht="14.25" x14ac:dyDescent="0.2">
      <c r="B45" s="411" t="s">
        <v>357</v>
      </c>
      <c r="C45" s="410"/>
      <c r="D45" s="412" t="s">
        <v>358</v>
      </c>
      <c r="E45" s="410"/>
      <c r="F45" s="410"/>
      <c r="G45" s="410"/>
      <c r="H45" s="410"/>
      <c r="I45" s="410"/>
      <c r="J45" s="410"/>
      <c r="K45" s="410"/>
      <c r="L45" s="410"/>
      <c r="M45" s="410"/>
      <c r="N45" s="410"/>
    </row>
    <row r="46" spans="2:14" ht="12.75" customHeight="1" x14ac:dyDescent="0.2">
      <c r="B46" s="407"/>
      <c r="C46" s="410"/>
      <c r="D46" s="410"/>
      <c r="E46" s="410"/>
      <c r="F46" s="410"/>
      <c r="G46" s="410"/>
      <c r="H46" s="410"/>
      <c r="I46" s="410"/>
      <c r="J46" s="410"/>
      <c r="K46" s="410"/>
      <c r="L46" s="410"/>
      <c r="M46" s="410"/>
      <c r="N46" s="410"/>
    </row>
    <row r="47" spans="2:14" ht="15.75" thickBot="1" x14ac:dyDescent="0.25">
      <c r="B47" s="408" t="s">
        <v>350</v>
      </c>
    </row>
    <row r="48" spans="2:14" x14ac:dyDescent="0.2">
      <c r="B48" s="400" t="s">
        <v>90</v>
      </c>
      <c r="C48" s="751" t="s">
        <v>338</v>
      </c>
      <c r="D48" s="751"/>
      <c r="E48" s="751"/>
      <c r="F48" s="751"/>
      <c r="G48" s="751"/>
      <c r="H48" s="751"/>
      <c r="I48" s="751"/>
      <c r="J48" s="751"/>
      <c r="K48" s="751"/>
      <c r="L48" s="751"/>
      <c r="M48" s="751"/>
      <c r="N48" s="751"/>
    </row>
    <row r="49" spans="2:15" ht="13.5" thickBot="1" x14ac:dyDescent="0.25">
      <c r="B49" s="401"/>
      <c r="C49" s="401">
        <v>0</v>
      </c>
      <c r="D49" s="401">
        <v>1</v>
      </c>
      <c r="E49" s="401">
        <v>2</v>
      </c>
      <c r="F49" s="401">
        <v>3</v>
      </c>
      <c r="G49" s="401">
        <v>4</v>
      </c>
      <c r="H49" s="401">
        <v>5</v>
      </c>
      <c r="I49" s="401">
        <v>6</v>
      </c>
      <c r="J49" s="401">
        <v>7</v>
      </c>
      <c r="K49" s="401">
        <v>8</v>
      </c>
      <c r="L49" s="401">
        <v>9</v>
      </c>
      <c r="M49" s="401">
        <v>10</v>
      </c>
      <c r="N49" s="401">
        <v>11</v>
      </c>
    </row>
    <row r="50" spans="2:15" x14ac:dyDescent="0.2">
      <c r="B50" s="402">
        <v>55</v>
      </c>
      <c r="C50" s="403">
        <v>0.6</v>
      </c>
      <c r="D50" s="403">
        <v>0.60199999999999998</v>
      </c>
      <c r="E50" s="403">
        <v>0.60499999999999998</v>
      </c>
      <c r="F50" s="403">
        <v>0.60699999999999998</v>
      </c>
      <c r="G50" s="403">
        <v>0.60899999999999999</v>
      </c>
      <c r="H50" s="403">
        <v>0.61199999999999999</v>
      </c>
      <c r="I50" s="403">
        <v>0.61399999999999999</v>
      </c>
      <c r="J50" s="403">
        <v>0.61699999999999999</v>
      </c>
      <c r="K50" s="403">
        <v>0.61899999999999999</v>
      </c>
      <c r="L50" s="403">
        <v>0.622</v>
      </c>
      <c r="M50" s="403">
        <v>0.624</v>
      </c>
      <c r="N50" s="403">
        <v>0.626</v>
      </c>
    </row>
    <row r="51" spans="2:15" x14ac:dyDescent="0.2">
      <c r="B51" s="402">
        <v>56</v>
      </c>
      <c r="C51" s="403">
        <v>0.629</v>
      </c>
      <c r="D51" s="403">
        <v>0.63100000000000001</v>
      </c>
      <c r="E51" s="403">
        <v>0.63400000000000001</v>
      </c>
      <c r="F51" s="403">
        <v>0.63700000000000001</v>
      </c>
      <c r="G51" s="403">
        <v>0.63900000000000001</v>
      </c>
      <c r="H51" s="403">
        <v>0.64200000000000002</v>
      </c>
      <c r="I51" s="403">
        <v>0.64400000000000002</v>
      </c>
      <c r="J51" s="403">
        <v>0.64700000000000002</v>
      </c>
      <c r="K51" s="403">
        <v>0.64900000000000002</v>
      </c>
      <c r="L51" s="403">
        <v>0.65200000000000002</v>
      </c>
      <c r="M51" s="403">
        <v>0.65500000000000003</v>
      </c>
      <c r="N51" s="403">
        <v>0.65700000000000003</v>
      </c>
    </row>
    <row r="52" spans="2:15" x14ac:dyDescent="0.2">
      <c r="B52" s="402">
        <v>57</v>
      </c>
      <c r="C52" s="403">
        <v>0.66</v>
      </c>
      <c r="D52" s="403">
        <v>0.66300000000000003</v>
      </c>
      <c r="E52" s="403">
        <v>0.66500000000000004</v>
      </c>
      <c r="F52" s="403">
        <v>0.66800000000000004</v>
      </c>
      <c r="G52" s="403">
        <v>0.67100000000000004</v>
      </c>
      <c r="H52" s="403">
        <v>0.67400000000000004</v>
      </c>
      <c r="I52" s="403">
        <v>0.67600000000000005</v>
      </c>
      <c r="J52" s="403">
        <v>0.67900000000000005</v>
      </c>
      <c r="K52" s="403">
        <v>0.68200000000000005</v>
      </c>
      <c r="L52" s="403">
        <v>0.68500000000000005</v>
      </c>
      <c r="M52" s="403">
        <v>0.68700000000000006</v>
      </c>
      <c r="N52" s="403">
        <v>0.69</v>
      </c>
      <c r="O52" t="s">
        <v>428</v>
      </c>
    </row>
    <row r="53" spans="2:15" x14ac:dyDescent="0.2">
      <c r="B53" s="402">
        <v>58</v>
      </c>
      <c r="C53" s="403">
        <v>0.69299999999999995</v>
      </c>
      <c r="D53" s="403">
        <v>0.69599999999999995</v>
      </c>
      <c r="E53" s="403">
        <v>0.69899999999999995</v>
      </c>
      <c r="F53" s="403">
        <v>0.70199999999999996</v>
      </c>
      <c r="G53" s="403">
        <v>0.70499999999999996</v>
      </c>
      <c r="H53" s="403">
        <v>0.70799999999999996</v>
      </c>
      <c r="I53" s="403">
        <v>0.71099999999999997</v>
      </c>
      <c r="J53" s="403">
        <v>0.71399999999999997</v>
      </c>
      <c r="K53" s="403">
        <v>0.71599999999999997</v>
      </c>
      <c r="L53" s="403">
        <v>0.71899999999999997</v>
      </c>
      <c r="M53" s="403">
        <v>0.72199999999999998</v>
      </c>
      <c r="N53" s="403">
        <v>0.72499999999999998</v>
      </c>
    </row>
    <row r="54" spans="2:15" x14ac:dyDescent="0.2">
      <c r="B54" s="402">
        <v>59</v>
      </c>
      <c r="C54" s="403">
        <v>0.72799999999999998</v>
      </c>
      <c r="D54" s="403">
        <v>0.73099999999999998</v>
      </c>
      <c r="E54" s="403">
        <v>0.73499999999999999</v>
      </c>
      <c r="F54" s="403">
        <v>0.73799999999999999</v>
      </c>
      <c r="G54" s="403">
        <v>0.74099999999999999</v>
      </c>
      <c r="H54" s="403">
        <v>0.74399999999999999</v>
      </c>
      <c r="I54" s="403">
        <v>0.747</v>
      </c>
      <c r="J54" s="403">
        <v>0.75</v>
      </c>
      <c r="K54" s="403">
        <v>0.753</v>
      </c>
      <c r="L54" s="403">
        <v>0.75700000000000001</v>
      </c>
      <c r="M54" s="403">
        <v>0.76</v>
      </c>
      <c r="N54" s="403">
        <v>0.76300000000000001</v>
      </c>
    </row>
    <row r="55" spans="2:15" x14ac:dyDescent="0.2">
      <c r="B55" s="402">
        <v>60</v>
      </c>
      <c r="C55" s="403">
        <v>0.76600000000000001</v>
      </c>
      <c r="D55" s="403">
        <v>0.77</v>
      </c>
      <c r="E55" s="403">
        <v>0.77300000000000002</v>
      </c>
      <c r="F55" s="403">
        <v>0.77600000000000002</v>
      </c>
      <c r="G55" s="403">
        <v>0.78</v>
      </c>
      <c r="H55" s="403">
        <v>0.78300000000000003</v>
      </c>
      <c r="I55" s="403">
        <v>0.78600000000000003</v>
      </c>
      <c r="J55" s="403">
        <v>0.79</v>
      </c>
      <c r="K55" s="403">
        <v>0.79300000000000004</v>
      </c>
      <c r="L55" s="403">
        <v>0.79700000000000004</v>
      </c>
      <c r="M55" s="403">
        <v>0.8</v>
      </c>
      <c r="N55" s="403">
        <v>0.80300000000000005</v>
      </c>
    </row>
    <row r="56" spans="2:15" x14ac:dyDescent="0.2">
      <c r="B56" s="402">
        <v>61</v>
      </c>
      <c r="C56" s="403">
        <v>0.80700000000000005</v>
      </c>
      <c r="D56" s="403">
        <v>0.81</v>
      </c>
      <c r="E56" s="403">
        <v>0.81399999999999995</v>
      </c>
      <c r="F56" s="403">
        <v>0.81799999999999995</v>
      </c>
      <c r="G56" s="403">
        <v>0.82099999999999995</v>
      </c>
      <c r="H56" s="403">
        <v>0.82499999999999996</v>
      </c>
      <c r="I56" s="403">
        <v>0.82799999999999996</v>
      </c>
      <c r="J56" s="403">
        <v>0.83199999999999996</v>
      </c>
      <c r="K56" s="403">
        <v>0.83599999999999997</v>
      </c>
      <c r="L56" s="403">
        <v>0.83899999999999997</v>
      </c>
      <c r="M56" s="403">
        <v>0.84299999999999997</v>
      </c>
      <c r="N56" s="403">
        <v>0.84699999999999998</v>
      </c>
    </row>
    <row r="57" spans="2:15" x14ac:dyDescent="0.2">
      <c r="B57" s="402">
        <v>62</v>
      </c>
      <c r="C57" s="403">
        <v>0.85</v>
      </c>
      <c r="D57" s="403">
        <v>0.85399999999999998</v>
      </c>
      <c r="E57" s="403">
        <v>0.85799999999999998</v>
      </c>
      <c r="F57" s="403">
        <v>0.86199999999999999</v>
      </c>
      <c r="G57" s="403">
        <v>0.86599999999999999</v>
      </c>
      <c r="H57" s="403">
        <v>0.87</v>
      </c>
      <c r="I57" s="403">
        <v>0.874</v>
      </c>
      <c r="J57" s="403">
        <v>0.878</v>
      </c>
      <c r="K57" s="403">
        <v>0.88200000000000001</v>
      </c>
      <c r="L57" s="403">
        <v>0.88500000000000001</v>
      </c>
      <c r="M57" s="403">
        <v>0.88900000000000001</v>
      </c>
      <c r="N57" s="403">
        <v>0.89300000000000002</v>
      </c>
    </row>
    <row r="58" spans="2:15" ht="12.75" customHeight="1" x14ac:dyDescent="0.2">
      <c r="B58" s="402">
        <v>63</v>
      </c>
      <c r="C58" s="403">
        <v>0.89700000000000002</v>
      </c>
      <c r="D58" s="403">
        <v>0.90100000000000002</v>
      </c>
      <c r="E58" s="403">
        <v>0.90600000000000003</v>
      </c>
      <c r="F58" s="403">
        <v>0.91</v>
      </c>
      <c r="G58" s="403">
        <v>0.91400000000000003</v>
      </c>
      <c r="H58" s="403">
        <v>0.91800000000000004</v>
      </c>
      <c r="I58" s="403">
        <v>0.92200000000000004</v>
      </c>
      <c r="J58" s="403">
        <v>0.92700000000000005</v>
      </c>
      <c r="K58" s="403">
        <v>0.93100000000000005</v>
      </c>
      <c r="L58" s="403">
        <v>0.93500000000000005</v>
      </c>
      <c r="M58" s="403">
        <v>0.93899999999999995</v>
      </c>
      <c r="N58" s="403">
        <v>0.94299999999999995</v>
      </c>
    </row>
    <row r="59" spans="2:15" ht="12.75" customHeight="1" thickBot="1" x14ac:dyDescent="0.25">
      <c r="B59" s="402">
        <v>64</v>
      </c>
      <c r="C59" s="403">
        <v>0.94799999999999995</v>
      </c>
      <c r="D59" s="403">
        <v>0.95199999999999996</v>
      </c>
      <c r="E59" s="403">
        <v>0.95699999999999996</v>
      </c>
      <c r="F59" s="403">
        <v>0.96099999999999997</v>
      </c>
      <c r="G59" s="403">
        <v>0.96599999999999997</v>
      </c>
      <c r="H59" s="403">
        <v>0.97099999999999997</v>
      </c>
      <c r="I59" s="403">
        <v>0.97499999999999998</v>
      </c>
      <c r="J59" s="403">
        <v>0.98</v>
      </c>
      <c r="K59" s="403">
        <v>0.98399999999999999</v>
      </c>
      <c r="L59" s="403">
        <v>0.98899999999999999</v>
      </c>
      <c r="M59" s="403">
        <v>0.99299999999999999</v>
      </c>
      <c r="N59" s="403">
        <v>0.998</v>
      </c>
    </row>
    <row r="60" spans="2:15" ht="12.75" customHeight="1" x14ac:dyDescent="0.2">
      <c r="B60" s="752" t="s">
        <v>339</v>
      </c>
      <c r="C60" s="757" t="s">
        <v>351</v>
      </c>
      <c r="D60" s="757"/>
      <c r="E60" s="757"/>
      <c r="F60" s="757"/>
      <c r="G60" s="757"/>
      <c r="H60" s="757"/>
      <c r="I60" s="757"/>
      <c r="J60" s="757"/>
      <c r="K60" s="757"/>
      <c r="L60" s="757"/>
      <c r="M60" s="757"/>
      <c r="N60" s="757"/>
    </row>
    <row r="61" spans="2:15" ht="12.75" customHeight="1" x14ac:dyDescent="0.2">
      <c r="B61" s="753"/>
      <c r="C61" s="750" t="s">
        <v>352</v>
      </c>
      <c r="D61" s="750"/>
      <c r="E61" s="750"/>
      <c r="F61" s="750"/>
      <c r="G61" s="750"/>
      <c r="H61" s="750"/>
      <c r="I61" s="750"/>
      <c r="J61" s="750"/>
      <c r="K61" s="750"/>
      <c r="L61" s="750"/>
      <c r="M61" s="750"/>
      <c r="N61" s="750"/>
    </row>
    <row r="62" spans="2:15" ht="12.75" customHeight="1" x14ac:dyDescent="0.2">
      <c r="B62" s="753"/>
      <c r="C62" s="750" t="s">
        <v>353</v>
      </c>
      <c r="D62" s="750"/>
      <c r="E62" s="750"/>
      <c r="F62" s="750"/>
      <c r="G62" s="750"/>
      <c r="H62" s="750"/>
      <c r="I62" s="750"/>
      <c r="J62" s="750"/>
      <c r="K62" s="750"/>
      <c r="L62" s="750"/>
      <c r="M62" s="750"/>
      <c r="N62" s="750"/>
    </row>
    <row r="63" spans="2:15" ht="12.75" customHeight="1" x14ac:dyDescent="0.2">
      <c r="B63" s="753"/>
      <c r="C63" s="750" t="s">
        <v>354</v>
      </c>
      <c r="D63" s="750"/>
      <c r="E63" s="750"/>
      <c r="F63" s="750"/>
      <c r="G63" s="750"/>
      <c r="H63" s="750"/>
      <c r="I63" s="750"/>
      <c r="J63" s="750"/>
      <c r="K63" s="750"/>
      <c r="L63" s="750"/>
      <c r="M63" s="750"/>
      <c r="N63" s="750"/>
    </row>
    <row r="64" spans="2:15" x14ac:dyDescent="0.2">
      <c r="B64" s="753"/>
      <c r="C64" s="750" t="s">
        <v>355</v>
      </c>
      <c r="D64" s="750"/>
      <c r="E64" s="750"/>
      <c r="F64" s="750"/>
      <c r="G64" s="750"/>
      <c r="H64" s="750"/>
      <c r="I64" s="750"/>
      <c r="J64" s="750"/>
      <c r="K64" s="750"/>
      <c r="L64" s="750"/>
      <c r="M64" s="750"/>
      <c r="N64" s="750"/>
    </row>
    <row r="65" spans="2:14" x14ac:dyDescent="0.2">
      <c r="B65" s="753"/>
      <c r="C65" s="750" t="s">
        <v>356</v>
      </c>
      <c r="D65" s="750"/>
      <c r="E65" s="750"/>
      <c r="F65" s="750"/>
      <c r="G65" s="750"/>
      <c r="H65" s="750"/>
      <c r="I65" s="750"/>
      <c r="J65" s="750"/>
      <c r="K65" s="750"/>
      <c r="L65" s="750"/>
      <c r="M65" s="750"/>
      <c r="N65" s="750"/>
    </row>
    <row r="66" spans="2:14" ht="14.25" x14ac:dyDescent="0.2">
      <c r="B66" s="407"/>
      <c r="C66" s="410"/>
      <c r="D66" s="410"/>
      <c r="E66" s="410"/>
      <c r="F66" s="410"/>
      <c r="G66" s="410"/>
      <c r="H66" s="410"/>
      <c r="I66" s="410"/>
      <c r="J66" s="410"/>
      <c r="K66" s="410"/>
      <c r="L66" s="410"/>
      <c r="M66" s="410"/>
      <c r="N66" s="410"/>
    </row>
    <row r="67" spans="2:14" ht="14.25" x14ac:dyDescent="0.2">
      <c r="B67" s="411" t="s">
        <v>368</v>
      </c>
      <c r="C67" s="410"/>
      <c r="D67" s="410"/>
      <c r="E67" s="410"/>
      <c r="F67" s="410"/>
      <c r="G67" s="410"/>
      <c r="H67" s="410"/>
      <c r="I67" s="410"/>
      <c r="J67" s="410"/>
      <c r="K67" s="410"/>
      <c r="L67" s="410"/>
      <c r="M67" s="410"/>
      <c r="N67" s="410"/>
    </row>
    <row r="68" spans="2:14" ht="14.25" x14ac:dyDescent="0.2">
      <c r="C68" s="410"/>
      <c r="D68" s="410"/>
      <c r="E68" s="410"/>
      <c r="F68" s="410"/>
      <c r="G68" s="410"/>
      <c r="H68" s="410"/>
      <c r="I68" s="410"/>
      <c r="J68" s="410"/>
      <c r="K68" s="410"/>
      <c r="L68" s="410"/>
      <c r="M68" s="410"/>
      <c r="N68" s="410"/>
    </row>
    <row r="69" spans="2:14" ht="14.25" x14ac:dyDescent="0.2">
      <c r="B69" s="411" t="s">
        <v>360</v>
      </c>
      <c r="C69" s="410"/>
      <c r="D69" s="412" t="s">
        <v>367</v>
      </c>
      <c r="E69" s="410"/>
      <c r="F69" s="410"/>
      <c r="G69" s="410"/>
      <c r="H69" s="410"/>
      <c r="I69" s="410"/>
      <c r="J69" s="410"/>
      <c r="K69" s="410"/>
      <c r="L69" s="410"/>
      <c r="M69" s="410"/>
      <c r="N69" s="410"/>
    </row>
    <row r="70" spans="2:14" ht="14.25" x14ac:dyDescent="0.2">
      <c r="B70" s="411"/>
      <c r="C70" s="410"/>
      <c r="D70" s="410"/>
      <c r="E70" s="410"/>
      <c r="F70" s="410"/>
      <c r="G70" s="410"/>
      <c r="H70" s="410"/>
      <c r="I70" s="410"/>
      <c r="J70" s="410"/>
      <c r="K70" s="410"/>
      <c r="L70" s="410"/>
      <c r="M70" s="410"/>
      <c r="N70" s="410"/>
    </row>
    <row r="71" spans="2:14" ht="14.25" x14ac:dyDescent="0.2">
      <c r="B71" s="746" t="s">
        <v>361</v>
      </c>
      <c r="C71" s="746"/>
      <c r="D71" s="413"/>
      <c r="E71" s="413"/>
      <c r="F71" s="413"/>
      <c r="G71" s="413"/>
      <c r="H71" s="413"/>
      <c r="I71" s="413"/>
      <c r="J71" s="413"/>
      <c r="K71" s="413"/>
      <c r="L71" s="413"/>
      <c r="M71" s="413"/>
      <c r="N71" s="413"/>
    </row>
    <row r="72" spans="2:14" ht="14.25" x14ac:dyDescent="0.2">
      <c r="B72" s="746" t="s">
        <v>362</v>
      </c>
      <c r="C72" s="746"/>
      <c r="D72" s="746"/>
      <c r="E72" s="746"/>
      <c r="F72" s="746"/>
      <c r="G72" s="746"/>
      <c r="H72" s="746"/>
      <c r="I72" s="413"/>
      <c r="J72" s="413"/>
      <c r="K72" s="413"/>
      <c r="L72" s="413"/>
      <c r="M72" s="413"/>
      <c r="N72" s="413"/>
    </row>
    <row r="73" spans="2:14" ht="13.5" thickBot="1" x14ac:dyDescent="0.25">
      <c r="B73" s="414"/>
      <c r="C73" s="414"/>
      <c r="D73" s="414"/>
      <c r="E73" s="414"/>
      <c r="F73" s="414"/>
      <c r="G73" s="414"/>
      <c r="H73" s="414"/>
      <c r="I73" s="415"/>
      <c r="J73" s="416"/>
      <c r="K73" s="416"/>
      <c r="L73" s="416"/>
      <c r="M73" s="416"/>
      <c r="N73" s="416"/>
    </row>
    <row r="74" spans="2:14" x14ac:dyDescent="0.2">
      <c r="B74" s="417" t="s">
        <v>90</v>
      </c>
      <c r="C74" s="749" t="s">
        <v>338</v>
      </c>
      <c r="D74" s="749"/>
      <c r="E74" s="749"/>
      <c r="F74" s="749"/>
      <c r="G74" s="749"/>
      <c r="H74" s="749"/>
      <c r="I74" s="749"/>
      <c r="J74" s="749"/>
      <c r="K74" s="749"/>
      <c r="L74" s="749"/>
      <c r="M74" s="749"/>
      <c r="N74" s="749"/>
    </row>
    <row r="75" spans="2:14" ht="15" thickBot="1" x14ac:dyDescent="0.25">
      <c r="B75" s="413"/>
      <c r="C75" s="418">
        <v>0</v>
      </c>
      <c r="D75" s="418">
        <v>1</v>
      </c>
      <c r="E75" s="418">
        <v>2</v>
      </c>
      <c r="F75" s="418">
        <v>3</v>
      </c>
      <c r="G75" s="418">
        <v>4</v>
      </c>
      <c r="H75" s="418">
        <v>5</v>
      </c>
      <c r="I75" s="418">
        <v>6</v>
      </c>
      <c r="J75" s="418">
        <v>7</v>
      </c>
      <c r="K75" s="418">
        <v>8</v>
      </c>
      <c r="L75" s="418">
        <v>9</v>
      </c>
      <c r="M75" s="418">
        <v>10</v>
      </c>
      <c r="N75" s="418">
        <v>11</v>
      </c>
    </row>
    <row r="76" spans="2:14" x14ac:dyDescent="0.2">
      <c r="B76" s="417">
        <v>65</v>
      </c>
      <c r="C76" s="419">
        <v>1.0009999999999999</v>
      </c>
      <c r="D76" s="420">
        <v>1.004</v>
      </c>
      <c r="E76" s="420">
        <v>1.006</v>
      </c>
      <c r="F76" s="420">
        <v>1.0089999999999999</v>
      </c>
      <c r="G76" s="420">
        <v>1.012</v>
      </c>
      <c r="H76" s="420">
        <v>1.014</v>
      </c>
      <c r="I76" s="420">
        <v>1.0169999999999999</v>
      </c>
      <c r="J76" s="420">
        <v>1.0189999999999999</v>
      </c>
      <c r="K76" s="420">
        <v>1.022</v>
      </c>
      <c r="L76" s="420">
        <v>1.0249999999999999</v>
      </c>
      <c r="M76" s="420">
        <v>1.0269999999999999</v>
      </c>
      <c r="N76" s="420">
        <v>1.03</v>
      </c>
    </row>
    <row r="77" spans="2:14" x14ac:dyDescent="0.2">
      <c r="B77" s="418">
        <v>66</v>
      </c>
      <c r="C77" s="421">
        <v>1.032</v>
      </c>
      <c r="D77" s="422">
        <v>1.0349999999999999</v>
      </c>
      <c r="E77" s="422">
        <v>1.038</v>
      </c>
      <c r="F77" s="422">
        <v>1.0409999999999999</v>
      </c>
      <c r="G77" s="422">
        <v>1.044</v>
      </c>
      <c r="H77" s="422">
        <v>1.0469999999999999</v>
      </c>
      <c r="I77" s="422">
        <v>1.0489999999999999</v>
      </c>
      <c r="J77" s="422">
        <v>1.052</v>
      </c>
      <c r="K77" s="422">
        <v>1.0549999999999999</v>
      </c>
      <c r="L77" s="422">
        <v>1.0580000000000001</v>
      </c>
      <c r="M77" s="422">
        <v>1.0609999999999999</v>
      </c>
      <c r="N77" s="422">
        <v>1.0640000000000001</v>
      </c>
    </row>
    <row r="78" spans="2:14" x14ac:dyDescent="0.2">
      <c r="B78" s="418">
        <v>67</v>
      </c>
      <c r="C78" s="421">
        <v>1.0669999999999999</v>
      </c>
      <c r="D78" s="422">
        <v>1.07</v>
      </c>
      <c r="E78" s="422">
        <v>1.073</v>
      </c>
      <c r="F78" s="422">
        <v>1.0760000000000001</v>
      </c>
      <c r="G78" s="422">
        <v>1.079</v>
      </c>
      <c r="H78" s="422">
        <v>1.0820000000000001</v>
      </c>
      <c r="I78" s="422">
        <v>1.085</v>
      </c>
      <c r="J78" s="422">
        <v>1.0880000000000001</v>
      </c>
      <c r="K78" s="422">
        <v>1.091</v>
      </c>
      <c r="L78" s="422">
        <v>1.0940000000000001</v>
      </c>
      <c r="M78" s="422">
        <v>1.097</v>
      </c>
      <c r="N78" s="422">
        <v>1.1000000000000001</v>
      </c>
    </row>
    <row r="79" spans="2:14" x14ac:dyDescent="0.2">
      <c r="B79" s="418">
        <v>68</v>
      </c>
      <c r="C79" s="421">
        <v>1.1040000000000001</v>
      </c>
      <c r="D79" s="422">
        <v>1.107</v>
      </c>
      <c r="E79" s="422">
        <v>1.1100000000000001</v>
      </c>
      <c r="F79" s="422">
        <v>1.113</v>
      </c>
      <c r="G79" s="422">
        <v>1.117</v>
      </c>
      <c r="H79" s="422">
        <v>1.1200000000000001</v>
      </c>
      <c r="I79" s="422">
        <v>1.123</v>
      </c>
      <c r="J79" s="422">
        <v>1.1259999999999999</v>
      </c>
      <c r="K79" s="422">
        <v>1.1299999999999999</v>
      </c>
      <c r="L79" s="422">
        <v>1.133</v>
      </c>
      <c r="M79" s="422">
        <v>1.1359999999999999</v>
      </c>
      <c r="N79" s="422">
        <v>1.139</v>
      </c>
    </row>
    <row r="80" spans="2:14" x14ac:dyDescent="0.2">
      <c r="B80" s="418">
        <v>69</v>
      </c>
      <c r="C80" s="421">
        <v>1.143</v>
      </c>
      <c r="D80" s="422">
        <v>1.1459999999999999</v>
      </c>
      <c r="E80" s="422">
        <v>1.1499999999999999</v>
      </c>
      <c r="F80" s="422">
        <v>1.1539999999999999</v>
      </c>
      <c r="G80" s="422">
        <v>1.157</v>
      </c>
      <c r="H80" s="422">
        <v>1.161</v>
      </c>
      <c r="I80" s="422">
        <v>1.1639999999999999</v>
      </c>
      <c r="J80" s="422">
        <v>1.1679999999999999</v>
      </c>
      <c r="K80" s="422">
        <v>1.171</v>
      </c>
      <c r="L80" s="422">
        <v>1.175</v>
      </c>
      <c r="M80" s="422">
        <v>1.179</v>
      </c>
      <c r="N80" s="422">
        <v>1.1819999999999999</v>
      </c>
    </row>
    <row r="81" spans="2:14" x14ac:dyDescent="0.2">
      <c r="B81" s="418">
        <v>70</v>
      </c>
      <c r="C81" s="421">
        <v>1.1859999999999999</v>
      </c>
      <c r="D81" s="422">
        <v>1.19</v>
      </c>
      <c r="E81" s="422">
        <v>1.194</v>
      </c>
      <c r="F81" s="422">
        <v>1.1970000000000001</v>
      </c>
      <c r="G81" s="422">
        <v>1.2010000000000001</v>
      </c>
      <c r="H81" s="422">
        <v>1.2050000000000001</v>
      </c>
      <c r="I81" s="422">
        <v>1.2090000000000001</v>
      </c>
      <c r="J81" s="422">
        <v>1.2130000000000001</v>
      </c>
      <c r="K81" s="422">
        <v>1.2170000000000001</v>
      </c>
      <c r="L81" s="422">
        <v>1.22</v>
      </c>
      <c r="M81" s="422">
        <v>1.224</v>
      </c>
      <c r="N81" s="422">
        <v>1.228</v>
      </c>
    </row>
    <row r="82" spans="2:14" x14ac:dyDescent="0.2">
      <c r="B82" s="418">
        <v>71</v>
      </c>
      <c r="C82" s="421">
        <v>1.232</v>
      </c>
      <c r="D82" s="422">
        <v>1.236</v>
      </c>
      <c r="E82" s="422">
        <v>1.24</v>
      </c>
      <c r="F82" s="422">
        <v>1.2450000000000001</v>
      </c>
      <c r="G82" s="422">
        <v>1.2490000000000001</v>
      </c>
      <c r="H82" s="422">
        <v>1.2529999999999999</v>
      </c>
      <c r="I82" s="422">
        <v>1.2569999999999999</v>
      </c>
      <c r="J82" s="422">
        <v>1.2609999999999999</v>
      </c>
      <c r="K82" s="422">
        <v>1.2649999999999999</v>
      </c>
      <c r="L82" s="422">
        <v>1.27</v>
      </c>
      <c r="M82" s="422">
        <v>1.274</v>
      </c>
      <c r="N82" s="422">
        <v>1.278</v>
      </c>
    </row>
    <row r="83" spans="2:14" x14ac:dyDescent="0.2">
      <c r="B83" s="418">
        <v>72</v>
      </c>
      <c r="C83" s="421">
        <v>1.282</v>
      </c>
      <c r="D83" s="422">
        <v>1.2869999999999999</v>
      </c>
      <c r="E83" s="422">
        <v>1.2909999999999999</v>
      </c>
      <c r="F83" s="422">
        <v>1.296</v>
      </c>
      <c r="G83" s="422">
        <v>1.3</v>
      </c>
      <c r="H83" s="422">
        <v>1.3049999999999999</v>
      </c>
      <c r="I83" s="422">
        <v>1.3089999999999999</v>
      </c>
      <c r="J83" s="422">
        <v>1.3140000000000001</v>
      </c>
      <c r="K83" s="422">
        <v>1.3180000000000001</v>
      </c>
      <c r="L83" s="422">
        <v>1.323</v>
      </c>
      <c r="M83" s="422">
        <v>1.327</v>
      </c>
      <c r="N83" s="422">
        <v>1.3320000000000001</v>
      </c>
    </row>
    <row r="84" spans="2:14" x14ac:dyDescent="0.2">
      <c r="B84" s="418">
        <v>73</v>
      </c>
      <c r="C84" s="421">
        <v>1.3360000000000001</v>
      </c>
      <c r="D84" s="422">
        <v>1.341</v>
      </c>
      <c r="E84" s="422">
        <v>1.3460000000000001</v>
      </c>
      <c r="F84" s="422">
        <v>1.351</v>
      </c>
      <c r="G84" s="422">
        <v>1.3560000000000001</v>
      </c>
      <c r="H84" s="422">
        <v>1.361</v>
      </c>
      <c r="I84" s="422">
        <v>1.3660000000000001</v>
      </c>
      <c r="J84" s="422">
        <v>1.371</v>
      </c>
      <c r="K84" s="422">
        <v>1.3759999999999999</v>
      </c>
      <c r="L84" s="422">
        <v>1.381</v>
      </c>
      <c r="M84" s="422">
        <v>1.3859999999999999</v>
      </c>
      <c r="N84" s="422">
        <v>1.391</v>
      </c>
    </row>
    <row r="85" spans="2:14" x14ac:dyDescent="0.2">
      <c r="B85" s="418">
        <v>74</v>
      </c>
      <c r="C85" s="421">
        <v>1.3959999999999999</v>
      </c>
      <c r="D85" s="422">
        <v>1.401</v>
      </c>
      <c r="E85" s="422">
        <v>1.4059999999999999</v>
      </c>
      <c r="F85" s="422">
        <v>1.4119999999999999</v>
      </c>
      <c r="G85" s="422">
        <v>1.417</v>
      </c>
      <c r="H85" s="422">
        <v>1.4219999999999999</v>
      </c>
      <c r="I85" s="422">
        <v>1.4279999999999999</v>
      </c>
      <c r="J85" s="422">
        <v>1.4330000000000001</v>
      </c>
      <c r="K85" s="422">
        <v>1.4379999999999999</v>
      </c>
      <c r="L85" s="422">
        <v>1.444</v>
      </c>
      <c r="M85" s="422">
        <v>1.4490000000000001</v>
      </c>
      <c r="N85" s="422">
        <v>1.454</v>
      </c>
    </row>
    <row r="86" spans="2:14" ht="15" thickBot="1" x14ac:dyDescent="0.25">
      <c r="B86" s="418">
        <v>75</v>
      </c>
      <c r="C86" s="421">
        <v>1.4570000000000001</v>
      </c>
      <c r="D86" s="423"/>
      <c r="E86" s="423"/>
      <c r="F86" s="423"/>
      <c r="G86" s="423"/>
      <c r="H86" s="423"/>
      <c r="I86" s="423"/>
      <c r="J86" s="423"/>
      <c r="K86" s="423"/>
      <c r="L86" s="423"/>
      <c r="M86" s="423"/>
      <c r="N86" s="423"/>
    </row>
    <row r="87" spans="2:14" x14ac:dyDescent="0.2">
      <c r="B87" s="424" t="s">
        <v>339</v>
      </c>
      <c r="C87" s="752" t="s">
        <v>363</v>
      </c>
      <c r="D87" s="752"/>
      <c r="E87" s="752"/>
      <c r="F87" s="752"/>
      <c r="G87" s="752"/>
      <c r="H87" s="752"/>
      <c r="I87" s="752"/>
      <c r="J87" s="752"/>
      <c r="K87" s="752"/>
      <c r="L87" s="752"/>
      <c r="M87" s="752"/>
      <c r="N87" s="752"/>
    </row>
    <row r="88" spans="2:14" ht="14.25" x14ac:dyDescent="0.2">
      <c r="B88" s="413"/>
      <c r="C88" s="745" t="s">
        <v>364</v>
      </c>
      <c r="D88" s="745"/>
      <c r="E88" s="745"/>
      <c r="F88" s="745"/>
      <c r="G88" s="745"/>
      <c r="H88" s="745"/>
      <c r="I88" s="745"/>
      <c r="J88" s="745"/>
      <c r="K88" s="745"/>
      <c r="L88" s="745"/>
      <c r="M88" s="745"/>
      <c r="N88" s="745"/>
    </row>
    <row r="89" spans="2:14" ht="23.25" customHeight="1" x14ac:dyDescent="0.2">
      <c r="B89" s="413"/>
      <c r="C89" s="745" t="s">
        <v>365</v>
      </c>
      <c r="D89" s="745"/>
      <c r="E89" s="745"/>
      <c r="F89" s="745"/>
      <c r="G89" s="745"/>
      <c r="H89" s="745"/>
      <c r="I89" s="745"/>
      <c r="J89" s="745"/>
      <c r="K89" s="745"/>
      <c r="L89" s="745"/>
      <c r="M89" s="745"/>
      <c r="N89" s="745"/>
    </row>
    <row r="90" spans="2:14" ht="14.25" x14ac:dyDescent="0.2">
      <c r="B90" s="413"/>
      <c r="C90" s="745" t="s">
        <v>366</v>
      </c>
      <c r="D90" s="745"/>
      <c r="E90" s="745"/>
      <c r="F90" s="745"/>
      <c r="G90" s="745"/>
      <c r="H90" s="745"/>
      <c r="I90" s="745"/>
      <c r="J90" s="745"/>
      <c r="K90" s="745"/>
      <c r="L90" s="745"/>
      <c r="M90" s="745"/>
      <c r="N90" s="745"/>
    </row>
    <row r="91" spans="2:14" ht="14.25" x14ac:dyDescent="0.2">
      <c r="B91" s="413"/>
      <c r="C91" s="425"/>
      <c r="D91" s="425"/>
      <c r="E91" s="425"/>
      <c r="F91" s="425"/>
      <c r="G91" s="425"/>
      <c r="H91" s="425"/>
      <c r="I91" s="425"/>
      <c r="J91" s="425"/>
      <c r="K91" s="425"/>
      <c r="L91" s="425"/>
      <c r="M91" s="425"/>
      <c r="N91" s="425"/>
    </row>
    <row r="92" spans="2:14" ht="14.25" x14ac:dyDescent="0.2">
      <c r="B92" s="413"/>
      <c r="C92" s="425"/>
      <c r="D92" s="425"/>
      <c r="E92" s="425"/>
      <c r="F92" s="425"/>
      <c r="G92" s="425"/>
      <c r="H92" s="425"/>
      <c r="I92" s="425"/>
      <c r="J92" s="425"/>
      <c r="K92" s="425"/>
      <c r="L92" s="425"/>
      <c r="M92" s="425"/>
      <c r="N92" s="425"/>
    </row>
    <row r="93" spans="2:14" x14ac:dyDescent="0.2">
      <c r="B93" s="411" t="s">
        <v>359</v>
      </c>
      <c r="C93" s="425"/>
      <c r="D93" s="412" t="s">
        <v>378</v>
      </c>
      <c r="E93" s="425"/>
      <c r="F93" s="425"/>
      <c r="G93" s="425"/>
      <c r="H93" s="425"/>
      <c r="I93" s="425"/>
      <c r="J93" s="425"/>
      <c r="K93" s="425"/>
      <c r="L93" s="425"/>
      <c r="M93" s="425"/>
      <c r="N93" s="425"/>
    </row>
    <row r="94" spans="2:14" ht="14.25" x14ac:dyDescent="0.2">
      <c r="B94" s="413"/>
      <c r="C94" s="425"/>
      <c r="D94" s="425"/>
      <c r="E94" s="425"/>
      <c r="F94" s="425"/>
      <c r="G94" s="425"/>
      <c r="H94" s="425"/>
      <c r="I94" s="425"/>
      <c r="J94" s="425"/>
      <c r="K94" s="425"/>
      <c r="L94" s="425"/>
      <c r="M94" s="425"/>
      <c r="N94" s="425"/>
    </row>
    <row r="95" spans="2:14" ht="14.25" x14ac:dyDescent="0.2">
      <c r="B95" s="746" t="s">
        <v>369</v>
      </c>
      <c r="C95" s="746"/>
      <c r="D95" s="747"/>
      <c r="E95" s="747"/>
      <c r="F95" s="747"/>
      <c r="G95" s="413"/>
      <c r="H95" s="413"/>
      <c r="I95" s="413"/>
      <c r="J95" s="413"/>
      <c r="K95" s="413"/>
      <c r="L95" s="413"/>
      <c r="M95" s="413"/>
      <c r="N95" s="413"/>
    </row>
    <row r="96" spans="2:14" ht="14.25" x14ac:dyDescent="0.2">
      <c r="B96" s="746" t="s">
        <v>370</v>
      </c>
      <c r="C96" s="746"/>
      <c r="D96" s="746"/>
      <c r="E96" s="746"/>
      <c r="F96" s="746"/>
      <c r="G96" s="746"/>
      <c r="H96" s="413"/>
      <c r="I96" s="413"/>
      <c r="J96" s="413"/>
      <c r="K96" s="413"/>
      <c r="L96" s="413"/>
      <c r="M96" s="413"/>
      <c r="N96" s="413"/>
    </row>
    <row r="97" spans="2:14" ht="14.25" x14ac:dyDescent="0.2">
      <c r="B97" s="415" t="s">
        <v>371</v>
      </c>
      <c r="C97" s="413"/>
      <c r="D97" s="413"/>
      <c r="E97" s="413"/>
      <c r="F97" s="413"/>
      <c r="G97" s="413"/>
      <c r="H97" s="415"/>
      <c r="I97" s="415"/>
      <c r="J97" s="415"/>
      <c r="K97" s="426"/>
      <c r="L97" s="426"/>
      <c r="M97" s="426"/>
      <c r="N97" s="426"/>
    </row>
    <row r="98" spans="2:14" x14ac:dyDescent="0.2">
      <c r="B98" s="415" t="s">
        <v>372</v>
      </c>
      <c r="C98" s="415"/>
      <c r="D98" s="415"/>
      <c r="E98" s="415"/>
      <c r="F98" s="415"/>
      <c r="G98" s="415"/>
      <c r="H98" s="415"/>
      <c r="I98" s="415"/>
      <c r="J98" s="415"/>
      <c r="K98" s="415"/>
      <c r="L98" s="415"/>
      <c r="M98" s="415"/>
      <c r="N98" s="415"/>
    </row>
    <row r="99" spans="2:14" ht="15" thickBot="1" x14ac:dyDescent="0.25">
      <c r="B99" s="413"/>
      <c r="C99" s="413"/>
      <c r="D99" s="748"/>
      <c r="E99" s="748"/>
      <c r="F99" s="748"/>
      <c r="G99" s="427"/>
      <c r="H99" s="427"/>
      <c r="I99" s="427"/>
      <c r="J99" s="427"/>
      <c r="K99" s="427"/>
      <c r="L99" s="427"/>
      <c r="M99" s="427"/>
      <c r="N99" s="427"/>
    </row>
    <row r="100" spans="2:14" x14ac:dyDescent="0.2">
      <c r="B100" s="417"/>
      <c r="C100" s="749" t="s">
        <v>338</v>
      </c>
      <c r="D100" s="749"/>
      <c r="E100" s="749"/>
      <c r="F100" s="749"/>
      <c r="G100" s="749"/>
      <c r="H100" s="749"/>
      <c r="I100" s="749"/>
      <c r="J100" s="749"/>
      <c r="K100" s="749"/>
      <c r="L100" s="749"/>
      <c r="M100" s="749"/>
      <c r="N100" s="749"/>
    </row>
    <row r="101" spans="2:14" ht="13.5" thickBot="1" x14ac:dyDescent="0.25">
      <c r="B101" s="418" t="s">
        <v>156</v>
      </c>
      <c r="C101" s="418">
        <v>0</v>
      </c>
      <c r="D101" s="418">
        <v>1</v>
      </c>
      <c r="E101" s="418">
        <v>2</v>
      </c>
      <c r="F101" s="428">
        <v>3</v>
      </c>
      <c r="G101" s="428">
        <v>4</v>
      </c>
      <c r="H101" s="428">
        <v>5</v>
      </c>
      <c r="I101" s="428">
        <v>6</v>
      </c>
      <c r="J101" s="428">
        <v>7</v>
      </c>
      <c r="K101" s="428">
        <v>8</v>
      </c>
      <c r="L101" s="428">
        <v>9</v>
      </c>
      <c r="M101" s="428">
        <v>10</v>
      </c>
      <c r="N101" s="418">
        <v>11</v>
      </c>
    </row>
    <row r="102" spans="2:14" x14ac:dyDescent="0.2">
      <c r="B102" s="417">
        <v>0</v>
      </c>
      <c r="C102" s="419">
        <v>1.002</v>
      </c>
      <c r="D102" s="420">
        <v>1.0049999999999999</v>
      </c>
      <c r="E102" s="420">
        <v>1.0089999999999999</v>
      </c>
      <c r="F102" s="420">
        <v>1.0129999999999999</v>
      </c>
      <c r="G102" s="420">
        <v>1.016</v>
      </c>
      <c r="H102" s="420">
        <v>1.02</v>
      </c>
      <c r="I102" s="420">
        <v>1.0229999999999999</v>
      </c>
      <c r="J102" s="420">
        <v>1.0269999999999999</v>
      </c>
      <c r="K102" s="420">
        <v>1.03</v>
      </c>
      <c r="L102" s="420">
        <v>1.034</v>
      </c>
      <c r="M102" s="420">
        <v>1.038</v>
      </c>
      <c r="N102" s="420">
        <v>1.0409999999999999</v>
      </c>
    </row>
    <row r="103" spans="2:14" x14ac:dyDescent="0.2">
      <c r="B103" s="418">
        <v>1</v>
      </c>
      <c r="C103" s="421">
        <v>1.0449999999999999</v>
      </c>
      <c r="D103" s="422">
        <v>1.0489999999999999</v>
      </c>
      <c r="E103" s="422">
        <v>1.0529999999999999</v>
      </c>
      <c r="F103" s="422">
        <v>1.056</v>
      </c>
      <c r="G103" s="422">
        <v>1.06</v>
      </c>
      <c r="H103" s="422">
        <v>1.0640000000000001</v>
      </c>
      <c r="I103" s="422">
        <v>1.0680000000000001</v>
      </c>
      <c r="J103" s="422">
        <v>1.0720000000000001</v>
      </c>
      <c r="K103" s="422">
        <v>1.0760000000000001</v>
      </c>
      <c r="L103" s="422">
        <v>1.079</v>
      </c>
      <c r="M103" s="422">
        <v>1.083</v>
      </c>
      <c r="N103" s="422">
        <v>1.087</v>
      </c>
    </row>
    <row r="104" spans="2:14" x14ac:dyDescent="0.2">
      <c r="B104" s="418">
        <v>2</v>
      </c>
      <c r="C104" s="421">
        <v>1.091</v>
      </c>
      <c r="D104" s="422">
        <v>1.095</v>
      </c>
      <c r="E104" s="422">
        <v>1.099</v>
      </c>
      <c r="F104" s="422">
        <v>1.1040000000000001</v>
      </c>
      <c r="G104" s="422">
        <v>1.1080000000000001</v>
      </c>
      <c r="H104" s="422">
        <v>1.1120000000000001</v>
      </c>
      <c r="I104" s="422">
        <v>1.1160000000000001</v>
      </c>
      <c r="J104" s="422">
        <v>1.1200000000000001</v>
      </c>
      <c r="K104" s="422">
        <v>1.1240000000000001</v>
      </c>
      <c r="L104" s="422">
        <v>1.129</v>
      </c>
      <c r="M104" s="422">
        <v>1.133</v>
      </c>
      <c r="N104" s="422">
        <v>1.137</v>
      </c>
    </row>
    <row r="105" spans="2:14" x14ac:dyDescent="0.2">
      <c r="B105" s="418">
        <v>3</v>
      </c>
      <c r="C105" s="421">
        <v>1.141</v>
      </c>
      <c r="D105" s="422">
        <v>1.1459999999999999</v>
      </c>
      <c r="E105" s="422">
        <v>1.1499999999999999</v>
      </c>
      <c r="F105" s="422">
        <v>1.155</v>
      </c>
      <c r="G105" s="422">
        <v>1.159</v>
      </c>
      <c r="H105" s="422">
        <v>1.1639999999999999</v>
      </c>
      <c r="I105" s="422">
        <v>1.1679999999999999</v>
      </c>
      <c r="J105" s="422">
        <v>1.173</v>
      </c>
      <c r="K105" s="422">
        <v>1.177</v>
      </c>
      <c r="L105" s="422">
        <v>1.1819999999999999</v>
      </c>
      <c r="M105" s="422">
        <v>1.1859999999999999</v>
      </c>
      <c r="N105" s="422">
        <v>1.1910000000000001</v>
      </c>
    </row>
    <row r="106" spans="2:14" x14ac:dyDescent="0.2">
      <c r="B106" s="418">
        <v>4</v>
      </c>
      <c r="C106" s="421">
        <v>1.1950000000000001</v>
      </c>
      <c r="D106" s="422">
        <v>1.2</v>
      </c>
      <c r="E106" s="422">
        <v>1.2050000000000001</v>
      </c>
      <c r="F106" s="422">
        <v>1.21</v>
      </c>
      <c r="G106" s="422">
        <v>1.2150000000000001</v>
      </c>
      <c r="H106" s="422">
        <v>1.22</v>
      </c>
      <c r="I106" s="422">
        <v>1.224</v>
      </c>
      <c r="J106" s="422">
        <v>1.2290000000000001</v>
      </c>
      <c r="K106" s="422">
        <v>1.234</v>
      </c>
      <c r="L106" s="422">
        <v>1.2390000000000001</v>
      </c>
      <c r="M106" s="422">
        <v>1.244</v>
      </c>
      <c r="N106" s="422">
        <v>1.2490000000000001</v>
      </c>
    </row>
    <row r="107" spans="2:14" x14ac:dyDescent="0.2">
      <c r="B107" s="418">
        <v>5</v>
      </c>
      <c r="C107" s="421">
        <v>1.254</v>
      </c>
      <c r="D107" s="422">
        <v>1.2589999999999999</v>
      </c>
      <c r="E107" s="422">
        <v>1.264</v>
      </c>
      <c r="F107" s="422">
        <v>1.2689999999999999</v>
      </c>
      <c r="G107" s="422">
        <v>1.2749999999999999</v>
      </c>
      <c r="H107" s="422">
        <v>1.28</v>
      </c>
      <c r="I107" s="422">
        <v>1.2849999999999999</v>
      </c>
      <c r="J107" s="422">
        <v>1.29</v>
      </c>
      <c r="K107" s="422">
        <v>1.296</v>
      </c>
      <c r="L107" s="422">
        <v>1.3009999999999999</v>
      </c>
      <c r="M107" s="422">
        <v>1.306</v>
      </c>
      <c r="N107" s="422">
        <v>1.3109999999999999</v>
      </c>
    </row>
    <row r="108" spans="2:14" x14ac:dyDescent="0.2">
      <c r="B108" s="418">
        <v>6</v>
      </c>
      <c r="C108" s="421">
        <v>1.3169999999999999</v>
      </c>
      <c r="D108" s="422">
        <v>1.323</v>
      </c>
      <c r="E108" s="422">
        <v>1.3280000000000001</v>
      </c>
      <c r="F108" s="422">
        <v>1.3340000000000001</v>
      </c>
      <c r="G108" s="422">
        <v>1.34</v>
      </c>
      <c r="H108" s="422">
        <v>1.3460000000000001</v>
      </c>
      <c r="I108" s="422">
        <v>1.351</v>
      </c>
      <c r="J108" s="422">
        <v>1.357</v>
      </c>
      <c r="K108" s="422">
        <v>1.363</v>
      </c>
      <c r="L108" s="422">
        <v>1.369</v>
      </c>
      <c r="M108" s="422">
        <v>1.3740000000000001</v>
      </c>
      <c r="N108" s="422">
        <v>1.38</v>
      </c>
    </row>
    <row r="109" spans="2:14" x14ac:dyDescent="0.2">
      <c r="B109" s="418">
        <v>7</v>
      </c>
      <c r="C109" s="421">
        <v>1.3859999999999999</v>
      </c>
      <c r="D109" s="422">
        <v>1.3919999999999999</v>
      </c>
      <c r="E109" s="422">
        <v>1.399</v>
      </c>
      <c r="F109" s="422">
        <v>1.405</v>
      </c>
      <c r="G109" s="422">
        <v>1.411</v>
      </c>
      <c r="H109" s="422">
        <v>1.417</v>
      </c>
      <c r="I109" s="422">
        <v>1.4239999999999999</v>
      </c>
      <c r="J109" s="422">
        <v>1.43</v>
      </c>
      <c r="K109" s="422">
        <v>1.4359999999999999</v>
      </c>
      <c r="L109" s="422">
        <v>1.4419999999999999</v>
      </c>
      <c r="M109" s="422">
        <v>1.4490000000000001</v>
      </c>
      <c r="N109" s="422">
        <v>1.4550000000000001</v>
      </c>
    </row>
    <row r="110" spans="2:14" x14ac:dyDescent="0.2">
      <c r="B110" s="418">
        <v>8</v>
      </c>
      <c r="C110" s="421">
        <v>1.4610000000000001</v>
      </c>
      <c r="D110" s="422">
        <v>1.468</v>
      </c>
      <c r="E110" s="422">
        <v>1.4750000000000001</v>
      </c>
      <c r="F110" s="422">
        <v>1.482</v>
      </c>
      <c r="G110" s="422">
        <v>1.488</v>
      </c>
      <c r="H110" s="422">
        <v>1.4950000000000001</v>
      </c>
      <c r="I110" s="422">
        <v>1.502</v>
      </c>
      <c r="J110" s="422">
        <v>1.5089999999999999</v>
      </c>
      <c r="K110" s="422">
        <v>1.5149999999999999</v>
      </c>
      <c r="L110" s="422">
        <v>1.522</v>
      </c>
      <c r="M110" s="422">
        <v>1.5289999999999999</v>
      </c>
      <c r="N110" s="422">
        <v>1.536</v>
      </c>
    </row>
    <row r="111" spans="2:14" x14ac:dyDescent="0.2">
      <c r="B111" s="418">
        <v>9</v>
      </c>
      <c r="C111" s="421">
        <v>1.5429999999999999</v>
      </c>
      <c r="D111" s="422">
        <v>1.55</v>
      </c>
      <c r="E111" s="422">
        <v>1.5569999999999999</v>
      </c>
      <c r="F111" s="422">
        <v>1.5649999999999999</v>
      </c>
      <c r="G111" s="422">
        <v>1.5720000000000001</v>
      </c>
      <c r="H111" s="422">
        <v>1.579</v>
      </c>
      <c r="I111" s="422">
        <v>1.587</v>
      </c>
      <c r="J111" s="422">
        <v>1.5940000000000001</v>
      </c>
      <c r="K111" s="422">
        <v>1.601</v>
      </c>
      <c r="L111" s="422">
        <v>1.609</v>
      </c>
      <c r="M111" s="422">
        <v>1.6160000000000001</v>
      </c>
      <c r="N111" s="422">
        <v>1.623</v>
      </c>
    </row>
    <row r="112" spans="2:14" ht="15" thickBot="1" x14ac:dyDescent="0.25">
      <c r="B112" s="428">
        <v>10</v>
      </c>
      <c r="C112" s="429">
        <v>1.627</v>
      </c>
      <c r="D112" s="430"/>
      <c r="E112" s="405"/>
      <c r="F112" s="430"/>
      <c r="G112" s="430"/>
      <c r="H112" s="430"/>
      <c r="I112" s="430"/>
      <c r="J112" s="430"/>
      <c r="K112" s="430"/>
      <c r="L112" s="430"/>
      <c r="M112" s="430"/>
      <c r="N112" s="430"/>
    </row>
    <row r="113" spans="2:14" ht="14.25" x14ac:dyDescent="0.2">
      <c r="B113" s="413"/>
      <c r="C113" s="744"/>
      <c r="D113" s="744"/>
      <c r="E113" s="744"/>
      <c r="F113" s="744"/>
      <c r="G113" s="744"/>
      <c r="H113" s="744"/>
      <c r="I113" s="744"/>
      <c r="J113" s="744"/>
      <c r="K113" s="744"/>
      <c r="L113" s="744"/>
      <c r="M113" s="744"/>
      <c r="N113" s="744"/>
    </row>
    <row r="114" spans="2:14" x14ac:dyDescent="0.2">
      <c r="B114" s="431" t="s">
        <v>339</v>
      </c>
      <c r="C114" s="432" t="s">
        <v>373</v>
      </c>
      <c r="D114" s="433"/>
      <c r="E114" s="433"/>
      <c r="F114" s="433"/>
      <c r="G114" s="433"/>
      <c r="H114" s="433"/>
      <c r="I114" s="433"/>
      <c r="J114" s="433"/>
      <c r="K114" s="433"/>
      <c r="L114" s="433"/>
      <c r="M114" s="433"/>
      <c r="N114" s="433"/>
    </row>
    <row r="115" spans="2:14" ht="14.25" x14ac:dyDescent="0.2">
      <c r="B115" s="434"/>
      <c r="C115" s="431" t="s">
        <v>374</v>
      </c>
      <c r="D115" s="435"/>
      <c r="E115" s="435"/>
      <c r="F115" s="435"/>
      <c r="G115" s="435"/>
      <c r="H115" s="435"/>
      <c r="I115" s="435"/>
      <c r="J115" s="435"/>
      <c r="K115" s="435"/>
      <c r="L115" s="435"/>
      <c r="M115" s="435"/>
      <c r="N115" s="435"/>
    </row>
    <row r="116" spans="2:14" ht="14.25" x14ac:dyDescent="0.2">
      <c r="B116" s="413"/>
      <c r="C116" s="431" t="s">
        <v>375</v>
      </c>
      <c r="D116" s="435"/>
      <c r="E116" s="435"/>
      <c r="F116" s="435"/>
      <c r="G116" s="435"/>
      <c r="H116" s="435"/>
      <c r="I116" s="435"/>
      <c r="J116" s="435"/>
      <c r="K116" s="435"/>
      <c r="L116" s="435"/>
      <c r="M116" s="435"/>
      <c r="N116" s="435"/>
    </row>
    <row r="117" spans="2:14" ht="14.25" x14ac:dyDescent="0.2">
      <c r="B117" s="413"/>
      <c r="C117" s="431" t="s">
        <v>376</v>
      </c>
      <c r="D117" s="435"/>
      <c r="E117" s="435"/>
      <c r="F117" s="435"/>
      <c r="G117" s="435"/>
      <c r="H117" s="435"/>
      <c r="I117" s="435"/>
      <c r="J117" s="435"/>
      <c r="K117" s="435"/>
      <c r="L117" s="435"/>
      <c r="M117" s="435"/>
      <c r="N117" s="435"/>
    </row>
    <row r="118" spans="2:14" ht="14.25" x14ac:dyDescent="0.2">
      <c r="B118" s="413"/>
      <c r="C118" s="431" t="s">
        <v>377</v>
      </c>
      <c r="D118" s="436"/>
      <c r="E118" s="436"/>
      <c r="F118" s="436"/>
      <c r="G118" s="436"/>
      <c r="H118" s="436"/>
      <c r="I118" s="436"/>
      <c r="J118" s="436"/>
      <c r="K118" s="436"/>
      <c r="L118" s="436"/>
      <c r="M118" s="436"/>
      <c r="N118" s="436"/>
    </row>
    <row r="119" spans="2:14" ht="14.25" x14ac:dyDescent="0.2">
      <c r="B119" s="407"/>
      <c r="C119" s="410"/>
      <c r="D119" s="410"/>
      <c r="E119" s="410"/>
      <c r="F119" s="410"/>
      <c r="G119" s="410"/>
      <c r="H119" s="410"/>
      <c r="I119" s="410"/>
      <c r="J119" s="410"/>
      <c r="K119" s="410"/>
      <c r="L119" s="410"/>
      <c r="M119" s="410"/>
      <c r="N119" s="410"/>
    </row>
    <row r="120" spans="2:14" ht="14.25" x14ac:dyDescent="0.2">
      <c r="B120" s="407"/>
      <c r="C120" s="410"/>
      <c r="D120" s="410"/>
      <c r="E120" s="410"/>
      <c r="F120" s="410"/>
      <c r="G120" s="410"/>
      <c r="H120" s="410"/>
      <c r="I120" s="410"/>
      <c r="J120" s="410"/>
      <c r="K120" s="410"/>
      <c r="L120" s="410"/>
      <c r="M120" s="410"/>
      <c r="N120" s="410"/>
    </row>
    <row r="121" spans="2:14" x14ac:dyDescent="0.2">
      <c r="B121" s="1"/>
    </row>
  </sheetData>
  <mergeCells count="31">
    <mergeCell ref="C27:N27"/>
    <mergeCell ref="C11:N11"/>
    <mergeCell ref="C18:N18"/>
    <mergeCell ref="C19:N19"/>
    <mergeCell ref="C20:N20"/>
    <mergeCell ref="C21:N21"/>
    <mergeCell ref="C39:N39"/>
    <mergeCell ref="C40:N40"/>
    <mergeCell ref="C41:N41"/>
    <mergeCell ref="C42:N42"/>
    <mergeCell ref="C60:N60"/>
    <mergeCell ref="C89:N89"/>
    <mergeCell ref="C62:N62"/>
    <mergeCell ref="C63:N63"/>
    <mergeCell ref="C48:N48"/>
    <mergeCell ref="B60:B65"/>
    <mergeCell ref="C64:N64"/>
    <mergeCell ref="C65:N65"/>
    <mergeCell ref="C61:N61"/>
    <mergeCell ref="B71:C71"/>
    <mergeCell ref="B72:H72"/>
    <mergeCell ref="C74:N74"/>
    <mergeCell ref="C87:N87"/>
    <mergeCell ref="C88:N88"/>
    <mergeCell ref="C113:N113"/>
    <mergeCell ref="C90:N90"/>
    <mergeCell ref="B95:C95"/>
    <mergeCell ref="D95:F95"/>
    <mergeCell ref="B96:G96"/>
    <mergeCell ref="D99:F99"/>
    <mergeCell ref="C100:N100"/>
  </mergeCells>
  <hyperlinks>
    <hyperlink ref="D8" r:id="rId1"/>
    <hyperlink ref="D24" r:id="rId2"/>
    <hyperlink ref="D45" r:id="rId3"/>
    <hyperlink ref="D69" r:id="rId4"/>
    <hyperlink ref="D93" r:id="rId5"/>
  </hyperlinks>
  <pageMargins left="0.7" right="0.7" top="0.75" bottom="0.75" header="0.3" footer="0.3"/>
  <pageSetup paperSize="9" orientation="portrait" r:id="rId6"/>
  <headerFooter>
    <oddHeader>&amp;CPROTECT - SCHEME MANAGEMENT&amp;L_x000D_&amp;Z&amp;F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rgb="FF92D050"/>
    <pageSetUpPr fitToPage="1"/>
  </sheetPr>
  <dimension ref="A1:K82"/>
  <sheetViews>
    <sheetView topLeftCell="A10" workbookViewId="0">
      <selection activeCell="C16" sqref="C16:O16"/>
    </sheetView>
  </sheetViews>
  <sheetFormatPr defaultRowHeight="12.75" x14ac:dyDescent="0.2"/>
  <cols>
    <col min="2" max="2" width="13.140625" customWidth="1"/>
    <col min="3" max="3" width="47.28515625" bestFit="1" customWidth="1"/>
    <col min="4" max="6" width="12.28515625" customWidth="1"/>
    <col min="7" max="7" width="11.28515625" bestFit="1" customWidth="1"/>
    <col min="9" max="9" width="11.140625" bestFit="1" customWidth="1"/>
    <col min="10" max="10" width="13.28515625" customWidth="1"/>
    <col min="11" max="11" width="17" bestFit="1" customWidth="1"/>
  </cols>
  <sheetData>
    <row r="1" spans="1:9" ht="20.25" x14ac:dyDescent="0.3">
      <c r="A1" s="13" t="s">
        <v>18</v>
      </c>
      <c r="B1" s="12"/>
      <c r="C1" s="12"/>
      <c r="D1" s="12"/>
      <c r="E1" s="12"/>
      <c r="F1" s="12"/>
      <c r="G1" s="12"/>
    </row>
    <row r="2" spans="1:9" ht="15.75" x14ac:dyDescent="0.25">
      <c r="A2" s="27"/>
      <c r="B2" s="11"/>
      <c r="C2" s="11"/>
      <c r="D2" s="11"/>
      <c r="E2" s="11"/>
      <c r="F2" s="11"/>
      <c r="G2" s="11"/>
    </row>
    <row r="3" spans="1:9" ht="15.75" x14ac:dyDescent="0.25">
      <c r="A3" s="64"/>
      <c r="B3" s="11"/>
      <c r="C3" s="11"/>
      <c r="D3" s="11"/>
      <c r="E3" s="11"/>
      <c r="F3" s="11"/>
      <c r="G3" s="11"/>
    </row>
    <row r="4" spans="1:9" x14ac:dyDescent="0.2">
      <c r="A4" s="7" t="str">
        <f ca="1">CELL("filename",A1)</f>
        <v>C:\Users\U209873\AppData\Local\Microsoft\Windows\INetCache\Content.Outlook\QF7PK4UP\[180515PenCalcSTSSv2 1.xlsx]FS Calcs</v>
      </c>
      <c r="I4" s="9"/>
    </row>
    <row r="5" spans="1:9" ht="13.5" thickBot="1" x14ac:dyDescent="0.25">
      <c r="I5" s="9"/>
    </row>
    <row r="6" spans="1:9" x14ac:dyDescent="0.2">
      <c r="C6" s="280" t="s">
        <v>205</v>
      </c>
      <c r="D6" s="282">
        <f ca="1">(DoStartSchYear-DoB)/DoY</f>
        <v>118.25051334702259</v>
      </c>
      <c r="I6" s="9"/>
    </row>
    <row r="7" spans="1:9" x14ac:dyDescent="0.2">
      <c r="C7" s="244" t="s">
        <v>206</v>
      </c>
      <c r="D7" s="283">
        <f ca="1">INT(D6)</f>
        <v>118</v>
      </c>
      <c r="E7" s="28" t="s">
        <v>63</v>
      </c>
      <c r="I7" s="9"/>
    </row>
    <row r="8" spans="1:9" x14ac:dyDescent="0.2">
      <c r="C8" s="244" t="s">
        <v>183</v>
      </c>
      <c r="D8" s="284">
        <f ca="1">INT((D6-INT(D6))*12)</f>
        <v>3</v>
      </c>
      <c r="E8" s="28" t="s">
        <v>68</v>
      </c>
      <c r="I8" s="9"/>
    </row>
    <row r="9" spans="1:9" x14ac:dyDescent="0.2">
      <c r="C9" s="244" t="s">
        <v>105</v>
      </c>
      <c r="D9" s="375">
        <f>ChosenRA</f>
        <v>0</v>
      </c>
      <c r="E9" s="28"/>
      <c r="I9" s="9"/>
    </row>
    <row r="10" spans="1:9" x14ac:dyDescent="0.2">
      <c r="C10" s="244" t="s">
        <v>82</v>
      </c>
      <c r="D10" s="283">
        <f>(ProtectDate-DoB)/DoY</f>
        <v>112.25188227241615</v>
      </c>
      <c r="E10" s="71"/>
      <c r="I10" s="9"/>
    </row>
    <row r="11" spans="1:9" x14ac:dyDescent="0.2">
      <c r="C11" s="244" t="s">
        <v>305</v>
      </c>
      <c r="D11" s="283">
        <f>INT(D10*12)/12</f>
        <v>112.25</v>
      </c>
      <c r="E11" s="71"/>
      <c r="I11" s="9"/>
    </row>
    <row r="12" spans="1:9" x14ac:dyDescent="0.2">
      <c r="C12" s="244" t="s">
        <v>325</v>
      </c>
      <c r="D12" s="285">
        <f>(start_Sch65-DJS)/DoY+TVinYears+TVinDays/DoY</f>
        <v>107.24982888432581</v>
      </c>
      <c r="E12" s="71"/>
      <c r="I12" s="9"/>
    </row>
    <row r="13" spans="1:9" x14ac:dyDescent="0.2">
      <c r="C13" s="281" t="s">
        <v>418</v>
      </c>
      <c r="D13" s="544">
        <f>(DJS-DoB)/DoY</f>
        <v>0</v>
      </c>
      <c r="E13" s="71"/>
      <c r="I13" s="9"/>
    </row>
    <row r="14" spans="1:9" x14ac:dyDescent="0.2">
      <c r="C14" s="281" t="s">
        <v>326</v>
      </c>
      <c r="D14" s="284">
        <f>ROUNDDOWN((start_Sch65-DoB)/DoY,0)</f>
        <v>107</v>
      </c>
      <c r="E14" s="71"/>
      <c r="I14" s="9"/>
    </row>
    <row r="15" spans="1:9" x14ac:dyDescent="0.2">
      <c r="C15" s="281" t="s">
        <v>291</v>
      </c>
      <c r="D15" s="237">
        <f>ROUNDDOWN((DJS-DoB)/DoY,0)</f>
        <v>0</v>
      </c>
      <c r="E15" s="71"/>
      <c r="F15" s="62"/>
    </row>
    <row r="16" spans="1:9" x14ac:dyDescent="0.2">
      <c r="C16" s="281"/>
      <c r="D16" s="543"/>
      <c r="E16" s="71"/>
    </row>
    <row r="17" spans="2:10" x14ac:dyDescent="0.2">
      <c r="C17" s="281" t="s">
        <v>419</v>
      </c>
      <c r="D17" s="543" t="e">
        <f>(E33-DoB)/DoY</f>
        <v>#VALUE!</v>
      </c>
      <c r="E17" s="71"/>
      <c r="H17" s="9"/>
      <c r="I17" s="365"/>
      <c r="J17" s="9"/>
    </row>
    <row r="18" spans="2:10" x14ac:dyDescent="0.2">
      <c r="C18" s="244" t="s">
        <v>81</v>
      </c>
      <c r="D18" s="283">
        <f>D12+NonUplifted</f>
        <v>112.25188227241615</v>
      </c>
      <c r="F18" s="9"/>
      <c r="H18" s="9"/>
      <c r="I18" s="9"/>
      <c r="J18" s="9"/>
    </row>
    <row r="19" spans="2:10" ht="26.25" thickBot="1" x14ac:dyDescent="0.25">
      <c r="C19" s="553" t="s">
        <v>446</v>
      </c>
      <c r="D19" s="552">
        <f>D18</f>
        <v>112.25188227241615</v>
      </c>
      <c r="H19" s="9"/>
      <c r="I19" s="9"/>
      <c r="J19" s="9"/>
    </row>
    <row r="20" spans="2:10" ht="13.5" thickBot="1" x14ac:dyDescent="0.25">
      <c r="C20" s="286" t="s">
        <v>306</v>
      </c>
      <c r="D20" s="287">
        <f>INT(12*D19)/12</f>
        <v>112.25</v>
      </c>
      <c r="H20" s="9"/>
      <c r="I20" s="137"/>
      <c r="J20" s="366"/>
    </row>
    <row r="21" spans="2:10" ht="12.75" customHeight="1" thickBot="1" x14ac:dyDescent="0.25">
      <c r="C21" s="370"/>
      <c r="D21" s="366"/>
      <c r="H21" s="9"/>
      <c r="I21" s="9"/>
      <c r="J21" s="9"/>
    </row>
    <row r="22" spans="2:10" ht="13.5" thickBot="1" x14ac:dyDescent="0.25">
      <c r="C22" s="1"/>
      <c r="D22" s="101" t="str">
        <f>Sch_60</f>
        <v>NPA60</v>
      </c>
      <c r="E22" s="95" t="str">
        <f>Sch_65</f>
        <v>NPA65</v>
      </c>
      <c r="F22" s="288" t="s">
        <v>83</v>
      </c>
      <c r="H22" s="9"/>
      <c r="I22" s="9"/>
      <c r="J22" s="9"/>
    </row>
    <row r="23" spans="2:10" ht="13.5" thickBot="1" x14ac:dyDescent="0.25">
      <c r="B23" s="94"/>
      <c r="C23" s="95" t="s">
        <v>80</v>
      </c>
      <c r="D23" s="110">
        <f>DoR</f>
        <v>0</v>
      </c>
      <c r="E23" s="108">
        <f>DoR</f>
        <v>0</v>
      </c>
      <c r="F23" s="109" t="e">
        <f t="shared" ref="F23:F33" si="0">IF(CurrentScheme=Sch_60,D23,E23)</f>
        <v>#N/A</v>
      </c>
      <c r="H23" s="9"/>
      <c r="I23" s="9"/>
      <c r="J23" s="9"/>
    </row>
    <row r="24" spans="2:10" x14ac:dyDescent="0.2">
      <c r="B24" s="758" t="s">
        <v>176</v>
      </c>
      <c r="C24" s="87" t="s">
        <v>128</v>
      </c>
      <c r="D24" s="111">
        <f>(DATE(YEAR(DJS)-TVinYears,MONTH(DJS),DAY(DJS))-TVinDays)</f>
        <v>0</v>
      </c>
      <c r="E24" s="143">
        <f>D24</f>
        <v>0</v>
      </c>
      <c r="F24" s="107" t="e">
        <f t="shared" si="0"/>
        <v>#N/A</v>
      </c>
      <c r="G24" s="71"/>
      <c r="H24" s="9"/>
      <c r="I24" s="9"/>
      <c r="J24" s="9"/>
    </row>
    <row r="25" spans="2:10" x14ac:dyDescent="0.2">
      <c r="B25" s="760"/>
      <c r="C25" s="16" t="s">
        <v>332</v>
      </c>
      <c r="D25" s="527">
        <v>60</v>
      </c>
      <c r="E25" s="528">
        <v>65</v>
      </c>
      <c r="F25" s="171" t="e">
        <f t="shared" si="0"/>
        <v>#N/A</v>
      </c>
      <c r="G25" s="71"/>
      <c r="H25" s="9"/>
      <c r="I25" s="9"/>
      <c r="J25" s="9"/>
    </row>
    <row r="26" spans="2:10" x14ac:dyDescent="0.2">
      <c r="B26" s="760"/>
      <c r="C26" s="16" t="s">
        <v>509</v>
      </c>
      <c r="D26" s="527" t="b">
        <f>DJS&lt;ProtectDate</f>
        <v>1</v>
      </c>
      <c r="E26" s="528" t="b">
        <f>D26</f>
        <v>1</v>
      </c>
      <c r="F26" s="171" t="b">
        <f>D26</f>
        <v>1</v>
      </c>
      <c r="G26" s="71"/>
      <c r="H26" s="9"/>
      <c r="I26" s="9"/>
      <c r="J26" s="9"/>
    </row>
    <row r="27" spans="2:10" x14ac:dyDescent="0.2">
      <c r="B27" s="760"/>
      <c r="C27" s="16" t="s">
        <v>327</v>
      </c>
      <c r="D27" s="398">
        <f>(ProtectDate-DoB)/DoY</f>
        <v>112.25188227241615</v>
      </c>
      <c r="E27" s="367">
        <f>(ProtectDate-DoB)/DoY</f>
        <v>112.25188227241615</v>
      </c>
      <c r="F27" s="185" t="e">
        <f t="shared" si="0"/>
        <v>#N/A</v>
      </c>
      <c r="G27" s="71"/>
      <c r="H27" s="9"/>
      <c r="I27" s="9"/>
      <c r="J27" s="9"/>
    </row>
    <row r="28" spans="2:10" x14ac:dyDescent="0.2">
      <c r="B28" s="760"/>
      <c r="C28" s="16" t="s">
        <v>328</v>
      </c>
      <c r="D28" s="398">
        <f>D25-D27</f>
        <v>-52.251882272416154</v>
      </c>
      <c r="E28" s="367">
        <f>E25-E27</f>
        <v>-47.251882272416154</v>
      </c>
      <c r="F28" s="185" t="e">
        <f t="shared" si="0"/>
        <v>#N/A</v>
      </c>
      <c r="G28" s="71"/>
      <c r="H28" s="9"/>
      <c r="I28" s="9"/>
      <c r="J28" s="9"/>
    </row>
    <row r="29" spans="2:10" x14ac:dyDescent="0.2">
      <c r="B29" s="760"/>
      <c r="C29" s="16" t="s">
        <v>329</v>
      </c>
      <c r="D29" s="368" t="b">
        <f>D28&lt;10</f>
        <v>1</v>
      </c>
      <c r="E29" s="369" t="b">
        <f>E28&lt;10</f>
        <v>1</v>
      </c>
      <c r="F29" s="138" t="e">
        <f t="shared" si="0"/>
        <v>#N/A</v>
      </c>
      <c r="G29" s="71"/>
      <c r="H29" s="9"/>
      <c r="I29" s="9"/>
      <c r="J29" s="9"/>
    </row>
    <row r="30" spans="2:10" x14ac:dyDescent="0.2">
      <c r="B30" s="760"/>
      <c r="C30" s="16" t="s">
        <v>330</v>
      </c>
      <c r="D30" s="368" t="b">
        <f>AND(D28&lt;=13.5,D28&gt;=10)</f>
        <v>0</v>
      </c>
      <c r="E30" s="369" t="b">
        <f>AND(E28&lt;=13.5,E28&gt;=10)</f>
        <v>0</v>
      </c>
      <c r="F30" s="138" t="e">
        <f t="shared" si="0"/>
        <v>#N/A</v>
      </c>
      <c r="G30" s="71"/>
      <c r="H30" s="9"/>
      <c r="I30" s="9"/>
      <c r="J30" s="9"/>
    </row>
    <row r="31" spans="2:10" x14ac:dyDescent="0.2">
      <c r="B31" s="760"/>
      <c r="C31" s="16" t="s">
        <v>331</v>
      </c>
      <c r="D31" s="368" t="b">
        <f>D28&gt;13.5</f>
        <v>0</v>
      </c>
      <c r="E31" s="369" t="b">
        <f>E28&gt;13.5</f>
        <v>0</v>
      </c>
      <c r="F31" s="138" t="e">
        <f t="shared" si="0"/>
        <v>#N/A</v>
      </c>
      <c r="G31" s="71"/>
      <c r="H31" s="9"/>
      <c r="I31" s="9"/>
      <c r="J31" s="9"/>
    </row>
    <row r="32" spans="2:10" x14ac:dyDescent="0.2">
      <c r="B32" s="760"/>
      <c r="C32" s="16" t="s">
        <v>69</v>
      </c>
      <c r="D32" s="112" t="str">
        <f>IF(D26=FALSE,"none",IF(D29=TRUE,"Full",IF(D30=TRUE,"Tapered",IF(D31=TRUE,"None"))))</f>
        <v>Full</v>
      </c>
      <c r="E32" s="9" t="str">
        <f>IF(E26=FALSE, "none",IF(E29=TRUE,"Full",IF(E30=TRUE,"Tapered",IF(E31=TRUE,"None"))))</f>
        <v>Full</v>
      </c>
      <c r="F32" s="89" t="e">
        <f t="shared" si="0"/>
        <v>#N/A</v>
      </c>
      <c r="G32" s="28" t="s">
        <v>441</v>
      </c>
      <c r="H32" s="9"/>
      <c r="I32" s="9"/>
      <c r="J32" s="9"/>
    </row>
    <row r="33" spans="2:11" ht="13.5" thickBot="1" x14ac:dyDescent="0.25">
      <c r="B33" s="759"/>
      <c r="C33" s="83" t="s">
        <v>77</v>
      </c>
      <c r="D33" s="229" t="str">
        <f>IF(D32="None",NewSchDate-1,IF(D32="Tapered",VLOOKUP(DoB,tapertab1,3,1),"N/A"))</f>
        <v>N/A</v>
      </c>
      <c r="E33" s="144" t="str">
        <f>IF(E32="None",NewSchDate-1,IF(E32="Tapered",VLOOKUP(DoB,tapertab2,3,1),"N/A"))</f>
        <v>N/A</v>
      </c>
      <c r="F33" s="145" t="e">
        <f t="shared" si="0"/>
        <v>#N/A</v>
      </c>
      <c r="G33" s="28" t="s">
        <v>441</v>
      </c>
      <c r="H33" s="9"/>
      <c r="I33" s="9"/>
      <c r="J33" s="9"/>
    </row>
    <row r="34" spans="2:11" x14ac:dyDescent="0.2">
      <c r="B34" s="758" t="s">
        <v>178</v>
      </c>
      <c r="C34" s="88" t="s">
        <v>187</v>
      </c>
      <c r="D34" s="113" t="str">
        <f>IF(OR(D32="Full",D23&lt;D33),"",IF(PT_Status="some Part-Time",Reck_Years+Reck_Days/DoY+MAX(0,(D33-DoStartSchYear)/DoY*future_PTP),MAX($D$18+((D33-ProtectDate)/DoY),0)))</f>
        <v/>
      </c>
      <c r="E34" s="114" t="str">
        <f>IF(OR(E32="Full",E23&lt;E33),"",IF(PT_Status="some Part-Time",Reck_Years+Reck_Days/DoY+MAX(0,(E33-DoStartSchYear)/DoY*future_PTP),MAX($D$18+((E33-ProtectDate)/DoY),0)))</f>
        <v/>
      </c>
      <c r="F34" s="115" t="e">
        <f>IF(DJS&gt;=NewSchDate,0,IF(CurrentScheme=Sch_60,D34,E34))</f>
        <v>#N/A</v>
      </c>
      <c r="G34" s="8"/>
      <c r="H34" s="62"/>
      <c r="I34" s="9"/>
      <c r="J34" s="9"/>
    </row>
    <row r="35" spans="2:11" x14ac:dyDescent="0.2">
      <c r="B35" s="760"/>
      <c r="C35" s="120" t="s">
        <v>186</v>
      </c>
      <c r="D35" s="113">
        <f>IF(D32="Full",IF(PT_Status="some Part-Time",Reck_Years+Reck_Days/DoY+MAX(0,(D23-DoStartSchYear)/DoY*future_PTP),ChosenRA-$D$10+$D$18),IF(D23&lt;D33,IF(PT_Status="some Part-Time",Reck_Years+Reck_Days/DoY+MAX(0,(D23-DoStartSchYear)/DoY*future_PTP),(D23-ProtectDate)/DoY+$D$18),""))</f>
        <v>0</v>
      </c>
      <c r="E35" s="114">
        <f>IF(E32="Full",IF(PT_Status="some Part-Time",Reck_Years+Reck_Days/DoY+MAX(0,(E23-DoStartSchYear)/DoY*future_PTP),ChosenRA-$D$10+$D$18),IF(E23&lt;E33,IF(PT_Status="some Part-Time",Reck_Years+Reck_Days/DoY+MAX(0,(E23-DoStartSchYear)/DoY*future_PTP),(E23-ProtectDate)/DoY+$D$18),""))</f>
        <v>0</v>
      </c>
      <c r="F35" s="115" t="e">
        <f>IF(DJS&gt;=NewSchDate,0,IF(CurrentScheme=Sch_60,D35,E35))</f>
        <v>#N/A</v>
      </c>
      <c r="G35" s="8"/>
      <c r="H35" s="9"/>
      <c r="I35" s="9"/>
      <c r="J35" s="9"/>
    </row>
    <row r="36" spans="2:11" x14ac:dyDescent="0.2">
      <c r="B36" s="760"/>
      <c r="C36" s="120" t="s">
        <v>184</v>
      </c>
      <c r="D36" s="113">
        <f>IF(D34="",D35,D34)</f>
        <v>0</v>
      </c>
      <c r="E36" s="114">
        <f>IF(E34="",E35,E34)</f>
        <v>0</v>
      </c>
      <c r="F36" s="115" t="e">
        <f>IF(DJS&gt;=NewSchDate,0,IF(CurrentScheme=Sch_60,D36,E36))</f>
        <v>#N/A</v>
      </c>
      <c r="H36" s="9"/>
      <c r="I36" s="9"/>
      <c r="J36" s="9"/>
    </row>
    <row r="37" spans="2:11" x14ac:dyDescent="0.2">
      <c r="B37" s="760"/>
      <c r="C37" s="120" t="s">
        <v>392</v>
      </c>
      <c r="D37" s="113"/>
      <c r="E37" s="63">
        <f>MIN(E36,E25-D13+TVinYears+TVinDays/DoY)</f>
        <v>0</v>
      </c>
      <c r="F37" s="115"/>
      <c r="H37" s="114"/>
      <c r="I37" s="9"/>
      <c r="J37" s="9"/>
    </row>
    <row r="38" spans="2:11" x14ac:dyDescent="0.2">
      <c r="B38" s="760"/>
      <c r="C38" s="120" t="s">
        <v>393</v>
      </c>
      <c r="D38" s="113"/>
      <c r="E38" s="114">
        <f>E36-E37</f>
        <v>0</v>
      </c>
      <c r="F38" s="115"/>
      <c r="H38" s="114"/>
      <c r="I38" s="9"/>
      <c r="J38" s="9"/>
    </row>
    <row r="39" spans="2:11" x14ac:dyDescent="0.2">
      <c r="B39" s="760"/>
      <c r="C39" s="120" t="s">
        <v>201</v>
      </c>
      <c r="D39" s="113">
        <f ca="1">ChosenRA-age_exact</f>
        <v>-118.25051334702259</v>
      </c>
      <c r="E39" s="114">
        <f ca="1">ChosenRA-age_exact</f>
        <v>-118.25051334702259</v>
      </c>
      <c r="F39" s="115" t="e">
        <f t="shared" ref="F39:F67" si="1">IF(CurrentScheme=Sch_60,D39,E39)</f>
        <v>#N/A</v>
      </c>
      <c r="H39" s="9"/>
      <c r="I39" s="9"/>
      <c r="J39" s="9"/>
    </row>
    <row r="40" spans="2:11" ht="13.5" thickBot="1" x14ac:dyDescent="0.25">
      <c r="B40" s="759"/>
      <c r="C40" s="121" t="s">
        <v>185</v>
      </c>
      <c r="D40" s="545">
        <f>MIN(IF(PT_Status="some Part-Time",Reck_Years+Reck_Days/DoY+(DoR-DoStartSchYear)/DoY*future_PTP,ChosenRA-$D$10+$D$18),30)</f>
        <v>0</v>
      </c>
      <c r="E40" s="546">
        <f>MIN(IF(PT_Status="some Part-Time",Reck_Years+Reck_Days/DoY+(DoR-DoStartSchYear)/DoY*future_PTP,ChosenRA-$D$10+$D$18),35)</f>
        <v>0</v>
      </c>
      <c r="F40" s="547" t="e">
        <f t="shared" si="1"/>
        <v>#N/A</v>
      </c>
      <c r="G40" s="71"/>
      <c r="H40" s="9"/>
      <c r="I40" s="9"/>
      <c r="J40" s="9"/>
    </row>
    <row r="41" spans="2:11" x14ac:dyDescent="0.2">
      <c r="B41" s="758" t="s">
        <v>180</v>
      </c>
      <c r="C41" s="88" t="s">
        <v>179</v>
      </c>
      <c r="D41" s="122">
        <f>CurrentSal</f>
        <v>0</v>
      </c>
      <c r="E41" s="123">
        <f>CurrentSal</f>
        <v>0</v>
      </c>
      <c r="F41" s="124" t="e">
        <f t="shared" si="1"/>
        <v>#N/A</v>
      </c>
      <c r="G41" s="28"/>
    </row>
    <row r="42" spans="2:11" x14ac:dyDescent="0.2">
      <c r="B42" s="760"/>
      <c r="C42" s="126" t="str">
        <f>"Project Salary - "&amp;basis1</f>
        <v>Project Salary - CPI + 0%</v>
      </c>
      <c r="D42" s="127">
        <f ca="1">D$41*(1+cpi_1)^D$39</f>
        <v>0</v>
      </c>
      <c r="E42" s="128">
        <f ca="1">E$41*(1+cpi_1)^E$39</f>
        <v>0</v>
      </c>
      <c r="F42" s="129" t="e">
        <f t="shared" si="1"/>
        <v>#N/A</v>
      </c>
      <c r="G42" s="28"/>
    </row>
    <row r="43" spans="2:11" x14ac:dyDescent="0.2">
      <c r="B43" s="760"/>
      <c r="C43" s="82" t="str">
        <f>"Project Salary - "&amp;basis2</f>
        <v>Project Salary - CPI + 1%</v>
      </c>
      <c r="D43" s="118">
        <f ca="1">D$41*(1+cpi_2)^D$39</f>
        <v>0</v>
      </c>
      <c r="E43" s="119">
        <f ca="1">E$41*(1+cpi_2)^E$39</f>
        <v>0</v>
      </c>
      <c r="F43" s="79" t="e">
        <f t="shared" si="1"/>
        <v>#N/A</v>
      </c>
      <c r="G43" s="28"/>
    </row>
    <row r="44" spans="2:11" x14ac:dyDescent="0.2">
      <c r="B44" s="760"/>
      <c r="C44" s="130" t="str">
        <f>"Project Salary - "&amp;basis3</f>
        <v>Project Salary - CPI + 2%</v>
      </c>
      <c r="D44" s="131">
        <f ca="1">D$41*(1+cpi_3)^D$39</f>
        <v>0</v>
      </c>
      <c r="E44" s="132">
        <f ca="1">E$41*(1+cpi_3)^E$39</f>
        <v>0</v>
      </c>
      <c r="F44" s="133" t="e">
        <f t="shared" si="1"/>
        <v>#N/A</v>
      </c>
      <c r="G44" s="28"/>
    </row>
    <row r="45" spans="2:11" x14ac:dyDescent="0.2">
      <c r="B45" s="760"/>
      <c r="C45" s="120" t="str">
        <f>"Discount Projected Salary - "&amp;basis1</f>
        <v>Discount Projected Salary - CPI + 0%</v>
      </c>
      <c r="D45" s="118">
        <f ca="1">D42/((1+cpi)^D$39)*(1+cpi)^((Date_curr-DoStartSchYear)/DoY)</f>
        <v>0</v>
      </c>
      <c r="E45" s="119">
        <f t="shared" ref="E45:E47" ca="1" si="2">E42/((1+cpi)^E$39)*(1+cpi)^((Date_curr-DoStartSchYear)/DoY)</f>
        <v>0</v>
      </c>
      <c r="F45" s="79" t="e">
        <f t="shared" si="1"/>
        <v>#N/A</v>
      </c>
      <c r="G45" s="467" t="e">
        <f ca="1">E45/E42</f>
        <v>#DIV/0!</v>
      </c>
    </row>
    <row r="46" spans="2:11" x14ac:dyDescent="0.2">
      <c r="B46" s="760"/>
      <c r="C46" s="120" t="str">
        <f>"Discount Projected Salary - "&amp;basis2</f>
        <v>Discount Projected Salary - CPI + 1%</v>
      </c>
      <c r="D46" s="118">
        <f ca="1">D43/((1+cpi)^D$39)*(1+cpi)^((Date_curr-DoStartSchYear)/DoY)</f>
        <v>0</v>
      </c>
      <c r="E46" s="119">
        <f t="shared" ca="1" si="2"/>
        <v>0</v>
      </c>
      <c r="F46" s="79" t="e">
        <f t="shared" si="1"/>
        <v>#N/A</v>
      </c>
      <c r="G46" s="467" t="e">
        <f t="shared" ref="G46:G47" ca="1" si="3">E46/E43</f>
        <v>#DIV/0!</v>
      </c>
    </row>
    <row r="47" spans="2:11" ht="13.5" thickBot="1" x14ac:dyDescent="0.25">
      <c r="B47" s="759"/>
      <c r="C47" s="121" t="str">
        <f>"Discount Projected Salary - "&amp;basis3</f>
        <v>Discount Projected Salary - CPI + 2%</v>
      </c>
      <c r="D47" s="99">
        <f ca="1">D44/((1+cpi)^D$39)*(1+cpi)^((Date_curr-DoStartSchYear)/DoY)</f>
        <v>0</v>
      </c>
      <c r="E47" s="125">
        <f t="shared" ca="1" si="2"/>
        <v>0</v>
      </c>
      <c r="F47" s="80" t="e">
        <f t="shared" si="1"/>
        <v>#N/A</v>
      </c>
      <c r="G47" s="467" t="e">
        <f t="shared" ca="1" si="3"/>
        <v>#DIV/0!</v>
      </c>
      <c r="K47" s="71" t="s">
        <v>413</v>
      </c>
    </row>
    <row r="48" spans="2:11" x14ac:dyDescent="0.2">
      <c r="B48" s="758" t="s">
        <v>394</v>
      </c>
      <c r="C48" s="120" t="s">
        <v>386</v>
      </c>
      <c r="D48" s="118"/>
      <c r="E48" s="119">
        <f ca="1">IF($E$37="",0,$E$37*E45*Acc_Sch65)</f>
        <v>0</v>
      </c>
      <c r="F48" s="79"/>
      <c r="J48" s="71" t="s">
        <v>386</v>
      </c>
      <c r="K48" s="289">
        <f ca="1">IF($E$37="",0,$E$37*E42*Acc_Sch65)</f>
        <v>0</v>
      </c>
    </row>
    <row r="49" spans="2:11" x14ac:dyDescent="0.2">
      <c r="B49" s="760"/>
      <c r="C49" s="120" t="s">
        <v>387</v>
      </c>
      <c r="D49" s="118"/>
      <c r="E49" s="119">
        <f ca="1">IF($E$37="",0,$E$37*E46*Acc_Sch65)</f>
        <v>0</v>
      </c>
      <c r="F49" s="79"/>
      <c r="J49" s="71" t="s">
        <v>387</v>
      </c>
      <c r="K49" s="289">
        <f ca="1">IF($E$37="",0,$E$37*E43*Acc_Sch65)</f>
        <v>0</v>
      </c>
    </row>
    <row r="50" spans="2:11" x14ac:dyDescent="0.2">
      <c r="B50" s="760"/>
      <c r="C50" s="120" t="s">
        <v>388</v>
      </c>
      <c r="D50" s="118"/>
      <c r="E50" s="119">
        <f ca="1">IF($E$37="",0,$E$37*E47*Acc_Sch65)</f>
        <v>0</v>
      </c>
      <c r="F50" s="79"/>
      <c r="J50" s="71" t="s">
        <v>388</v>
      </c>
      <c r="K50" s="289">
        <f ca="1">IF($E$37="",0,$E$37*E44*Acc_Sch65)</f>
        <v>0</v>
      </c>
    </row>
    <row r="51" spans="2:11" x14ac:dyDescent="0.2">
      <c r="B51" s="760"/>
      <c r="C51" s="120" t="s">
        <v>389</v>
      </c>
      <c r="D51" s="118"/>
      <c r="E51" s="119">
        <f ca="1">IF($E$38="",0,$E$38*E45*Acc_Sch65)</f>
        <v>0</v>
      </c>
      <c r="F51" s="79"/>
      <c r="J51" s="71" t="s">
        <v>389</v>
      </c>
      <c r="K51" s="289">
        <f ca="1">IF($E$38="",0,$E$38*E42*Acc_Sch65)</f>
        <v>0</v>
      </c>
    </row>
    <row r="52" spans="2:11" x14ac:dyDescent="0.2">
      <c r="B52" s="760"/>
      <c r="C52" s="120" t="s">
        <v>390</v>
      </c>
      <c r="D52" s="118"/>
      <c r="E52" s="119">
        <f ca="1">IF($E$38="",0,$E$38*E46*Acc_Sch65)</f>
        <v>0</v>
      </c>
      <c r="F52" s="79"/>
      <c r="J52" s="71" t="s">
        <v>390</v>
      </c>
      <c r="K52" s="289">
        <f ca="1">IF($E$38="",0,$E$38*E43*Acc_Sch65)</f>
        <v>0</v>
      </c>
    </row>
    <row r="53" spans="2:11" ht="13.5" thickBot="1" x14ac:dyDescent="0.25">
      <c r="B53" s="760"/>
      <c r="C53" s="120" t="s">
        <v>391</v>
      </c>
      <c r="D53" s="118"/>
      <c r="E53" s="119">
        <f ca="1">IF($E$38="",0,$E$38*E47*Acc_Sch65)</f>
        <v>0</v>
      </c>
      <c r="F53" s="79"/>
      <c r="G53" s="71" t="s">
        <v>420</v>
      </c>
      <c r="J53" s="71" t="s">
        <v>391</v>
      </c>
      <c r="K53" s="289">
        <f ca="1">IF($E$38="",0,$E$38*E44*Acc_Sch65)</f>
        <v>0</v>
      </c>
    </row>
    <row r="54" spans="2:11" x14ac:dyDescent="0.2">
      <c r="B54" s="758" t="s">
        <v>423</v>
      </c>
      <c r="C54" s="88" t="s">
        <v>257</v>
      </c>
      <c r="D54" s="122">
        <f>IFERROR(VLOOKUP(RA_Year,ERF_Sch60,RA_month+2,0),1)</f>
        <v>1</v>
      </c>
      <c r="E54" s="550">
        <f>IFERROR(VLOOKUP(RA_Year,ERF_Sch65,RA_month+2,FALSE),1)</f>
        <v>1</v>
      </c>
      <c r="F54" s="124" t="e">
        <f t="shared" si="1"/>
        <v>#N/A</v>
      </c>
      <c r="G54" s="71"/>
      <c r="J54" s="71"/>
      <c r="K54" s="289"/>
    </row>
    <row r="55" spans="2:11" ht="13.5" thickBot="1" x14ac:dyDescent="0.25">
      <c r="B55" s="759"/>
      <c r="C55" s="121" t="s">
        <v>292</v>
      </c>
      <c r="D55" s="549">
        <v>1</v>
      </c>
      <c r="E55" s="609">
        <f>IFERROR(VLOOKUP(RA_Year,LRF_Sch65,RA_month+2,FALSE),1)</f>
        <v>1</v>
      </c>
      <c r="F55" s="80" t="e">
        <f t="shared" si="1"/>
        <v>#N/A</v>
      </c>
      <c r="G55" s="71"/>
      <c r="J55" s="71"/>
      <c r="K55" s="289"/>
    </row>
    <row r="56" spans="2:11" x14ac:dyDescent="0.2">
      <c r="B56" s="760" t="s">
        <v>177</v>
      </c>
      <c r="C56" s="82" t="str">
        <f>"Pension - "&amp;basis1</f>
        <v>Pension - CPI + 0%</v>
      </c>
      <c r="D56" s="116">
        <f ca="1">IF($D$36="",0,Acc_Sch60*D45*$D$36)*$D$54</f>
        <v>0</v>
      </c>
      <c r="E56" s="378">
        <f ca="1">(E48*$E$55+E51)*$E$54</f>
        <v>0</v>
      </c>
      <c r="F56" s="79" t="e">
        <f t="shared" si="1"/>
        <v>#N/A</v>
      </c>
      <c r="G56" s="289">
        <f ca="1">IF($E$36="",0,$E$36*E45*Acc_Sch65*IF(ChosenRA&lt;65,$E$54,$E$55))</f>
        <v>0</v>
      </c>
      <c r="H56" s="289" t="b">
        <f ca="1">E56&lt;=G56</f>
        <v>1</v>
      </c>
      <c r="I56" s="28" t="s">
        <v>447</v>
      </c>
    </row>
    <row r="57" spans="2:11" x14ac:dyDescent="0.2">
      <c r="B57" s="760"/>
      <c r="C57" s="82" t="str">
        <f>"Pension - "&amp;basis2</f>
        <v>Pension - CPI + 1%</v>
      </c>
      <c r="D57" s="116">
        <f ca="1">IF($D$36="",0,Acc_Sch60*D46*$D$36)*$D$54</f>
        <v>0</v>
      </c>
      <c r="E57" s="378">
        <f t="shared" ref="E57:E58" ca="1" si="4">(E49*$E$55+E52)*$E$54</f>
        <v>0</v>
      </c>
      <c r="F57" s="79" t="e">
        <f t="shared" si="1"/>
        <v>#N/A</v>
      </c>
      <c r="G57" s="289">
        <f ca="1">IF($E$36="",0,$E$36*E46*Acc_Sch65*IF(ChosenRA&lt;65,$E$54,$E$55))</f>
        <v>0</v>
      </c>
      <c r="H57" s="289" t="b">
        <f t="shared" ref="H57:H58" ca="1" si="5">E57&lt;=G57</f>
        <v>1</v>
      </c>
      <c r="I57" s="28" t="s">
        <v>441</v>
      </c>
    </row>
    <row r="58" spans="2:11" x14ac:dyDescent="0.2">
      <c r="B58" s="760"/>
      <c r="C58" s="82" t="str">
        <f>"Pension - "&amp;basis3</f>
        <v>Pension - CPI + 2%</v>
      </c>
      <c r="D58" s="116">
        <f ca="1">IF($D$36="",0,Acc_Sch60*D47*$D$36)*$D$54</f>
        <v>0</v>
      </c>
      <c r="E58" s="378">
        <f t="shared" ca="1" si="4"/>
        <v>0</v>
      </c>
      <c r="F58" s="79" t="e">
        <f t="shared" si="1"/>
        <v>#N/A</v>
      </c>
      <c r="G58" s="289">
        <f ca="1">IF($E$36="",0,$E$36*E47*Acc_Sch65*IF(ChosenRA&lt;65,$E$54,$E$55))</f>
        <v>0</v>
      </c>
      <c r="H58" s="289" t="b">
        <f t="shared" ca="1" si="5"/>
        <v>1</v>
      </c>
      <c r="I58" s="28" t="s">
        <v>441</v>
      </c>
    </row>
    <row r="59" spans="2:11" x14ac:dyDescent="0.2">
      <c r="B59" s="760"/>
      <c r="C59" s="376" t="str">
        <f>"Lump Sum - "&amp;basis1</f>
        <v>Lump Sum - CPI + 0%</v>
      </c>
      <c r="D59" s="372">
        <f ca="1">IFERROR(Lump_Sch60*D56,0)</f>
        <v>0</v>
      </c>
      <c r="E59" s="377"/>
      <c r="F59" s="129" t="e">
        <f t="shared" si="1"/>
        <v>#N/A</v>
      </c>
      <c r="G59" s="76"/>
      <c r="H59" s="75"/>
    </row>
    <row r="60" spans="2:11" x14ac:dyDescent="0.2">
      <c r="B60" s="760"/>
      <c r="C60" s="90" t="str">
        <f>"Lump Sum - "&amp;basis2</f>
        <v>Lump Sum - CPI + 1%</v>
      </c>
      <c r="D60" s="116">
        <f ca="1">IFERROR(Lump_Sch60*D57,0)</f>
        <v>0</v>
      </c>
      <c r="E60" s="378"/>
      <c r="F60" s="79" t="e">
        <f t="shared" si="1"/>
        <v>#N/A</v>
      </c>
      <c r="G60" s="76"/>
      <c r="H60" s="75"/>
    </row>
    <row r="61" spans="2:11" ht="13.5" thickBot="1" x14ac:dyDescent="0.25">
      <c r="B61" s="759"/>
      <c r="C61" s="91" t="str">
        <f>"Lump Sum - "&amp;basis3</f>
        <v>Lump Sum - CPI + 2%</v>
      </c>
      <c r="D61" s="373">
        <f ca="1">IFERROR(Lump_Sch60*D58,0)</f>
        <v>0</v>
      </c>
      <c r="E61" s="379"/>
      <c r="F61" s="80" t="e">
        <f t="shared" si="1"/>
        <v>#N/A</v>
      </c>
      <c r="G61" s="28"/>
      <c r="H61" s="75"/>
      <c r="K61" s="71" t="s">
        <v>413</v>
      </c>
    </row>
    <row r="62" spans="2:11" x14ac:dyDescent="0.2">
      <c r="B62" s="758" t="s">
        <v>333</v>
      </c>
      <c r="C62" s="81" t="str">
        <f>"Nominal Pension - "&amp;basis1</f>
        <v>Nominal Pension - CPI + 0%</v>
      </c>
      <c r="D62" s="134">
        <f ca="1">IF($D$36="",0,Acc_Sch60*D42*$D$36)*$D$54</f>
        <v>0</v>
      </c>
      <c r="E62" s="371" t="e">
        <f ca="1">(E48*$E$55/G45+E51/G45)*$E$54</f>
        <v>#DIV/0!</v>
      </c>
      <c r="F62" s="124" t="e">
        <f t="shared" si="1"/>
        <v>#N/A</v>
      </c>
      <c r="G62" s="289" t="e">
        <f t="shared" ref="G62:H64" ca="1" si="6">D56*D42/D45</f>
        <v>#DIV/0!</v>
      </c>
      <c r="H62" s="289" t="e">
        <f t="shared" ca="1" si="6"/>
        <v>#DIV/0!</v>
      </c>
      <c r="I62" s="71" t="e">
        <f ca="1">AND(ROUND(D62,2)=ROUND(G62,2),ROUND(E62,2)=ROUND(H62,2))</f>
        <v>#DIV/0!</v>
      </c>
      <c r="J62" s="71" t="s">
        <v>410</v>
      </c>
      <c r="K62" s="289">
        <f ca="1">(K48*$E$55+K51)*$E$54</f>
        <v>0</v>
      </c>
    </row>
    <row r="63" spans="2:11" x14ac:dyDescent="0.2">
      <c r="B63" s="760"/>
      <c r="C63" s="82" t="str">
        <f>"Nominal Pension - "&amp;basis2</f>
        <v>Nominal Pension - CPI + 1%</v>
      </c>
      <c r="D63" s="116">
        <f ca="1">IF($D$36="",0,Acc_Sch60*D43*$D$36)*$D$54</f>
        <v>0</v>
      </c>
      <c r="E63" s="117" t="e">
        <f t="shared" ref="E63:E64" ca="1" si="7">(E49*$E$55/G46+E52/G46)*$E$54</f>
        <v>#DIV/0!</v>
      </c>
      <c r="F63" s="79" t="e">
        <f t="shared" si="1"/>
        <v>#N/A</v>
      </c>
      <c r="G63" s="289" t="e">
        <f t="shared" ca="1" si="6"/>
        <v>#DIV/0!</v>
      </c>
      <c r="H63" s="289" t="e">
        <f t="shared" ca="1" si="6"/>
        <v>#DIV/0!</v>
      </c>
      <c r="I63" s="71" t="e">
        <f t="shared" ref="I63:I64" ca="1" si="8">AND(ROUND(D63,2)=ROUND(G63,2),ROUND(E63,2)=ROUND(H63,2))</f>
        <v>#DIV/0!</v>
      </c>
      <c r="J63" s="71" t="s">
        <v>411</v>
      </c>
      <c r="K63" s="289">
        <f t="shared" ref="K63:K64" ca="1" si="9">(K49*$E$55+K52)*$E$54</f>
        <v>0</v>
      </c>
    </row>
    <row r="64" spans="2:11" x14ac:dyDescent="0.2">
      <c r="B64" s="760"/>
      <c r="C64" s="82" t="str">
        <f>"Nominal Pension - "&amp;basis3</f>
        <v>Nominal Pension - CPI + 2%</v>
      </c>
      <c r="D64" s="116">
        <f ca="1">IF($D$36="",0,Acc_Sch60*D44*$D$36)*$D$54</f>
        <v>0</v>
      </c>
      <c r="E64" s="117" t="e">
        <f t="shared" ca="1" si="7"/>
        <v>#DIV/0!</v>
      </c>
      <c r="F64" s="79" t="e">
        <f t="shared" si="1"/>
        <v>#N/A</v>
      </c>
      <c r="G64" s="289" t="e">
        <f t="shared" ca="1" si="6"/>
        <v>#DIV/0!</v>
      </c>
      <c r="H64" s="289" t="e">
        <f t="shared" ca="1" si="6"/>
        <v>#DIV/0!</v>
      </c>
      <c r="I64" s="71" t="e">
        <f t="shared" ca="1" si="8"/>
        <v>#DIV/0!</v>
      </c>
      <c r="J64" s="71" t="s">
        <v>412</v>
      </c>
      <c r="K64" s="289">
        <f t="shared" ca="1" si="9"/>
        <v>0</v>
      </c>
    </row>
    <row r="65" spans="2:8" x14ac:dyDescent="0.2">
      <c r="B65" s="760"/>
      <c r="C65" s="126" t="str">
        <f>"Nominal Lump Sum - "&amp;basis1</f>
        <v>Nominal Lump Sum - CPI + 0%</v>
      </c>
      <c r="D65" s="372">
        <f ca="1">IFERROR(Lump_Sch60*D62,0)</f>
        <v>0</v>
      </c>
      <c r="E65" s="128"/>
      <c r="F65" s="129" t="e">
        <f t="shared" si="1"/>
        <v>#N/A</v>
      </c>
    </row>
    <row r="66" spans="2:8" x14ac:dyDescent="0.2">
      <c r="B66" s="760"/>
      <c r="C66" s="82" t="str">
        <f>"Nominal `Lump Sum - "&amp;basis2</f>
        <v>Nominal `Lump Sum - CPI + 1%</v>
      </c>
      <c r="D66" s="116">
        <f ca="1">IFERROR(Lump_Sch60*D63,0)</f>
        <v>0</v>
      </c>
      <c r="E66" s="117"/>
      <c r="F66" s="79" t="e">
        <f t="shared" si="1"/>
        <v>#N/A</v>
      </c>
    </row>
    <row r="67" spans="2:8" ht="13.5" thickBot="1" x14ac:dyDescent="0.25">
      <c r="B67" s="759"/>
      <c r="C67" s="83" t="str">
        <f>"Nominal Lump Sum - "&amp;basis3</f>
        <v>Nominal Lump Sum - CPI + 2%</v>
      </c>
      <c r="D67" s="373">
        <f ca="1">IFERROR(Lump_Sch60*D64,0)</f>
        <v>0</v>
      </c>
      <c r="E67" s="374"/>
      <c r="F67" s="80" t="e">
        <f t="shared" si="1"/>
        <v>#N/A</v>
      </c>
    </row>
    <row r="69" spans="2:8" ht="13.5" thickBot="1" x14ac:dyDescent="0.25">
      <c r="G69" t="s">
        <v>63</v>
      </c>
      <c r="H69" t="s">
        <v>66</v>
      </c>
    </row>
    <row r="70" spans="2:8" ht="13.5" thickBot="1" x14ac:dyDescent="0.25">
      <c r="C70" s="97" t="s">
        <v>312</v>
      </c>
      <c r="D70" s="530">
        <f>D36</f>
        <v>0</v>
      </c>
      <c r="E70" s="444">
        <f>E36</f>
        <v>0</v>
      </c>
      <c r="F70" s="531" t="e">
        <f>IF(Scheme_Full="2015 Scheme",0,IF(CurrentScheme=Sch_60,D70,E70))</f>
        <v>#N/A</v>
      </c>
      <c r="G70" s="75" t="e">
        <f>INT(F70)</f>
        <v>#N/A</v>
      </c>
      <c r="H70" t="e">
        <f>INT((F70-G70)*365)</f>
        <v>#N/A</v>
      </c>
    </row>
    <row r="74" spans="2:8" x14ac:dyDescent="0.2">
      <c r="B74" s="9"/>
      <c r="C74" s="9"/>
      <c r="D74" s="16"/>
    </row>
    <row r="75" spans="2:8" x14ac:dyDescent="0.2">
      <c r="B75" s="480"/>
      <c r="C75" s="16"/>
      <c r="D75" s="137"/>
      <c r="E75" s="114"/>
      <c r="F75" s="9"/>
    </row>
    <row r="76" spans="2:8" x14ac:dyDescent="0.2">
      <c r="B76" s="480"/>
      <c r="C76" s="16"/>
      <c r="D76" s="137"/>
      <c r="E76" s="114"/>
      <c r="F76" s="9"/>
    </row>
    <row r="77" spans="2:8" x14ac:dyDescent="0.2">
      <c r="B77" s="480"/>
      <c r="C77" s="16"/>
      <c r="D77" s="137"/>
      <c r="E77" s="114"/>
      <c r="F77" s="9"/>
    </row>
    <row r="78" spans="2:8" x14ac:dyDescent="0.2">
      <c r="B78" s="480"/>
      <c r="C78" s="16"/>
      <c r="D78" s="137"/>
      <c r="E78" s="114"/>
      <c r="F78" s="9"/>
    </row>
    <row r="79" spans="2:8" x14ac:dyDescent="0.2">
      <c r="B79" s="480"/>
      <c r="C79" s="16"/>
      <c r="D79" s="68"/>
      <c r="E79" s="114"/>
      <c r="F79" s="9"/>
    </row>
    <row r="80" spans="2:8" x14ac:dyDescent="0.2">
      <c r="B80" s="480"/>
      <c r="C80" s="16"/>
      <c r="D80" s="68"/>
      <c r="E80" s="114"/>
      <c r="F80" s="9"/>
    </row>
    <row r="81" spans="2:4" x14ac:dyDescent="0.2">
      <c r="B81" s="9"/>
      <c r="C81" s="9"/>
      <c r="D81" s="9"/>
    </row>
    <row r="82" spans="2:4" x14ac:dyDescent="0.2">
      <c r="B82" s="9"/>
      <c r="C82" s="9"/>
      <c r="D82" s="9"/>
    </row>
  </sheetData>
  <mergeCells count="7">
    <mergeCell ref="B54:B55"/>
    <mergeCell ref="B62:B67"/>
    <mergeCell ref="B24:B33"/>
    <mergeCell ref="B34:B40"/>
    <mergeCell ref="B56:B61"/>
    <mergeCell ref="B41:B47"/>
    <mergeCell ref="B48:B53"/>
  </mergeCells>
  <phoneticPr fontId="30" type="noConversion"/>
  <pageMargins left="0.70866141732283472" right="0.70866141732283472" top="0.74803149606299213" bottom="0.74803149606299213" header="0.31496062992125984" footer="0.31496062992125984"/>
  <pageSetup paperSize="9" scale="56" orientation="portrait" r:id="rId1"/>
  <headerFooter>
    <oddHeader>&amp;CPROTECT - SCHEME MANAGEMENT&amp;L_x000D_&amp;Z&amp;F  [&amp;A]</oddHeader>
    <oddFooter>&amp;LPage &amp;P of &amp;N&amp;R&amp;T &amp;D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T35"/>
  <sheetViews>
    <sheetView topLeftCell="A16" workbookViewId="0">
      <selection activeCell="C16" sqref="C16:O16"/>
    </sheetView>
  </sheetViews>
  <sheetFormatPr defaultRowHeight="12.75" x14ac:dyDescent="0.2"/>
  <cols>
    <col min="2" max="2" width="34" bestFit="1" customWidth="1"/>
    <col min="3" max="20" width="14.7109375" customWidth="1"/>
  </cols>
  <sheetData>
    <row r="1" spans="1:9" ht="20.25" x14ac:dyDescent="0.3">
      <c r="A1" s="13" t="s">
        <v>18</v>
      </c>
      <c r="B1" s="12"/>
      <c r="C1" s="12"/>
      <c r="D1" s="12"/>
      <c r="E1" s="12"/>
      <c r="F1" s="12"/>
      <c r="G1" s="12"/>
      <c r="H1" s="12"/>
      <c r="I1" s="12"/>
    </row>
    <row r="2" spans="1:9" ht="15.75" x14ac:dyDescent="0.25">
      <c r="A2" s="27" t="str">
        <f>IF(title="&gt; Enter workbook title here","Enter workbook title in Cover sheet",title)</f>
        <v>Scottish Fire pension  projection calculator</v>
      </c>
      <c r="B2" s="11"/>
      <c r="C2" s="11"/>
      <c r="D2" s="11"/>
      <c r="E2" s="11"/>
      <c r="F2" s="11"/>
      <c r="G2" s="11"/>
      <c r="H2" s="11"/>
      <c r="I2" s="11"/>
    </row>
    <row r="3" spans="1:9" ht="15.75" x14ac:dyDescent="0.25">
      <c r="A3" s="64" t="s">
        <v>151</v>
      </c>
      <c r="B3" s="11"/>
      <c r="C3" s="11"/>
      <c r="D3" s="11"/>
      <c r="E3" s="11"/>
      <c r="F3" s="11"/>
      <c r="G3" s="11"/>
      <c r="H3" s="11"/>
      <c r="I3" s="11"/>
    </row>
    <row r="4" spans="1:9" x14ac:dyDescent="0.2">
      <c r="A4" s="7" t="str">
        <f ca="1">CELL("filename",A1)</f>
        <v>C:\Users\U209873\AppData\Local\Microsoft\Windows\INetCache\Content.Outlook\QF7PK4UP\[180515PenCalcSTSSv2 1.xlsx]Past Service CARE Calcs</v>
      </c>
    </row>
    <row r="6" spans="1:9" x14ac:dyDescent="0.2">
      <c r="B6" s="28" t="s">
        <v>455</v>
      </c>
      <c r="C6" s="58" t="e">
        <f>DoProtEnd</f>
        <v>#N/A</v>
      </c>
    </row>
    <row r="7" spans="1:9" x14ac:dyDescent="0.2">
      <c r="B7" s="28" t="s">
        <v>94</v>
      </c>
      <c r="C7" s="8">
        <f>DJS</f>
        <v>0</v>
      </c>
    </row>
    <row r="8" spans="1:9" x14ac:dyDescent="0.2">
      <c r="B8" t="s">
        <v>456</v>
      </c>
      <c r="C8" s="8" t="e">
        <f>MAX(C6,C7)</f>
        <v>#N/A</v>
      </c>
    </row>
    <row r="17" spans="2:20" ht="13.5" thickBot="1" x14ac:dyDescent="0.25"/>
    <row r="18" spans="2:20" x14ac:dyDescent="0.2">
      <c r="B18" s="595"/>
      <c r="C18" s="104">
        <v>2015</v>
      </c>
      <c r="D18" s="104">
        <v>2016</v>
      </c>
      <c r="E18" s="104">
        <v>2017</v>
      </c>
      <c r="F18" s="104">
        <v>2018</v>
      </c>
      <c r="G18" s="104">
        <v>2019</v>
      </c>
      <c r="H18" s="104">
        <v>2020</v>
      </c>
      <c r="I18" s="104">
        <v>2021</v>
      </c>
      <c r="J18" s="104">
        <v>2022</v>
      </c>
      <c r="K18" s="104">
        <v>2023</v>
      </c>
      <c r="L18" s="104">
        <v>2024</v>
      </c>
      <c r="M18" s="104">
        <v>2025</v>
      </c>
      <c r="N18" s="104">
        <v>2026</v>
      </c>
      <c r="O18" s="104">
        <v>2027</v>
      </c>
      <c r="P18" s="104">
        <v>2028</v>
      </c>
      <c r="Q18" s="104">
        <v>2029</v>
      </c>
      <c r="R18" s="104">
        <v>2030</v>
      </c>
      <c r="S18" s="104">
        <v>2031</v>
      </c>
      <c r="T18" s="104">
        <v>2032</v>
      </c>
    </row>
    <row r="19" spans="2:20" x14ac:dyDescent="0.2">
      <c r="B19" s="595" t="s">
        <v>457</v>
      </c>
      <c r="C19" s="596">
        <f>DATE(C18,4,1)</f>
        <v>42095</v>
      </c>
      <c r="D19" s="596">
        <f>DATE(D18,4,1)</f>
        <v>42461</v>
      </c>
      <c r="E19" s="596">
        <f t="shared" ref="E19:T19" si="0">DATE(E18,4,1)</f>
        <v>42826</v>
      </c>
      <c r="F19" s="596">
        <f t="shared" si="0"/>
        <v>43191</v>
      </c>
      <c r="G19" s="596">
        <f t="shared" si="0"/>
        <v>43556</v>
      </c>
      <c r="H19" s="596">
        <f t="shared" si="0"/>
        <v>43922</v>
      </c>
      <c r="I19" s="596">
        <f t="shared" si="0"/>
        <v>44287</v>
      </c>
      <c r="J19" s="596">
        <f t="shared" si="0"/>
        <v>44652</v>
      </c>
      <c r="K19" s="596">
        <f t="shared" si="0"/>
        <v>45017</v>
      </c>
      <c r="L19" s="596">
        <f t="shared" si="0"/>
        <v>45383</v>
      </c>
      <c r="M19" s="596">
        <f t="shared" si="0"/>
        <v>45748</v>
      </c>
      <c r="N19" s="596">
        <f t="shared" si="0"/>
        <v>46113</v>
      </c>
      <c r="O19" s="596">
        <f t="shared" si="0"/>
        <v>46478</v>
      </c>
      <c r="P19" s="596">
        <f t="shared" si="0"/>
        <v>46844</v>
      </c>
      <c r="Q19" s="596">
        <f t="shared" si="0"/>
        <v>47209</v>
      </c>
      <c r="R19" s="596">
        <f t="shared" si="0"/>
        <v>47574</v>
      </c>
      <c r="S19" s="596">
        <f t="shared" si="0"/>
        <v>47939</v>
      </c>
      <c r="T19" s="597">
        <f t="shared" si="0"/>
        <v>48305</v>
      </c>
    </row>
    <row r="20" spans="2:20" x14ac:dyDescent="0.2">
      <c r="B20" s="598" t="s">
        <v>458</v>
      </c>
      <c r="C20" s="137">
        <f>DATE(C18+1,3,31)</f>
        <v>42460</v>
      </c>
      <c r="D20" s="137">
        <f t="shared" ref="D20:T20" si="1">DATE(D18+1,3,31)</f>
        <v>42825</v>
      </c>
      <c r="E20" s="137">
        <f t="shared" si="1"/>
        <v>43190</v>
      </c>
      <c r="F20" s="137">
        <f t="shared" si="1"/>
        <v>43555</v>
      </c>
      <c r="G20" s="137">
        <f t="shared" si="1"/>
        <v>43921</v>
      </c>
      <c r="H20" s="137">
        <f t="shared" si="1"/>
        <v>44286</v>
      </c>
      <c r="I20" s="137">
        <f t="shared" si="1"/>
        <v>44651</v>
      </c>
      <c r="J20" s="137">
        <f t="shared" si="1"/>
        <v>45016</v>
      </c>
      <c r="K20" s="137">
        <f t="shared" si="1"/>
        <v>45382</v>
      </c>
      <c r="L20" s="137">
        <f t="shared" si="1"/>
        <v>45747</v>
      </c>
      <c r="M20" s="137">
        <f t="shared" si="1"/>
        <v>46112</v>
      </c>
      <c r="N20" s="137">
        <f t="shared" si="1"/>
        <v>46477</v>
      </c>
      <c r="O20" s="137">
        <f t="shared" si="1"/>
        <v>46843</v>
      </c>
      <c r="P20" s="137">
        <f t="shared" si="1"/>
        <v>47208</v>
      </c>
      <c r="Q20" s="137">
        <f t="shared" si="1"/>
        <v>47573</v>
      </c>
      <c r="R20" s="137">
        <f t="shared" si="1"/>
        <v>47938</v>
      </c>
      <c r="S20" s="137">
        <f t="shared" si="1"/>
        <v>48304</v>
      </c>
      <c r="T20" s="599">
        <f t="shared" si="1"/>
        <v>48669</v>
      </c>
    </row>
    <row r="21" spans="2:20" x14ac:dyDescent="0.2">
      <c r="B21" s="600" t="s">
        <v>459</v>
      </c>
      <c r="C21" s="9" t="b">
        <f t="shared" ref="C21:T21" ca="1" si="2">Date_curr&gt;C20</f>
        <v>1</v>
      </c>
      <c r="D21" s="9" t="b">
        <f t="shared" ca="1" si="2"/>
        <v>1</v>
      </c>
      <c r="E21" s="9" t="b">
        <f t="shared" ca="1" si="2"/>
        <v>1</v>
      </c>
      <c r="F21" s="9" t="b">
        <f t="shared" ca="1" si="2"/>
        <v>0</v>
      </c>
      <c r="G21" s="9" t="b">
        <f t="shared" ca="1" si="2"/>
        <v>0</v>
      </c>
      <c r="H21" s="9" t="b">
        <f t="shared" ca="1" si="2"/>
        <v>0</v>
      </c>
      <c r="I21" s="9" t="b">
        <f t="shared" ca="1" si="2"/>
        <v>0</v>
      </c>
      <c r="J21" s="9" t="b">
        <f t="shared" ca="1" si="2"/>
        <v>0</v>
      </c>
      <c r="K21" s="9" t="b">
        <f t="shared" ca="1" si="2"/>
        <v>0</v>
      </c>
      <c r="L21" s="9" t="b">
        <f t="shared" ca="1" si="2"/>
        <v>0</v>
      </c>
      <c r="M21" s="9" t="b">
        <f t="shared" ca="1" si="2"/>
        <v>0</v>
      </c>
      <c r="N21" s="9" t="b">
        <f t="shared" ca="1" si="2"/>
        <v>0</v>
      </c>
      <c r="O21" s="9" t="b">
        <f t="shared" ca="1" si="2"/>
        <v>0</v>
      </c>
      <c r="P21" s="9" t="b">
        <f t="shared" ca="1" si="2"/>
        <v>0</v>
      </c>
      <c r="Q21" s="9" t="b">
        <f t="shared" ca="1" si="2"/>
        <v>0</v>
      </c>
      <c r="R21" s="9" t="b">
        <f t="shared" ca="1" si="2"/>
        <v>0</v>
      </c>
      <c r="S21" s="9" t="b">
        <f t="shared" ca="1" si="2"/>
        <v>0</v>
      </c>
      <c r="T21" s="603" t="b">
        <f t="shared" ca="1" si="2"/>
        <v>0</v>
      </c>
    </row>
    <row r="22" spans="2:20" ht="25.5" x14ac:dyDescent="0.2">
      <c r="B22" s="601" t="s">
        <v>460</v>
      </c>
      <c r="C22" s="9" t="b">
        <f>$C17&lt;D19</f>
        <v>1</v>
      </c>
      <c r="D22" s="9" t="b">
        <f t="shared" ref="D22:T22" si="3">$C17&lt;E19</f>
        <v>1</v>
      </c>
      <c r="E22" s="9" t="b">
        <f t="shared" si="3"/>
        <v>1</v>
      </c>
      <c r="F22" s="9" t="b">
        <f t="shared" si="3"/>
        <v>1</v>
      </c>
      <c r="G22" s="9" t="b">
        <f t="shared" si="3"/>
        <v>1</v>
      </c>
      <c r="H22" s="9" t="b">
        <f t="shared" si="3"/>
        <v>1</v>
      </c>
      <c r="I22" s="9" t="b">
        <f t="shared" si="3"/>
        <v>1</v>
      </c>
      <c r="J22" s="9" t="b">
        <f t="shared" si="3"/>
        <v>1</v>
      </c>
      <c r="K22" s="9" t="b">
        <f t="shared" si="3"/>
        <v>1</v>
      </c>
      <c r="L22" s="9" t="b">
        <f t="shared" si="3"/>
        <v>1</v>
      </c>
      <c r="M22" s="9" t="b">
        <f t="shared" si="3"/>
        <v>1</v>
      </c>
      <c r="N22" s="9" t="b">
        <f t="shared" si="3"/>
        <v>1</v>
      </c>
      <c r="O22" s="9" t="b">
        <f t="shared" si="3"/>
        <v>1</v>
      </c>
      <c r="P22" s="9" t="b">
        <f t="shared" si="3"/>
        <v>1</v>
      </c>
      <c r="Q22" s="9" t="b">
        <f t="shared" si="3"/>
        <v>1</v>
      </c>
      <c r="R22" s="9" t="b">
        <f t="shared" si="3"/>
        <v>1</v>
      </c>
      <c r="S22" s="9" t="b">
        <f t="shared" si="3"/>
        <v>1</v>
      </c>
      <c r="T22" s="603" t="b">
        <f t="shared" si="3"/>
        <v>0</v>
      </c>
    </row>
    <row r="23" spans="2:20" x14ac:dyDescent="0.2">
      <c r="B23" s="600" t="s">
        <v>461</v>
      </c>
      <c r="C23" s="114" t="e">
        <f>MAX(0,MIN(C20,DoR)-C8)/365.25</f>
        <v>#N/A</v>
      </c>
      <c r="D23" s="114" t="e">
        <f t="shared" ref="D23:T23" si="4">MAX(0,MIN(D20,DoR)-MAX(C20,C$8))/365.25</f>
        <v>#N/A</v>
      </c>
      <c r="E23" s="114">
        <f t="shared" si="4"/>
        <v>0.99931553730321698</v>
      </c>
      <c r="F23" s="114">
        <f t="shared" si="4"/>
        <v>0.99931553730321698</v>
      </c>
      <c r="G23" s="114">
        <f t="shared" si="4"/>
        <v>1.0020533880903491</v>
      </c>
      <c r="H23" s="114">
        <f t="shared" si="4"/>
        <v>0.99931553730321698</v>
      </c>
      <c r="I23" s="114">
        <f t="shared" si="4"/>
        <v>0.99931553730321698</v>
      </c>
      <c r="J23" s="114">
        <f t="shared" si="4"/>
        <v>0.99931553730321698</v>
      </c>
      <c r="K23" s="114">
        <f t="shared" si="4"/>
        <v>1.0020533880903491</v>
      </c>
      <c r="L23" s="114">
        <f t="shared" si="4"/>
        <v>0.99931553730321698</v>
      </c>
      <c r="M23" s="114">
        <f t="shared" si="4"/>
        <v>0.99931553730321698</v>
      </c>
      <c r="N23" s="114">
        <f t="shared" si="4"/>
        <v>0.99931553730321698</v>
      </c>
      <c r="O23" s="114">
        <f t="shared" si="4"/>
        <v>1.0020533880903491</v>
      </c>
      <c r="P23" s="114">
        <f t="shared" si="4"/>
        <v>0.99931553730321698</v>
      </c>
      <c r="Q23" s="114">
        <f t="shared" si="4"/>
        <v>0.99931553730321698</v>
      </c>
      <c r="R23" s="114">
        <f t="shared" si="4"/>
        <v>0.99931553730321698</v>
      </c>
      <c r="S23" s="114">
        <f t="shared" si="4"/>
        <v>1.0020533880903491</v>
      </c>
      <c r="T23" s="114">
        <f t="shared" si="4"/>
        <v>0.99931553730321698</v>
      </c>
    </row>
    <row r="24" spans="2:20" x14ac:dyDescent="0.2">
      <c r="B24" s="602" t="s">
        <v>462</v>
      </c>
      <c r="C24" s="604" t="e">
        <f ca="1">IF(AND(C21,C22),C23,0)</f>
        <v>#N/A</v>
      </c>
      <c r="D24" s="604" t="e">
        <f ca="1">IF(AND(D21,D22),D23,0)</f>
        <v>#N/A</v>
      </c>
      <c r="E24" s="604">
        <f t="shared" ref="E24:T24" ca="1" si="5">IF(AND(E21,E22),E23,0)</f>
        <v>0.99931553730321698</v>
      </c>
      <c r="F24" s="604">
        <f t="shared" ca="1" si="5"/>
        <v>0</v>
      </c>
      <c r="G24" s="604">
        <f t="shared" ca="1" si="5"/>
        <v>0</v>
      </c>
      <c r="H24" s="604">
        <f t="shared" ca="1" si="5"/>
        <v>0</v>
      </c>
      <c r="I24" s="604">
        <f t="shared" ca="1" si="5"/>
        <v>0</v>
      </c>
      <c r="J24" s="604">
        <f t="shared" ca="1" si="5"/>
        <v>0</v>
      </c>
      <c r="K24" s="604">
        <f t="shared" ca="1" si="5"/>
        <v>0</v>
      </c>
      <c r="L24" s="604">
        <f t="shared" ca="1" si="5"/>
        <v>0</v>
      </c>
      <c r="M24" s="604">
        <f t="shared" ca="1" si="5"/>
        <v>0</v>
      </c>
      <c r="N24" s="604">
        <f t="shared" ca="1" si="5"/>
        <v>0</v>
      </c>
      <c r="O24" s="604">
        <f t="shared" ca="1" si="5"/>
        <v>0</v>
      </c>
      <c r="P24" s="604">
        <f t="shared" ca="1" si="5"/>
        <v>0</v>
      </c>
      <c r="Q24" s="604">
        <f t="shared" ca="1" si="5"/>
        <v>0</v>
      </c>
      <c r="R24" s="604">
        <f t="shared" ca="1" si="5"/>
        <v>0</v>
      </c>
      <c r="S24" s="604">
        <f t="shared" ca="1" si="5"/>
        <v>0</v>
      </c>
      <c r="T24" s="604">
        <f t="shared" ca="1" si="5"/>
        <v>0</v>
      </c>
    </row>
    <row r="25" spans="2:20" x14ac:dyDescent="0.2">
      <c r="B25" s="228" t="s">
        <v>463</v>
      </c>
      <c r="C25" s="605">
        <f t="shared" ref="C25:T25" ca="1" si="6">MAX(0,(DoStartSchYear-C19)/DoY)</f>
        <v>3.0006844626967832</v>
      </c>
      <c r="D25" s="605">
        <f t="shared" ca="1" si="6"/>
        <v>1.998631074606434</v>
      </c>
      <c r="E25" s="605">
        <f t="shared" ca="1" si="6"/>
        <v>0.99931553730321698</v>
      </c>
      <c r="F25" s="605">
        <f t="shared" ca="1" si="6"/>
        <v>0</v>
      </c>
      <c r="G25" s="605">
        <f t="shared" ca="1" si="6"/>
        <v>0</v>
      </c>
      <c r="H25" s="605">
        <f t="shared" ca="1" si="6"/>
        <v>0</v>
      </c>
      <c r="I25" s="605">
        <f t="shared" ca="1" si="6"/>
        <v>0</v>
      </c>
      <c r="J25" s="605">
        <f t="shared" ca="1" si="6"/>
        <v>0</v>
      </c>
      <c r="K25" s="605">
        <f t="shared" ca="1" si="6"/>
        <v>0</v>
      </c>
      <c r="L25" s="605">
        <f t="shared" ca="1" si="6"/>
        <v>0</v>
      </c>
      <c r="M25" s="605">
        <f t="shared" ca="1" si="6"/>
        <v>0</v>
      </c>
      <c r="N25" s="605">
        <f t="shared" ca="1" si="6"/>
        <v>0</v>
      </c>
      <c r="O25" s="605">
        <f t="shared" ca="1" si="6"/>
        <v>0</v>
      </c>
      <c r="P25" s="605">
        <f t="shared" ca="1" si="6"/>
        <v>0</v>
      </c>
      <c r="Q25" s="605">
        <f t="shared" ca="1" si="6"/>
        <v>0</v>
      </c>
      <c r="R25" s="605">
        <f t="shared" ca="1" si="6"/>
        <v>0</v>
      </c>
      <c r="S25" s="605">
        <f t="shared" ca="1" si="6"/>
        <v>0</v>
      </c>
      <c r="T25" s="605">
        <f t="shared" ca="1" si="6"/>
        <v>0</v>
      </c>
    </row>
    <row r="26" spans="2:20" ht="13.5" thickBot="1" x14ac:dyDescent="0.25">
      <c r="B26" s="228" t="s">
        <v>464</v>
      </c>
      <c r="C26" s="605">
        <f t="shared" ref="C26:T26" ca="1" si="7">CurrentSal/(1+cpi_2)^C25</f>
        <v>0</v>
      </c>
      <c r="D26" s="605">
        <f t="shared" ca="1" si="7"/>
        <v>0</v>
      </c>
      <c r="E26" s="605">
        <f t="shared" ca="1" si="7"/>
        <v>0</v>
      </c>
      <c r="F26" s="605">
        <f t="shared" ca="1" si="7"/>
        <v>0</v>
      </c>
      <c r="G26" s="605">
        <f t="shared" ca="1" si="7"/>
        <v>0</v>
      </c>
      <c r="H26" s="605">
        <f t="shared" ca="1" si="7"/>
        <v>0</v>
      </c>
      <c r="I26" s="605">
        <f t="shared" ca="1" si="7"/>
        <v>0</v>
      </c>
      <c r="J26" s="605">
        <f t="shared" ca="1" si="7"/>
        <v>0</v>
      </c>
      <c r="K26" s="605">
        <f t="shared" ca="1" si="7"/>
        <v>0</v>
      </c>
      <c r="L26" s="605">
        <f t="shared" ca="1" si="7"/>
        <v>0</v>
      </c>
      <c r="M26" s="605">
        <f t="shared" ca="1" si="7"/>
        <v>0</v>
      </c>
      <c r="N26" s="605">
        <f t="shared" ca="1" si="7"/>
        <v>0</v>
      </c>
      <c r="O26" s="605">
        <f t="shared" ca="1" si="7"/>
        <v>0</v>
      </c>
      <c r="P26" s="605">
        <f t="shared" ca="1" si="7"/>
        <v>0</v>
      </c>
      <c r="Q26" s="605">
        <f t="shared" ca="1" si="7"/>
        <v>0</v>
      </c>
      <c r="R26" s="605">
        <f t="shared" ca="1" si="7"/>
        <v>0</v>
      </c>
      <c r="S26" s="605">
        <f t="shared" ca="1" si="7"/>
        <v>0</v>
      </c>
      <c r="T26" s="605">
        <f t="shared" ca="1" si="7"/>
        <v>0</v>
      </c>
    </row>
    <row r="27" spans="2:20" x14ac:dyDescent="0.2">
      <c r="B27" s="136" t="s">
        <v>148</v>
      </c>
      <c r="C27" s="606" t="e">
        <f t="shared" ref="C27:T27" ca="1" si="8">C26*Acc_CARE*C24</f>
        <v>#N/A</v>
      </c>
      <c r="D27" s="606" t="e">
        <f t="shared" ca="1" si="8"/>
        <v>#N/A</v>
      </c>
      <c r="E27" s="606">
        <f t="shared" ca="1" si="8"/>
        <v>0</v>
      </c>
      <c r="F27" s="606">
        <f t="shared" ca="1" si="8"/>
        <v>0</v>
      </c>
      <c r="G27" s="606">
        <f t="shared" ca="1" si="8"/>
        <v>0</v>
      </c>
      <c r="H27" s="606">
        <f t="shared" ca="1" si="8"/>
        <v>0</v>
      </c>
      <c r="I27" s="606">
        <f t="shared" ca="1" si="8"/>
        <v>0</v>
      </c>
      <c r="J27" s="606">
        <f t="shared" ca="1" si="8"/>
        <v>0</v>
      </c>
      <c r="K27" s="606">
        <f t="shared" ca="1" si="8"/>
        <v>0</v>
      </c>
      <c r="L27" s="606">
        <f t="shared" ca="1" si="8"/>
        <v>0</v>
      </c>
      <c r="M27" s="606">
        <f t="shared" ca="1" si="8"/>
        <v>0</v>
      </c>
      <c r="N27" s="606">
        <f t="shared" ca="1" si="8"/>
        <v>0</v>
      </c>
      <c r="O27" s="606">
        <f t="shared" ca="1" si="8"/>
        <v>0</v>
      </c>
      <c r="P27" s="606">
        <f t="shared" ca="1" si="8"/>
        <v>0</v>
      </c>
      <c r="Q27" s="606">
        <f t="shared" ca="1" si="8"/>
        <v>0</v>
      </c>
      <c r="R27" s="606">
        <f t="shared" ca="1" si="8"/>
        <v>0</v>
      </c>
      <c r="S27" s="606">
        <f t="shared" ca="1" si="8"/>
        <v>0</v>
      </c>
      <c r="T27" s="606">
        <f t="shared" ca="1" si="8"/>
        <v>0</v>
      </c>
    </row>
    <row r="28" spans="2:20" ht="13.5" thickBot="1" x14ac:dyDescent="0.25">
      <c r="B28" s="169" t="s">
        <v>214</v>
      </c>
      <c r="C28" s="141" t="e">
        <f t="shared" ref="C28:T28" ca="1" si="9">C27*(1+care_rev)^((DoR-C20)/DoY)</f>
        <v>#N/A</v>
      </c>
      <c r="D28" s="141" t="e">
        <f t="shared" ca="1" si="9"/>
        <v>#N/A</v>
      </c>
      <c r="E28" s="141">
        <f t="shared" ca="1" si="9"/>
        <v>0</v>
      </c>
      <c r="F28" s="141">
        <f t="shared" ca="1" si="9"/>
        <v>0</v>
      </c>
      <c r="G28" s="141">
        <f t="shared" ca="1" si="9"/>
        <v>0</v>
      </c>
      <c r="H28" s="141">
        <f t="shared" ca="1" si="9"/>
        <v>0</v>
      </c>
      <c r="I28" s="141">
        <f t="shared" ca="1" si="9"/>
        <v>0</v>
      </c>
      <c r="J28" s="141">
        <f t="shared" ca="1" si="9"/>
        <v>0</v>
      </c>
      <c r="K28" s="141">
        <f t="shared" ca="1" si="9"/>
        <v>0</v>
      </c>
      <c r="L28" s="141">
        <f t="shared" ca="1" si="9"/>
        <v>0</v>
      </c>
      <c r="M28" s="141">
        <f t="shared" ca="1" si="9"/>
        <v>0</v>
      </c>
      <c r="N28" s="141">
        <f t="shared" ca="1" si="9"/>
        <v>0</v>
      </c>
      <c r="O28" s="141">
        <f t="shared" ca="1" si="9"/>
        <v>0</v>
      </c>
      <c r="P28" s="141">
        <f t="shared" ca="1" si="9"/>
        <v>0</v>
      </c>
      <c r="Q28" s="141">
        <f t="shared" ca="1" si="9"/>
        <v>0</v>
      </c>
      <c r="R28" s="141">
        <f t="shared" ca="1" si="9"/>
        <v>0</v>
      </c>
      <c r="S28" s="141">
        <f t="shared" ca="1" si="9"/>
        <v>0</v>
      </c>
      <c r="T28" s="141">
        <f t="shared" ca="1" si="9"/>
        <v>0</v>
      </c>
    </row>
    <row r="29" spans="2:20" x14ac:dyDescent="0.2">
      <c r="B29" s="228" t="s">
        <v>465</v>
      </c>
      <c r="C29" s="36" t="e">
        <f ca="1">SUM(C28:T28)</f>
        <v>#N/A</v>
      </c>
    </row>
    <row r="31" spans="2:20" x14ac:dyDescent="0.2">
      <c r="B31" s="26" t="s">
        <v>466</v>
      </c>
      <c r="C31" s="36">
        <f>Calculator!M44</f>
        <v>2000</v>
      </c>
    </row>
    <row r="32" spans="2:20" x14ac:dyDescent="0.2">
      <c r="B32" s="26" t="s">
        <v>467</v>
      </c>
      <c r="C32" s="8">
        <f>DATE(ABSEndDate1,4,1)</f>
        <v>42826</v>
      </c>
    </row>
    <row r="33" spans="2:3" x14ac:dyDescent="0.2">
      <c r="B33" s="26" t="s">
        <v>468</v>
      </c>
      <c r="C33" s="62">
        <f>C31*(1+care_rev)^((DoR-C32)/DoY)</f>
        <v>31.628622359842115</v>
      </c>
    </row>
    <row r="34" spans="2:3" x14ac:dyDescent="0.2">
      <c r="B34" s="26" t="s">
        <v>469</v>
      </c>
      <c r="C34" t="b">
        <f>Parameters!B103</f>
        <v>0</v>
      </c>
    </row>
    <row r="35" spans="2:3" x14ac:dyDescent="0.2">
      <c r="B35" s="26" t="s">
        <v>470</v>
      </c>
      <c r="C35" t="e">
        <f ca="1">IF(OR(ProtStatus="full",DoStartSchYear&lt;=DoProtEnd),0,IF(C34,C33,C29))</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P43"/>
  <sheetViews>
    <sheetView topLeftCell="A25" workbookViewId="0">
      <selection activeCell="G46" sqref="G46"/>
    </sheetView>
  </sheetViews>
  <sheetFormatPr defaultRowHeight="12.75" x14ac:dyDescent="0.2"/>
  <cols>
    <col min="2" max="2" width="30.28515625" customWidth="1"/>
    <col min="3" max="3" width="28" customWidth="1"/>
    <col min="4" max="4" width="12" customWidth="1"/>
    <col min="5" max="5" width="16.140625" customWidth="1"/>
    <col min="6" max="6" width="12" customWidth="1"/>
    <col min="7" max="7" width="59.42578125" customWidth="1"/>
    <col min="8" max="8" width="17.7109375" customWidth="1"/>
    <col min="9" max="9" width="10.140625" bestFit="1" customWidth="1"/>
  </cols>
  <sheetData>
    <row r="1" spans="1:16" ht="20.25" x14ac:dyDescent="0.3">
      <c r="A1" s="13" t="s">
        <v>18</v>
      </c>
      <c r="B1" s="12"/>
      <c r="C1" s="12"/>
      <c r="D1" s="12"/>
      <c r="E1" s="12"/>
      <c r="F1" s="12"/>
      <c r="G1" s="12"/>
      <c r="H1" s="12"/>
      <c r="I1" s="12"/>
    </row>
    <row r="2" spans="1:16" ht="15.75" x14ac:dyDescent="0.25">
      <c r="A2" s="27" t="str">
        <f>IF(title="&gt; Enter workbook title here","Enter workbook title in Cover sheet",title)</f>
        <v>Scottish Fire pension  projection calculator</v>
      </c>
      <c r="B2" s="11"/>
      <c r="C2" s="11"/>
      <c r="D2" s="11"/>
      <c r="E2" s="11"/>
      <c r="F2" s="11"/>
      <c r="G2" s="11"/>
      <c r="H2" s="11"/>
      <c r="I2" s="11"/>
    </row>
    <row r="3" spans="1:16" ht="15.75" x14ac:dyDescent="0.25">
      <c r="A3" s="64" t="s">
        <v>76</v>
      </c>
      <c r="B3" s="11"/>
      <c r="C3" s="11"/>
      <c r="D3" s="11"/>
      <c r="E3" s="11"/>
      <c r="F3" s="11"/>
      <c r="G3" s="11"/>
      <c r="H3" s="11"/>
      <c r="I3" s="11"/>
    </row>
    <row r="4" spans="1:16" x14ac:dyDescent="0.2">
      <c r="A4" s="7" t="str">
        <f ca="1">CELL("filename",A1)</f>
        <v>C:\Users\U209873\AppData\Local\Microsoft\Windows\INetCache\Content.Outlook\QF7PK4UP\[180515PenCalcSTSSv2 1.xlsx]CARE calcs</v>
      </c>
    </row>
    <row r="5" spans="1:16" x14ac:dyDescent="0.2">
      <c r="A5" s="7"/>
      <c r="G5" s="28"/>
    </row>
    <row r="6" spans="1:16" x14ac:dyDescent="0.2">
      <c r="A6" s="7"/>
      <c r="B6" s="614" t="s">
        <v>480</v>
      </c>
      <c r="C6" s="615" t="e">
        <f>MIN(MAX(DJS,DoProtEnd),DoR)</f>
        <v>#N/A</v>
      </c>
      <c r="D6" s="616"/>
      <c r="E6" s="616"/>
      <c r="F6" s="617"/>
      <c r="G6" s="71" t="s">
        <v>533</v>
      </c>
      <c r="N6" s="75"/>
      <c r="O6" s="75"/>
      <c r="P6" s="75"/>
    </row>
    <row r="7" spans="1:16" ht="38.25" x14ac:dyDescent="0.2">
      <c r="B7" s="618" t="s">
        <v>475</v>
      </c>
      <c r="C7" s="619">
        <f ca="1">DoStartSchYear</f>
        <v>43191</v>
      </c>
      <c r="D7" s="164" t="s">
        <v>491</v>
      </c>
      <c r="E7" s="9"/>
      <c r="F7" s="603"/>
      <c r="G7" s="166" t="s">
        <v>492</v>
      </c>
      <c r="N7" s="75"/>
      <c r="O7" s="75"/>
      <c r="P7" s="75"/>
    </row>
    <row r="8" spans="1:16" x14ac:dyDescent="0.2">
      <c r="B8" s="618" t="s">
        <v>449</v>
      </c>
      <c r="C8" s="164">
        <f ca="1">YEARFRAC(Date_curr, DoR)</f>
        <v>118.575</v>
      </c>
      <c r="D8" s="119"/>
      <c r="E8" s="9"/>
      <c r="F8" s="603"/>
      <c r="N8" s="75"/>
      <c r="O8" s="75"/>
    </row>
    <row r="9" spans="1:16" x14ac:dyDescent="0.2">
      <c r="B9" s="618" t="s">
        <v>476</v>
      </c>
      <c r="C9" s="620">
        <f ca="1">YEARFRAC(C7,DoR)</f>
        <v>118.25277777777778</v>
      </c>
      <c r="D9" s="164" t="s">
        <v>481</v>
      </c>
      <c r="E9" s="9"/>
      <c r="F9" s="621"/>
      <c r="N9" s="75"/>
      <c r="O9" s="75"/>
    </row>
    <row r="10" spans="1:16" x14ac:dyDescent="0.2">
      <c r="B10" s="618" t="s">
        <v>477</v>
      </c>
      <c r="C10" s="164" t="e">
        <f>YEARFRAC(C6,DoR)</f>
        <v>#N/A</v>
      </c>
      <c r="D10" s="164" t="s">
        <v>482</v>
      </c>
      <c r="E10" s="9"/>
      <c r="F10" s="603"/>
      <c r="G10" s="71"/>
      <c r="N10" s="75"/>
      <c r="O10" s="75"/>
    </row>
    <row r="11" spans="1:16" x14ac:dyDescent="0.2">
      <c r="B11" s="618" t="s">
        <v>478</v>
      </c>
      <c r="C11" s="164" t="e">
        <f>MAX(C19-C18,0)</f>
        <v>#N/A</v>
      </c>
      <c r="D11" s="119"/>
      <c r="E11" s="9"/>
      <c r="F11" s="603"/>
      <c r="G11" s="71"/>
      <c r="N11" s="75"/>
      <c r="O11" s="75"/>
    </row>
    <row r="12" spans="1:16" x14ac:dyDescent="0.2">
      <c r="B12" s="618" t="s">
        <v>479</v>
      </c>
      <c r="C12" s="164" t="e">
        <f>YEARFRAC(C6,DoR)</f>
        <v>#N/A</v>
      </c>
      <c r="D12" s="119"/>
      <c r="E12" s="9"/>
      <c r="F12" s="603"/>
      <c r="N12" s="75"/>
      <c r="O12" s="75"/>
    </row>
    <row r="13" spans="1:16" x14ac:dyDescent="0.2">
      <c r="B13" s="618" t="s">
        <v>483</v>
      </c>
      <c r="C13" s="164" t="e">
        <f ca="1">MAX(0,C9-C12)</f>
        <v>#N/A</v>
      </c>
      <c r="D13" s="9"/>
      <c r="E13" s="9"/>
      <c r="F13" s="603"/>
      <c r="G13" s="156"/>
      <c r="L13" s="9"/>
      <c r="N13" s="75"/>
      <c r="O13" s="75"/>
    </row>
    <row r="14" spans="1:16" x14ac:dyDescent="0.2">
      <c r="B14" s="622" t="s">
        <v>484</v>
      </c>
      <c r="C14" s="613">
        <f ca="1">INT(C9)</f>
        <v>118</v>
      </c>
      <c r="D14" s="146"/>
      <c r="E14" s="146"/>
      <c r="F14" s="603"/>
      <c r="G14" s="28"/>
      <c r="L14" s="9"/>
      <c r="N14" s="75"/>
      <c r="O14" s="75"/>
    </row>
    <row r="15" spans="1:16" x14ac:dyDescent="0.2">
      <c r="B15" s="622" t="s">
        <v>485</v>
      </c>
      <c r="C15" s="165">
        <f ca="1">C9-C14</f>
        <v>0.25277777777777999</v>
      </c>
      <c r="D15" s="117"/>
      <c r="E15" s="117"/>
      <c r="F15" s="603"/>
      <c r="G15" s="28"/>
      <c r="L15" s="9"/>
      <c r="N15" s="75"/>
      <c r="O15" s="75"/>
    </row>
    <row r="16" spans="1:16" x14ac:dyDescent="0.2">
      <c r="B16" s="623" t="s">
        <v>486</v>
      </c>
      <c r="C16" s="164" t="e">
        <f ca="1">INT(C13)</f>
        <v>#N/A</v>
      </c>
      <c r="D16" s="119"/>
      <c r="E16" s="119"/>
      <c r="F16" s="603"/>
      <c r="G16" s="28"/>
      <c r="L16" s="9"/>
      <c r="N16" s="75"/>
      <c r="O16" s="75"/>
    </row>
    <row r="17" spans="1:15" x14ac:dyDescent="0.2">
      <c r="B17" s="623" t="s">
        <v>487</v>
      </c>
      <c r="C17" s="164" t="e">
        <f ca="1">C13-C16</f>
        <v>#N/A</v>
      </c>
      <c r="D17" s="119"/>
      <c r="E17" s="119"/>
      <c r="F17" s="603"/>
      <c r="G17" s="28"/>
      <c r="L17" s="9"/>
      <c r="N17" s="75"/>
      <c r="O17" s="75"/>
    </row>
    <row r="18" spans="1:15" x14ac:dyDescent="0.2">
      <c r="B18" s="624" t="s">
        <v>70</v>
      </c>
      <c r="C18" s="25" t="e">
        <f>VLOOKUP(DoB,Parameters!D30:F33,3,TRUE)</f>
        <v>#N/A</v>
      </c>
      <c r="D18" s="119"/>
      <c r="E18" s="119"/>
      <c r="F18" s="603"/>
      <c r="G18" s="28"/>
      <c r="L18" s="9"/>
      <c r="N18" s="75"/>
      <c r="O18" s="75"/>
    </row>
    <row r="19" spans="1:15" x14ac:dyDescent="0.2">
      <c r="B19" s="625" t="s">
        <v>188</v>
      </c>
      <c r="C19" s="626">
        <f>ChosenRA</f>
        <v>0</v>
      </c>
      <c r="D19" s="132"/>
      <c r="E19" s="132"/>
      <c r="F19" s="627"/>
      <c r="G19" s="28"/>
      <c r="L19" s="9"/>
      <c r="N19" s="75"/>
      <c r="O19" s="75"/>
    </row>
    <row r="20" spans="1:15" x14ac:dyDescent="0.2">
      <c r="B20" s="186"/>
      <c r="C20" s="187"/>
      <c r="D20" s="114"/>
      <c r="G20" s="28"/>
      <c r="H20" s="9"/>
      <c r="I20" s="119"/>
      <c r="J20" s="119"/>
      <c r="K20" s="119"/>
      <c r="L20" s="9"/>
      <c r="N20" s="75"/>
      <c r="O20" s="75"/>
    </row>
    <row r="21" spans="1:15" ht="25.5" x14ac:dyDescent="0.2">
      <c r="B21" s="628"/>
      <c r="C21" s="629" t="s">
        <v>258</v>
      </c>
      <c r="F21" s="28"/>
      <c r="G21" s="9"/>
      <c r="H21" s="119"/>
      <c r="I21" s="119"/>
      <c r="J21" s="119"/>
      <c r="K21" s="9"/>
      <c r="M21" s="75"/>
      <c r="N21" s="75"/>
    </row>
    <row r="22" spans="1:15" x14ac:dyDescent="0.2">
      <c r="B22" s="630" t="s">
        <v>436</v>
      </c>
      <c r="C22" s="631" t="e">
        <f>MIN(C12,C11)</f>
        <v>#N/A</v>
      </c>
      <c r="D22" s="28" t="s">
        <v>507</v>
      </c>
      <c r="F22" s="28"/>
      <c r="G22" s="9"/>
      <c r="H22" s="119"/>
      <c r="I22" s="119"/>
      <c r="J22" s="119"/>
      <c r="K22" s="9"/>
      <c r="M22" s="75"/>
      <c r="N22" s="75"/>
    </row>
    <row r="23" spans="1:15" x14ac:dyDescent="0.2">
      <c r="B23" s="630" t="s">
        <v>435</v>
      </c>
      <c r="C23" s="631" t="e">
        <f>MAX(0,C12-C11)</f>
        <v>#N/A</v>
      </c>
      <c r="D23" s="28" t="s">
        <v>506</v>
      </c>
      <c r="E23" s="182"/>
      <c r="G23" s="9"/>
      <c r="H23" s="119"/>
      <c r="I23" s="119"/>
      <c r="J23" s="119"/>
      <c r="K23" s="9"/>
      <c r="M23" s="75"/>
      <c r="N23" s="75"/>
    </row>
    <row r="24" spans="1:15" x14ac:dyDescent="0.2">
      <c r="B24" s="632" t="s">
        <v>292</v>
      </c>
      <c r="C24" s="633" t="e">
        <f>IF(ChosenRA&lt;=C18,1,VLOOKUP(RA_Year-C18,LRF_CARE,RA_month+2,0))</f>
        <v>#N/A</v>
      </c>
      <c r="D24" s="28"/>
      <c r="E24" s="188"/>
      <c r="G24" s="9"/>
      <c r="H24" s="119"/>
      <c r="I24" s="119"/>
      <c r="J24" s="119"/>
      <c r="K24" s="9"/>
      <c r="M24" s="75"/>
      <c r="N24" s="75"/>
    </row>
    <row r="25" spans="1:15" x14ac:dyDescent="0.2">
      <c r="B25" s="632" t="s">
        <v>434</v>
      </c>
      <c r="C25" s="633" t="e">
        <f>IF(C12=0,0,(C23/C12)*LRF_CARE_toapply+(C22/C12))</f>
        <v>#N/A</v>
      </c>
      <c r="D25" s="71" t="s">
        <v>532</v>
      </c>
      <c r="E25" s="188"/>
      <c r="G25" s="9"/>
      <c r="H25" s="119"/>
      <c r="I25" s="119"/>
      <c r="J25" s="119"/>
      <c r="K25" s="9"/>
      <c r="M25" s="75"/>
      <c r="N25" s="75"/>
    </row>
    <row r="26" spans="1:15" x14ac:dyDescent="0.2">
      <c r="B26" s="632" t="s">
        <v>257</v>
      </c>
      <c r="C26" s="633">
        <f>IFERROR(VLOOKUP(RA_Year,ERF_CARE,RA_month+2,0),1)</f>
        <v>1</v>
      </c>
      <c r="D26" s="71"/>
      <c r="G26" s="9"/>
      <c r="H26" s="119"/>
      <c r="I26" s="119"/>
      <c r="J26" s="119"/>
      <c r="K26" s="9"/>
      <c r="M26" s="75"/>
      <c r="N26" s="75"/>
    </row>
    <row r="27" spans="1:15" x14ac:dyDescent="0.2">
      <c r="B27" s="632" t="s">
        <v>430</v>
      </c>
      <c r="C27" s="633" t="e">
        <f>1-IF(C19&lt;C18,(C18-MAX(C19,65))*standard_reduction,0)</f>
        <v>#N/A</v>
      </c>
      <c r="D27" s="71"/>
      <c r="G27" s="9"/>
      <c r="H27" s="119"/>
      <c r="I27" s="119"/>
      <c r="J27" s="119"/>
      <c r="K27" s="9"/>
      <c r="M27" s="75"/>
      <c r="N27" s="75"/>
    </row>
    <row r="28" spans="1:15" x14ac:dyDescent="0.2">
      <c r="B28" s="634" t="s">
        <v>433</v>
      </c>
      <c r="C28" s="635" t="e">
        <f>ERF_CARE_toapply*C27</f>
        <v>#N/A</v>
      </c>
      <c r="D28" s="71"/>
      <c r="G28" s="9"/>
      <c r="H28" s="119"/>
      <c r="I28" s="119"/>
      <c r="J28" s="119"/>
      <c r="K28" s="9"/>
      <c r="M28" s="75"/>
      <c r="N28" s="75"/>
    </row>
    <row r="29" spans="1:15" x14ac:dyDescent="0.2">
      <c r="A29" s="9"/>
      <c r="B29" s="186"/>
      <c r="C29" s="16"/>
      <c r="D29" s="114"/>
      <c r="E29" s="114"/>
      <c r="F29" s="114"/>
      <c r="G29" s="9"/>
      <c r="H29" s="9"/>
      <c r="I29" s="119"/>
      <c r="J29" s="119"/>
      <c r="K29" s="119"/>
      <c r="L29" s="9"/>
      <c r="N29" s="75"/>
      <c r="O29" s="75"/>
    </row>
    <row r="30" spans="1:15" x14ac:dyDescent="0.2">
      <c r="B30" s="628" t="s">
        <v>429</v>
      </c>
      <c r="C30" s="636" t="e">
        <f ca="1">'Past Service CARE Calcs'!C35</f>
        <v>#N/A</v>
      </c>
      <c r="D30" s="636" t="e">
        <f ca="1">C30</f>
        <v>#N/A</v>
      </c>
      <c r="E30" s="637" t="e">
        <f ca="1">C30</f>
        <v>#N/A</v>
      </c>
      <c r="G30" s="9"/>
      <c r="H30" s="119"/>
      <c r="I30" s="119"/>
      <c r="J30" s="119"/>
      <c r="K30" s="9"/>
      <c r="M30" s="75"/>
      <c r="N30" s="75"/>
    </row>
    <row r="31" spans="1:15" x14ac:dyDescent="0.2">
      <c r="B31" s="624"/>
      <c r="C31" s="645" t="s">
        <v>488</v>
      </c>
      <c r="D31" s="645" t="s">
        <v>489</v>
      </c>
      <c r="E31" s="646" t="s">
        <v>490</v>
      </c>
      <c r="G31" s="9"/>
      <c r="H31" s="119"/>
      <c r="I31" s="119"/>
      <c r="J31" s="119"/>
      <c r="K31" s="9"/>
      <c r="M31" s="75"/>
      <c r="N31" s="75"/>
    </row>
    <row r="32" spans="1:15" ht="12.75" customHeight="1" x14ac:dyDescent="0.2">
      <c r="B32" s="624" t="s">
        <v>207</v>
      </c>
      <c r="C32" s="612">
        <f>1+cpi_1</f>
        <v>1.01</v>
      </c>
      <c r="D32" s="612">
        <f>1+cpi_2</f>
        <v>1.03</v>
      </c>
      <c r="E32" s="638">
        <f>1+cpi_3</f>
        <v>1.04</v>
      </c>
      <c r="G32" s="173"/>
    </row>
    <row r="33" spans="2:7" ht="12.75" customHeight="1" x14ac:dyDescent="0.2">
      <c r="B33" s="624" t="s">
        <v>193</v>
      </c>
      <c r="C33" s="612">
        <f>((1+care_rev)/C32)</f>
        <v>1.0257425742574258</v>
      </c>
      <c r="D33" s="612">
        <f>((1+care_rev)/D32)</f>
        <v>1.0058252427184466</v>
      </c>
      <c r="E33" s="638">
        <f>((1+care_rev)/E32)</f>
        <v>0.99615384615384617</v>
      </c>
      <c r="G33" s="173"/>
    </row>
    <row r="34" spans="2:7" x14ac:dyDescent="0.2">
      <c r="B34" s="624" t="s">
        <v>202</v>
      </c>
      <c r="C34" s="612">
        <f>(1+cpi_1)/(1+cpi)</f>
        <v>0.99019607843137258</v>
      </c>
      <c r="D34" s="612">
        <f>(1+cpi_2)/(1+cpi)</f>
        <v>1.0098039215686274</v>
      </c>
      <c r="E34" s="638">
        <f>(1+cpi_3)/(1+cpi)</f>
        <v>1.0196078431372548</v>
      </c>
      <c r="G34" s="75"/>
    </row>
    <row r="35" spans="2:7" x14ac:dyDescent="0.2">
      <c r="B35" s="624" t="s">
        <v>414</v>
      </c>
      <c r="C35" s="610">
        <f ca="1">CurrentSal*Acc_CARE*C$32^($C9)*(1-C$33^$C9)/(1-C$33)</f>
        <v>0</v>
      </c>
      <c r="D35" s="610">
        <f ca="1">CurrentSal*Acc_CARE*D$32^($C9)*(1-D$33^$C9)/(1-D$33)</f>
        <v>0</v>
      </c>
      <c r="E35" s="639">
        <f ca="1">CurrentSal*Acc_CARE*E$32^($C9)*(1-E$33^$C9)/(1-E$33)</f>
        <v>0</v>
      </c>
      <c r="F35" s="71"/>
      <c r="G35" s="75"/>
    </row>
    <row r="36" spans="2:7" x14ac:dyDescent="0.2">
      <c r="B36" s="624" t="s">
        <v>224</v>
      </c>
      <c r="C36" s="610" t="e">
        <f ca="1">C13</f>
        <v>#N/A</v>
      </c>
      <c r="D36" s="610" t="e">
        <f ca="1">$C36</f>
        <v>#N/A</v>
      </c>
      <c r="E36" s="639" t="e">
        <f ca="1">$C36</f>
        <v>#N/A</v>
      </c>
      <c r="F36" s="71"/>
      <c r="G36" s="75"/>
    </row>
    <row r="37" spans="2:7" x14ac:dyDescent="0.2">
      <c r="B37" s="624" t="s">
        <v>225</v>
      </c>
      <c r="C37" s="610" t="e">
        <f ca="1">CurrentSal*Acc_CARE*C$32^($C36)*(1-C$33^$C36)/(1-C$33)*(1+care_rev)^$C10</f>
        <v>#N/A</v>
      </c>
      <c r="D37" s="610" t="e">
        <f ca="1">CurrentSal*Acc_CARE*D$32^($C36)*(1-D$33^$C36)/(1-D$33)*(1+care_rev)^$C10</f>
        <v>#N/A</v>
      </c>
      <c r="E37" s="639" t="e">
        <f ca="1">CurrentSal*Acc_CARE*E$32^($C36)*(1-E$33^$C36)/(1-E$33)*(1+care_rev)^$C10</f>
        <v>#N/A</v>
      </c>
      <c r="F37" s="71"/>
      <c r="G37" s="75"/>
    </row>
    <row r="38" spans="2:7" x14ac:dyDescent="0.2">
      <c r="B38" s="624" t="s">
        <v>146</v>
      </c>
      <c r="C38" s="610" t="e">
        <f ca="1">C35-C37</f>
        <v>#N/A</v>
      </c>
      <c r="D38" s="610" t="e">
        <f ca="1">D35-D37</f>
        <v>#N/A</v>
      </c>
      <c r="E38" s="639" t="e">
        <f ca="1">E35-E37</f>
        <v>#N/A</v>
      </c>
      <c r="F38" s="71"/>
      <c r="G38" s="75"/>
    </row>
    <row r="39" spans="2:7" x14ac:dyDescent="0.2">
      <c r="B39" s="640" t="s">
        <v>208</v>
      </c>
      <c r="C39" s="611" t="e">
        <f>IF(ProtStatus="full",0,SUM(C30,C38)/(1+cpi)^$C8)</f>
        <v>#N/A</v>
      </c>
      <c r="D39" s="611" t="e">
        <f>IF(ProtStatus="full",0,SUM(D30,D38)/(1+cpi)^$C8)</f>
        <v>#N/A</v>
      </c>
      <c r="E39" s="611" t="e">
        <f>IF(ProtStatus="full",0,SUM(E30,E38)/(1+cpi)^$C8)</f>
        <v>#N/A</v>
      </c>
      <c r="F39" s="71" t="s">
        <v>493</v>
      </c>
      <c r="G39" s="75"/>
    </row>
    <row r="40" spans="2:7" x14ac:dyDescent="0.2">
      <c r="B40" s="640" t="s">
        <v>474</v>
      </c>
      <c r="C40" s="610" t="e">
        <f>C39*$C28*$C25</f>
        <v>#N/A</v>
      </c>
      <c r="D40" s="610" t="e">
        <f>D39*$C28*$C25</f>
        <v>#N/A</v>
      </c>
      <c r="E40" s="639" t="e">
        <f>E39*$C28*$C25</f>
        <v>#N/A</v>
      </c>
    </row>
    <row r="41" spans="2:7" x14ac:dyDescent="0.2">
      <c r="B41" s="625" t="s">
        <v>216</v>
      </c>
      <c r="C41" s="641" t="e">
        <f>IF(PT_Status="some Part-Time",C40*future_PTP,C40)</f>
        <v>#N/A</v>
      </c>
      <c r="D41" s="641" t="e">
        <f>IF(PT_Status="some Part-Time",D40*future_PTP,D40)</f>
        <v>#N/A</v>
      </c>
      <c r="E41" s="642" t="e">
        <f>IF(PT_Status="some Part-Time",E40*future_PTP,E40)</f>
        <v>#N/A</v>
      </c>
    </row>
    <row r="42" spans="2:7" x14ac:dyDescent="0.2">
      <c r="B42" s="9"/>
      <c r="C42" s="9"/>
      <c r="D42" s="9"/>
      <c r="E42" s="9"/>
      <c r="F42" s="9"/>
    </row>
    <row r="43" spans="2:7" x14ac:dyDescent="0.2">
      <c r="B43" s="9"/>
      <c r="C43" s="9"/>
      <c r="D43" s="9"/>
      <c r="E43" s="9"/>
      <c r="F43" s="9"/>
    </row>
  </sheetData>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N37"/>
  <sheetViews>
    <sheetView workbookViewId="0">
      <selection activeCell="C16" sqref="C16:O16"/>
    </sheetView>
  </sheetViews>
  <sheetFormatPr defaultRowHeight="12.75" x14ac:dyDescent="0.2"/>
  <cols>
    <col min="2" max="2" width="30.28515625" customWidth="1"/>
    <col min="3" max="3" width="53" bestFit="1" customWidth="1"/>
    <col min="4" max="4" width="10.5703125" bestFit="1" customWidth="1"/>
    <col min="5" max="5" width="13.7109375" customWidth="1"/>
    <col min="6" max="6" width="10.28515625" bestFit="1" customWidth="1"/>
    <col min="7" max="7" width="9.5703125" bestFit="1" customWidth="1"/>
  </cols>
  <sheetData>
    <row r="1" spans="1:14" ht="20.25" x14ac:dyDescent="0.3">
      <c r="A1" s="13" t="s">
        <v>18</v>
      </c>
      <c r="B1" s="12"/>
      <c r="C1" s="12"/>
      <c r="D1" s="12"/>
      <c r="E1" s="12"/>
      <c r="F1" s="12"/>
      <c r="G1" s="12"/>
    </row>
    <row r="2" spans="1:14" ht="15.75" x14ac:dyDescent="0.25">
      <c r="A2" s="27" t="str">
        <f>IF(title="&gt; Enter workbook title here","Enter workbook title in Cover sheet",title)</f>
        <v>Scottish Fire pension  projection calculator</v>
      </c>
      <c r="B2" s="11"/>
      <c r="C2" s="11"/>
      <c r="D2" s="11"/>
      <c r="E2" s="11"/>
      <c r="F2" s="11"/>
      <c r="G2" s="11"/>
    </row>
    <row r="3" spans="1:14" ht="15.75" x14ac:dyDescent="0.25">
      <c r="A3" s="64" t="s">
        <v>76</v>
      </c>
      <c r="B3" s="11"/>
      <c r="C3" s="11"/>
      <c r="D3" s="11"/>
      <c r="E3" s="11"/>
      <c r="F3" s="11"/>
      <c r="G3" s="11"/>
    </row>
    <row r="4" spans="1:14" x14ac:dyDescent="0.2">
      <c r="A4" s="7" t="str">
        <f ca="1">CELL("filename",A1)</f>
        <v>C:\Users\U209873\AppData\Local\Microsoft\Windows\INetCache\Content.Outlook\QF7PK4UP\[180515PenCalcSTSSv2 1.xlsx]CARE calcs ABS</v>
      </c>
    </row>
    <row r="5" spans="1:14" ht="13.5" thickBot="1" x14ac:dyDescent="0.25">
      <c r="A5" s="7"/>
      <c r="E5" s="28"/>
    </row>
    <row r="6" spans="1:14" x14ac:dyDescent="0.2">
      <c r="A6" s="7"/>
      <c r="B6" s="230" t="s">
        <v>241</v>
      </c>
      <c r="C6" s="338" t="s">
        <v>203</v>
      </c>
      <c r="D6" s="445" t="e">
        <f>'FS Calcs'!F32</f>
        <v>#N/A</v>
      </c>
      <c r="E6" s="28"/>
      <c r="F6" s="174"/>
      <c r="L6" s="75"/>
      <c r="M6" s="75"/>
      <c r="N6" s="75"/>
    </row>
    <row r="7" spans="1:14" ht="13.5" thickBot="1" x14ac:dyDescent="0.25">
      <c r="B7" s="231"/>
      <c r="C7" s="446" t="s">
        <v>204</v>
      </c>
      <c r="D7" s="447" t="e">
        <f>IF(D6="Full",date60,DoProtEnd)</f>
        <v>#N/A</v>
      </c>
      <c r="G7" s="75"/>
      <c r="H7" s="75"/>
      <c r="L7" s="75"/>
      <c r="M7" s="75"/>
      <c r="N7" s="75"/>
    </row>
    <row r="8" spans="1:14" ht="13.5" thickBot="1" x14ac:dyDescent="0.25">
      <c r="B8" s="231"/>
      <c r="C8" s="231"/>
      <c r="D8" s="231"/>
      <c r="G8" s="75"/>
      <c r="H8" s="75"/>
      <c r="L8" s="75"/>
      <c r="M8" s="75"/>
    </row>
    <row r="9" spans="1:14" x14ac:dyDescent="0.2">
      <c r="B9" s="231"/>
      <c r="C9" s="338" t="s">
        <v>70</v>
      </c>
      <c r="D9" s="448" t="e">
        <f>VLOOKUP(DoB,Parameters!D30:F33,3,TRUE)</f>
        <v>#N/A</v>
      </c>
      <c r="G9" s="75"/>
      <c r="H9" s="75"/>
      <c r="L9" s="75"/>
      <c r="M9" s="75"/>
    </row>
    <row r="10" spans="1:14" ht="13.5" thickBot="1" x14ac:dyDescent="0.25">
      <c r="B10" s="231"/>
      <c r="C10" s="446" t="s">
        <v>188</v>
      </c>
      <c r="D10" s="449">
        <f>60</f>
        <v>60</v>
      </c>
      <c r="G10" s="75"/>
      <c r="H10" s="75"/>
      <c r="L10" s="75"/>
      <c r="M10" s="75"/>
    </row>
    <row r="11" spans="1:14" ht="13.5" thickBot="1" x14ac:dyDescent="0.25">
      <c r="B11" s="231"/>
      <c r="C11" s="230"/>
      <c r="D11" s="231"/>
      <c r="E11" s="156"/>
      <c r="F11" s="9"/>
      <c r="G11" s="119"/>
      <c r="I11" s="9"/>
      <c r="J11" s="9"/>
      <c r="L11" s="75"/>
      <c r="M11" s="75"/>
    </row>
    <row r="12" spans="1:14" x14ac:dyDescent="0.2">
      <c r="B12" s="761" t="s">
        <v>190</v>
      </c>
      <c r="C12" s="338" t="s">
        <v>189</v>
      </c>
      <c r="D12" s="450" t="e">
        <f ca="1">MAX((date60-MAX(DoStartSchYear,D7))/DoY,0)</f>
        <v>#N/A</v>
      </c>
      <c r="F12" s="16"/>
      <c r="G12" s="146"/>
      <c r="H12" s="146"/>
      <c r="I12" s="146"/>
      <c r="J12" s="9"/>
      <c r="L12" s="75"/>
      <c r="M12" s="75"/>
    </row>
    <row r="13" spans="1:14" x14ac:dyDescent="0.2">
      <c r="B13" s="762"/>
      <c r="C13" s="451" t="s">
        <v>70</v>
      </c>
      <c r="D13" s="452">
        <f ca="1">IFERROR((DATE(YEAR(DoB)+$D$9,MONTH(DoB),DAY(DoB))-MAX(DoStartSchYear,D7))/DoY,0)</f>
        <v>0</v>
      </c>
      <c r="F13" s="16"/>
      <c r="G13" s="165"/>
      <c r="H13" s="117"/>
      <c r="I13" s="117"/>
      <c r="J13" s="9"/>
      <c r="L13" s="75"/>
      <c r="M13" s="75"/>
    </row>
    <row r="14" spans="1:14" ht="13.5" thickBot="1" x14ac:dyDescent="0.25">
      <c r="B14" s="763"/>
      <c r="C14" s="453" t="s">
        <v>199</v>
      </c>
      <c r="D14" s="454" t="e">
        <f ca="1">D13-D12</f>
        <v>#N/A</v>
      </c>
      <c r="F14" s="9"/>
      <c r="G14" s="119"/>
      <c r="H14" s="119"/>
      <c r="I14" s="119"/>
      <c r="J14" s="9"/>
      <c r="L14" s="75"/>
      <c r="M14" s="75"/>
    </row>
    <row r="15" spans="1:14" x14ac:dyDescent="0.2">
      <c r="B15" s="761" t="s">
        <v>226</v>
      </c>
      <c r="C15" s="455" t="s">
        <v>213</v>
      </c>
      <c r="D15" s="456">
        <f ca="1">(DoR-Date_curr)/DoY</f>
        <v>-118.57084188911705</v>
      </c>
      <c r="F15" s="9"/>
      <c r="G15" s="119"/>
      <c r="H15" s="119"/>
      <c r="I15" s="119"/>
      <c r="J15" s="9"/>
      <c r="L15" s="75"/>
      <c r="M15" s="75"/>
    </row>
    <row r="16" spans="1:14" ht="13.5" thickBot="1" x14ac:dyDescent="0.25">
      <c r="B16" s="763"/>
      <c r="C16" s="453" t="s">
        <v>227</v>
      </c>
      <c r="D16" s="454" t="e">
        <f ca="1">MAX((DoProtEnd-DoStartSchYear)/DoY,0)</f>
        <v>#N/A</v>
      </c>
      <c r="F16" s="9"/>
      <c r="G16" s="119"/>
      <c r="H16" s="119"/>
      <c r="I16" s="119"/>
      <c r="J16" s="9"/>
      <c r="L16" s="75"/>
      <c r="M16" s="75"/>
    </row>
    <row r="17" spans="1:13" ht="13.5" thickBot="1" x14ac:dyDescent="0.25">
      <c r="A17" s="9"/>
      <c r="B17" s="457"/>
      <c r="C17" s="232"/>
      <c r="D17" s="458"/>
      <c r="E17" s="9"/>
      <c r="F17" s="9"/>
      <c r="G17" s="119"/>
      <c r="H17" s="119"/>
      <c r="I17" s="119"/>
      <c r="J17" s="9"/>
      <c r="L17" s="75"/>
      <c r="M17" s="75"/>
    </row>
    <row r="18" spans="1:13" ht="12.75" customHeight="1" x14ac:dyDescent="0.2">
      <c r="B18" s="764" t="s">
        <v>210</v>
      </c>
      <c r="C18" s="338" t="s">
        <v>221</v>
      </c>
      <c r="D18" s="445" t="e">
        <f ca="1">IF(D12=0,0,INT(D12))</f>
        <v>#N/A</v>
      </c>
      <c r="F18" s="75"/>
    </row>
    <row r="19" spans="1:13" ht="12.75" customHeight="1" x14ac:dyDescent="0.2">
      <c r="B19" s="765"/>
      <c r="C19" s="451" t="s">
        <v>222</v>
      </c>
      <c r="D19" s="459" t="e">
        <f ca="1">D12-INT(D12)</f>
        <v>#N/A</v>
      </c>
    </row>
    <row r="20" spans="1:13" ht="13.5" thickBot="1" x14ac:dyDescent="0.25">
      <c r="B20" s="766"/>
      <c r="C20" s="451" t="s">
        <v>145</v>
      </c>
      <c r="D20" s="460" t="e">
        <f>SUM('Past Service CARE Calcs'!#REF!)/IF(PT_Status="Part-Time",future_PTP,1)</f>
        <v>#REF!</v>
      </c>
      <c r="F20" s="75"/>
    </row>
    <row r="21" spans="1:13" ht="12.75" customHeight="1" thickBot="1" x14ac:dyDescent="0.25">
      <c r="B21" s="461" t="s">
        <v>211</v>
      </c>
      <c r="C21" s="338" t="s">
        <v>146</v>
      </c>
      <c r="D21" s="462" t="e">
        <f>IF($D$6="Tapered",0,CurrentSal*Acc_CARE*(D18+D19))</f>
        <v>#N/A</v>
      </c>
    </row>
    <row r="22" spans="1:13" ht="12.75" customHeight="1" x14ac:dyDescent="0.2">
      <c r="B22" s="761" t="s">
        <v>212</v>
      </c>
      <c r="C22" s="338" t="s">
        <v>219</v>
      </c>
      <c r="D22" s="463">
        <f ca="1">INT((DATE(YEAR(DoB)+60,MONTH(DoB),DAY(DoB))-DoStartSchYear)/DoY)</f>
        <v>-59</v>
      </c>
      <c r="F22" s="173"/>
    </row>
    <row r="23" spans="1:13" ht="12.75" customHeight="1" x14ac:dyDescent="0.2">
      <c r="B23" s="762"/>
      <c r="C23" s="451" t="s">
        <v>220</v>
      </c>
      <c r="D23" s="464">
        <f ca="1">(DATE(YEAR(DoB)+60,MONTH(DoB),DAY(DoB))-DoStartSchYear)/DoY-D22</f>
        <v>0.74948665297741002</v>
      </c>
      <c r="F23" s="173"/>
    </row>
    <row r="24" spans="1:13" x14ac:dyDescent="0.2">
      <c r="B24" s="762"/>
      <c r="C24" s="451" t="s">
        <v>223</v>
      </c>
      <c r="D24" s="460" t="e">
        <f>IF($D$6="Tapered",CurrentSal*Acc_CARE*(D22+D23),0)</f>
        <v>#N/A</v>
      </c>
      <c r="F24" s="75"/>
    </row>
    <row r="25" spans="1:13" x14ac:dyDescent="0.2">
      <c r="B25" s="762"/>
      <c r="C25" s="451" t="s">
        <v>224</v>
      </c>
      <c r="D25" s="460" t="e">
        <f>IF($D$6="Tapered",INT($D$16),0)</f>
        <v>#N/A</v>
      </c>
      <c r="E25" s="75"/>
      <c r="F25" s="75"/>
    </row>
    <row r="26" spans="1:13" x14ac:dyDescent="0.2">
      <c r="B26" s="762"/>
      <c r="C26" s="451" t="s">
        <v>225</v>
      </c>
      <c r="D26" s="460" t="e">
        <f>IF($D$6="Tapered",CurrentSal*Acc_CARE*(D25+($D$16-INT($D$16))),0)</f>
        <v>#N/A</v>
      </c>
      <c r="E26" s="75"/>
      <c r="F26" s="75"/>
    </row>
    <row r="27" spans="1:13" ht="13.5" thickBot="1" x14ac:dyDescent="0.25">
      <c r="B27" s="763"/>
      <c r="C27" s="451" t="s">
        <v>146</v>
      </c>
      <c r="D27" s="460" t="e">
        <f>D24-D26</f>
        <v>#N/A</v>
      </c>
      <c r="F27" s="75"/>
    </row>
    <row r="28" spans="1:13" x14ac:dyDescent="0.2">
      <c r="B28" s="231"/>
      <c r="C28" s="338" t="s">
        <v>242</v>
      </c>
      <c r="D28" s="465" t="e">
        <f>SUM(D20,D21,D27)</f>
        <v>#REF!</v>
      </c>
    </row>
    <row r="29" spans="1:13" ht="13.5" thickBot="1" x14ac:dyDescent="0.25">
      <c r="B29" s="231"/>
      <c r="C29" s="446" t="s">
        <v>216</v>
      </c>
      <c r="D29" s="466" t="e">
        <f>IF(PT_Status="Part-Time",D28*future_PTP,D28)</f>
        <v>#REF!</v>
      </c>
    </row>
    <row r="30" spans="1:13" x14ac:dyDescent="0.2">
      <c r="D30" s="75"/>
    </row>
    <row r="31" spans="1:13" x14ac:dyDescent="0.2">
      <c r="D31" s="75"/>
    </row>
    <row r="32" spans="1:13" x14ac:dyDescent="0.2">
      <c r="D32" s="63"/>
    </row>
    <row r="34" spans="4:4" x14ac:dyDescent="0.2">
      <c r="D34" s="63"/>
    </row>
    <row r="35" spans="4:4" x14ac:dyDescent="0.2">
      <c r="D35" s="75"/>
    </row>
    <row r="36" spans="4:4" x14ac:dyDescent="0.2">
      <c r="D36" s="75"/>
    </row>
    <row r="37" spans="4:4" x14ac:dyDescent="0.2">
      <c r="D37" s="75"/>
    </row>
  </sheetData>
  <mergeCells count="4">
    <mergeCell ref="B12:B14"/>
    <mergeCell ref="B15:B16"/>
    <mergeCell ref="B18:B20"/>
    <mergeCell ref="B22:B27"/>
  </mergeCells>
  <pageMargins left="0.70866141732283472" right="0.70866141732283472" top="0.74803149606299213" bottom="0.74803149606299213" header="0.31496062992125984" footer="0.31496062992125984"/>
  <pageSetup paperSize="9" scale="65"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M33"/>
  <sheetViews>
    <sheetView workbookViewId="0"/>
  </sheetViews>
  <sheetFormatPr defaultRowHeight="12.75" x14ac:dyDescent="0.2"/>
  <cols>
    <col min="2" max="2" width="12.28515625" customWidth="1"/>
    <col min="3" max="3" width="28.85546875" bestFit="1" customWidth="1"/>
    <col min="4" max="6" width="17.5703125" customWidth="1"/>
    <col min="7" max="7" width="11.42578125" customWidth="1"/>
    <col min="8" max="8" width="21.85546875" customWidth="1"/>
    <col min="9" max="9" width="10.140625" bestFit="1" customWidth="1"/>
  </cols>
  <sheetData>
    <row r="1" spans="1:13" ht="20.25" x14ac:dyDescent="0.3">
      <c r="A1" s="13" t="s">
        <v>18</v>
      </c>
      <c r="B1" s="12"/>
      <c r="C1" s="12"/>
      <c r="D1" s="12"/>
      <c r="E1" s="12"/>
      <c r="F1" s="12"/>
      <c r="G1" s="12"/>
      <c r="H1" s="12"/>
      <c r="I1" s="12"/>
    </row>
    <row r="2" spans="1:13" ht="15.75" x14ac:dyDescent="0.25">
      <c r="A2" s="27" t="str">
        <f>IF(title="&gt; Enter workbook title here","Enter workbook title in Cover sheet",title)</f>
        <v>Scottish Fire pension  projection calculator</v>
      </c>
      <c r="B2" s="11"/>
      <c r="C2" s="11"/>
      <c r="D2" s="11"/>
      <c r="E2" s="11"/>
      <c r="F2" s="11"/>
      <c r="G2" s="11"/>
      <c r="H2" s="11"/>
      <c r="I2" s="11"/>
    </row>
    <row r="3" spans="1:13" ht="15.75" x14ac:dyDescent="0.25">
      <c r="A3" s="64" t="s">
        <v>154</v>
      </c>
      <c r="B3" s="11"/>
      <c r="C3" s="11"/>
      <c r="D3" s="11"/>
      <c r="E3" s="11"/>
      <c r="F3" s="11"/>
      <c r="G3" s="11"/>
      <c r="H3" s="11"/>
      <c r="I3" s="11"/>
    </row>
    <row r="4" spans="1:13" x14ac:dyDescent="0.2">
      <c r="A4" s="7" t="str">
        <f ca="1">CELL("filename",A1)</f>
        <v>C:\Users\U209873\AppData\Local\Microsoft\Windows\INetCache\Content.Outlook\QF7PK4UP\[180515PenCalcSTSSv2 1.xlsx]Lump Sum</v>
      </c>
      <c r="K4" s="28"/>
    </row>
    <row r="5" spans="1:13" ht="13.5" thickBot="1" x14ac:dyDescent="0.25"/>
    <row r="6" spans="1:13" ht="13.5" thickBot="1" x14ac:dyDescent="0.25">
      <c r="C6" s="767" t="s">
        <v>159</v>
      </c>
      <c r="D6" s="768"/>
      <c r="G6" s="28"/>
      <c r="M6" s="28"/>
    </row>
    <row r="7" spans="1:13" x14ac:dyDescent="0.2">
      <c r="C7" s="81" t="s">
        <v>158</v>
      </c>
      <c r="D7" s="84">
        <f>ChosenRA</f>
        <v>0</v>
      </c>
      <c r="G7" s="441"/>
      <c r="I7" s="28"/>
    </row>
    <row r="8" spans="1:13" x14ac:dyDescent="0.2">
      <c r="C8" s="82" t="s">
        <v>156</v>
      </c>
      <c r="D8" s="237">
        <f>INT(D7)</f>
        <v>0</v>
      </c>
      <c r="G8" s="441"/>
      <c r="I8" s="28"/>
    </row>
    <row r="9" spans="1:13" ht="13.5" thickBot="1" x14ac:dyDescent="0.25">
      <c r="C9" s="83" t="s">
        <v>157</v>
      </c>
      <c r="D9" s="85">
        <f>INT((D7-D8)*12)</f>
        <v>0</v>
      </c>
      <c r="G9" s="441"/>
    </row>
    <row r="10" spans="1:13" x14ac:dyDescent="0.2">
      <c r="C10" s="16"/>
      <c r="D10" s="9"/>
    </row>
    <row r="11" spans="1:13" ht="13.5" thickBot="1" x14ac:dyDescent="0.25">
      <c r="C11" s="16"/>
      <c r="D11" s="9"/>
      <c r="F11" s="9"/>
      <c r="H11" s="28"/>
    </row>
    <row r="12" spans="1:13" ht="13.5" thickBot="1" x14ac:dyDescent="0.25">
      <c r="C12" s="81"/>
      <c r="D12" s="77" t="s">
        <v>164</v>
      </c>
      <c r="E12" s="88" t="s">
        <v>196</v>
      </c>
      <c r="H12" s="26"/>
    </row>
    <row r="13" spans="1:13" x14ac:dyDescent="0.2">
      <c r="C13" s="159" t="s">
        <v>166</v>
      </c>
      <c r="D13" s="442" t="e">
        <f>IF(CurrentScheme=Sch_60,Comm_Sch60,IF(CurrentScheme=Sch_65,Comm_Sch65,0))</f>
        <v>#N/A</v>
      </c>
      <c r="E13" s="443">
        <f>CareComm</f>
        <v>12</v>
      </c>
      <c r="G13" s="62"/>
      <c r="H13" s="26"/>
    </row>
    <row r="14" spans="1:13" ht="13.5" thickBot="1" x14ac:dyDescent="0.25">
      <c r="A14" s="155"/>
      <c r="C14" s="91" t="s">
        <v>382</v>
      </c>
      <c r="D14" s="439" t="e">
        <f>IF(CurrentScheme=Sch_60,Maxcomm_Sch60,IF(CurrentScheme=Sch_65,Maxcomm_Sch65,0))</f>
        <v>#N/A</v>
      </c>
      <c r="E14" s="440">
        <f>Maxcomm_SchCARE</f>
        <v>0.35709999999999997</v>
      </c>
      <c r="G14" s="62"/>
      <c r="H14" s="26"/>
    </row>
    <row r="15" spans="1:13" ht="13.5" thickBot="1" x14ac:dyDescent="0.25">
      <c r="A15" s="155"/>
      <c r="C15" s="86"/>
      <c r="D15" s="62"/>
      <c r="G15" s="62"/>
      <c r="H15" s="26"/>
    </row>
    <row r="16" spans="1:13" ht="13.5" thickBot="1" x14ac:dyDescent="0.25">
      <c r="A16" s="155"/>
      <c r="D16" s="101" t="str">
        <f>basis1</f>
        <v>CPI + 0%</v>
      </c>
      <c r="E16" s="95" t="str">
        <f>basis2</f>
        <v>CPI + 1%</v>
      </c>
      <c r="F16" s="96" t="str">
        <f>basis3</f>
        <v>CPI + 2%</v>
      </c>
    </row>
    <row r="17" spans="1:8" ht="13.5" thickBot="1" x14ac:dyDescent="0.25">
      <c r="A17" s="155"/>
      <c r="C17" s="97" t="s">
        <v>164</v>
      </c>
      <c r="D17" s="767" t="s">
        <v>153</v>
      </c>
      <c r="E17" s="769"/>
      <c r="F17" s="768"/>
    </row>
    <row r="18" spans="1:8" x14ac:dyDescent="0.2">
      <c r="A18" s="155"/>
      <c r="C18" s="82" t="s">
        <v>167</v>
      </c>
      <c r="D18" s="98" t="e">
        <f>'FS Calcs'!F56</f>
        <v>#N/A</v>
      </c>
      <c r="E18" s="92" t="e">
        <f>'FS Calcs'!F57</f>
        <v>#N/A</v>
      </c>
      <c r="F18" s="78" t="e">
        <f>'FS Calcs'!F58</f>
        <v>#N/A</v>
      </c>
      <c r="H18" s="75"/>
    </row>
    <row r="19" spans="1:8" x14ac:dyDescent="0.2">
      <c r="A19" s="155"/>
      <c r="C19" s="82" t="s">
        <v>195</v>
      </c>
      <c r="D19" s="98" t="e">
        <f>$D$14*D18</f>
        <v>#N/A</v>
      </c>
      <c r="E19" s="92" t="e">
        <f t="shared" ref="E19:F19" si="0">$D$14*E18</f>
        <v>#N/A</v>
      </c>
      <c r="F19" s="78" t="e">
        <f t="shared" si="0"/>
        <v>#N/A</v>
      </c>
      <c r="H19" s="75"/>
    </row>
    <row r="20" spans="1:8" x14ac:dyDescent="0.2">
      <c r="A20" s="155"/>
      <c r="C20" s="82" t="s">
        <v>215</v>
      </c>
      <c r="D20" s="102" t="e">
        <f>D18-D19</f>
        <v>#N/A</v>
      </c>
      <c r="E20" s="92" t="e">
        <f>E18-E19</f>
        <v>#N/A</v>
      </c>
      <c r="F20" s="78" t="e">
        <f>F18-F19</f>
        <v>#N/A</v>
      </c>
      <c r="H20" s="75"/>
    </row>
    <row r="21" spans="1:8" x14ac:dyDescent="0.2">
      <c r="A21" s="155"/>
      <c r="C21" s="82" t="s">
        <v>384</v>
      </c>
      <c r="D21" s="102" t="e">
        <f>$D$13*D19</f>
        <v>#N/A</v>
      </c>
      <c r="E21" s="92" t="e">
        <f>$D$13*E19</f>
        <v>#N/A</v>
      </c>
      <c r="F21" s="78" t="e">
        <f>$D$13*F19</f>
        <v>#N/A</v>
      </c>
      <c r="H21" s="75"/>
    </row>
    <row r="22" spans="1:8" x14ac:dyDescent="0.2">
      <c r="A22" s="155"/>
      <c r="C22" s="82" t="s">
        <v>385</v>
      </c>
      <c r="D22" s="102" t="e">
        <f>'FS Calcs'!F59</f>
        <v>#N/A</v>
      </c>
      <c r="E22" s="92" t="e">
        <f>'FS Calcs'!F60</f>
        <v>#N/A</v>
      </c>
      <c r="F22" s="78" t="e">
        <f>'FS Calcs'!F61</f>
        <v>#N/A</v>
      </c>
      <c r="H22" s="75"/>
    </row>
    <row r="23" spans="1:8" ht="13.5" thickBot="1" x14ac:dyDescent="0.25">
      <c r="A23" s="155"/>
      <c r="C23" s="83" t="s">
        <v>155</v>
      </c>
      <c r="D23" s="103" t="e">
        <f>SUM(D21:D22)</f>
        <v>#N/A</v>
      </c>
      <c r="E23" s="100" t="e">
        <f t="shared" ref="E23:F23" si="1">SUM(E21:E22)</f>
        <v>#N/A</v>
      </c>
      <c r="F23" s="135" t="e">
        <f t="shared" si="1"/>
        <v>#N/A</v>
      </c>
    </row>
    <row r="24" spans="1:8" x14ac:dyDescent="0.2">
      <c r="A24" s="155"/>
      <c r="C24" s="16"/>
      <c r="D24" s="93"/>
      <c r="E24" s="92"/>
      <c r="F24" s="92"/>
    </row>
    <row r="25" spans="1:8" ht="13.5" thickBot="1" x14ac:dyDescent="0.25">
      <c r="C25" s="16"/>
    </row>
    <row r="26" spans="1:8" ht="13.5" thickBot="1" x14ac:dyDescent="0.25">
      <c r="C26" s="97" t="s">
        <v>165</v>
      </c>
      <c r="D26" s="101" t="str">
        <f>basis1</f>
        <v>CPI + 0%</v>
      </c>
      <c r="E26" s="95" t="str">
        <f>basis2</f>
        <v>CPI + 1%</v>
      </c>
      <c r="F26" s="96" t="str">
        <f>basis3</f>
        <v>CPI + 2%</v>
      </c>
    </row>
    <row r="27" spans="1:8" x14ac:dyDescent="0.2">
      <c r="B27" s="480"/>
      <c r="C27" s="81" t="s">
        <v>167</v>
      </c>
      <c r="D27" s="238" t="e">
        <f>'CARE calcs'!C41</f>
        <v>#N/A</v>
      </c>
      <c r="E27" s="242" t="e">
        <f>'CARE calcs'!D41</f>
        <v>#N/A</v>
      </c>
      <c r="F27" s="239" t="e">
        <f>'CARE calcs'!E41</f>
        <v>#N/A</v>
      </c>
    </row>
    <row r="28" spans="1:8" x14ac:dyDescent="0.2">
      <c r="B28" s="480"/>
      <c r="C28" s="82" t="s">
        <v>163</v>
      </c>
      <c r="D28" s="102" t="e">
        <f>$E$14*D27</f>
        <v>#N/A</v>
      </c>
      <c r="E28" s="93" t="e">
        <f>$E$14*E27</f>
        <v>#N/A</v>
      </c>
      <c r="F28" s="240" t="e">
        <f>$E$14*F27</f>
        <v>#N/A</v>
      </c>
    </row>
    <row r="29" spans="1:8" x14ac:dyDescent="0.2">
      <c r="B29" s="480"/>
      <c r="C29" s="82" t="s">
        <v>215</v>
      </c>
      <c r="D29" s="98" t="e">
        <f>D27-D28</f>
        <v>#N/A</v>
      </c>
      <c r="E29" s="92" t="e">
        <f>E27-E28</f>
        <v>#N/A</v>
      </c>
      <c r="F29" s="78" t="e">
        <f>F27-F28</f>
        <v>#N/A</v>
      </c>
    </row>
    <row r="30" spans="1:8" ht="13.5" thickBot="1" x14ac:dyDescent="0.25">
      <c r="B30" s="480"/>
      <c r="C30" s="83" t="s">
        <v>155</v>
      </c>
      <c r="D30" s="103" t="e">
        <f>D28*$E$13</f>
        <v>#N/A</v>
      </c>
      <c r="E30" s="243" t="e">
        <f>E28*$E$13</f>
        <v>#N/A</v>
      </c>
      <c r="F30" s="241" t="e">
        <f>F28*$E$13</f>
        <v>#N/A</v>
      </c>
    </row>
    <row r="32" spans="1:8" x14ac:dyDescent="0.2">
      <c r="D32" s="93"/>
      <c r="E32" s="1"/>
    </row>
    <row r="33" spans="3:6" x14ac:dyDescent="0.2">
      <c r="C33" s="1"/>
      <c r="D33" s="67"/>
      <c r="E33" s="70"/>
      <c r="F33" s="71"/>
    </row>
  </sheetData>
  <mergeCells count="2">
    <mergeCell ref="C6:D6"/>
    <mergeCell ref="D17:F17"/>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65"/>
  <sheetViews>
    <sheetView workbookViewId="0">
      <selection activeCell="C16" sqref="C16:O16"/>
    </sheetView>
  </sheetViews>
  <sheetFormatPr defaultRowHeight="12.75" x14ac:dyDescent="0.2"/>
  <cols>
    <col min="2" max="2" width="14.7109375" style="1" customWidth="1"/>
    <col min="3" max="3" width="38.85546875" bestFit="1" customWidth="1"/>
    <col min="4" max="6" width="12.28515625" customWidth="1"/>
  </cols>
  <sheetData>
    <row r="1" spans="1:6" ht="20.25" x14ac:dyDescent="0.3">
      <c r="A1" s="13" t="s">
        <v>18</v>
      </c>
      <c r="B1" s="30"/>
      <c r="C1" s="12"/>
      <c r="D1" s="12"/>
      <c r="E1" s="12"/>
      <c r="F1" s="12"/>
    </row>
    <row r="2" spans="1:6" ht="15.75" x14ac:dyDescent="0.25">
      <c r="A2" s="27" t="str">
        <f>IF(title="&gt; Enter workbook title here","Enter workbook title in Cover sheet",title)</f>
        <v>Scottish Fire pension  projection calculator</v>
      </c>
      <c r="B2" s="31"/>
      <c r="C2" s="11"/>
      <c r="D2" s="11"/>
      <c r="E2" s="11"/>
      <c r="F2" s="11"/>
    </row>
    <row r="3" spans="1:6" ht="15.75" x14ac:dyDescent="0.25">
      <c r="A3" s="64" t="s">
        <v>79</v>
      </c>
      <c r="B3" s="31"/>
      <c r="C3" s="11"/>
      <c r="D3" s="11"/>
      <c r="E3" s="11"/>
      <c r="F3" s="11"/>
    </row>
    <row r="4" spans="1:6" x14ac:dyDescent="0.2">
      <c r="A4" s="7" t="str">
        <f ca="1">CELL("filename",A1)</f>
        <v>C:\Users\U209873\AppData\Local\Microsoft\Windows\INetCache\Content.Outlook\QF7PK4UP\[180515PenCalcSTSSv2 1.xlsx]Summary</v>
      </c>
    </row>
    <row r="6" spans="1:6" ht="13.5" thickBot="1" x14ac:dyDescent="0.25"/>
    <row r="7" spans="1:6" ht="13.5" thickBot="1" x14ac:dyDescent="0.25">
      <c r="D7" s="101" t="str">
        <f>basis1</f>
        <v>CPI + 0%</v>
      </c>
      <c r="E7" s="95" t="str">
        <f>basis2</f>
        <v>CPI + 1%</v>
      </c>
      <c r="F7" s="96" t="str">
        <f>basis3</f>
        <v>CPI + 2%</v>
      </c>
    </row>
    <row r="8" spans="1:6" x14ac:dyDescent="0.2">
      <c r="B8" s="770" t="s">
        <v>197</v>
      </c>
      <c r="C8" s="81" t="s">
        <v>179</v>
      </c>
      <c r="D8" s="147">
        <f>CurrentSal</f>
        <v>0</v>
      </c>
      <c r="E8" s="147">
        <f>D8</f>
        <v>0</v>
      </c>
      <c r="F8" s="148">
        <f>D8</f>
        <v>0</v>
      </c>
    </row>
    <row r="9" spans="1:6" x14ac:dyDescent="0.2">
      <c r="B9" s="771"/>
      <c r="C9" s="82" t="s">
        <v>181</v>
      </c>
      <c r="D9" s="149" t="e">
        <f>'FS Calcs'!F42</f>
        <v>#N/A</v>
      </c>
      <c r="E9" s="149" t="e">
        <f>'FS Calcs'!F43</f>
        <v>#N/A</v>
      </c>
      <c r="F9" s="150" t="e">
        <f>'FS Calcs'!F44</f>
        <v>#N/A</v>
      </c>
    </row>
    <row r="10" spans="1:6" x14ac:dyDescent="0.2">
      <c r="B10" s="771"/>
      <c r="C10" s="82" t="s">
        <v>182</v>
      </c>
      <c r="D10" s="139" t="e">
        <f>'FS Calcs'!F45</f>
        <v>#N/A</v>
      </c>
      <c r="E10" s="139" t="e">
        <f>'FS Calcs'!F46</f>
        <v>#N/A</v>
      </c>
      <c r="F10" s="140" t="e">
        <f>'FS Calcs'!F47</f>
        <v>#N/A</v>
      </c>
    </row>
    <row r="11" spans="1:6" x14ac:dyDescent="0.2">
      <c r="B11" s="771"/>
      <c r="C11" s="82" t="s">
        <v>82</v>
      </c>
      <c r="D11" s="68">
        <f>'FS Calcs'!D10</f>
        <v>112.25188227241615</v>
      </c>
      <c r="E11" s="68">
        <f t="shared" ref="E11:E16" si="0">D11</f>
        <v>112.25188227241615</v>
      </c>
      <c r="F11" s="69">
        <f t="shared" ref="F11:F16" si="1">D11</f>
        <v>112.25188227241615</v>
      </c>
    </row>
    <row r="12" spans="1:6" x14ac:dyDescent="0.2">
      <c r="B12" s="771"/>
      <c r="C12" s="82" t="s">
        <v>84</v>
      </c>
      <c r="D12" s="68">
        <f>'FS Calcs'!D18</f>
        <v>112.25188227241615</v>
      </c>
      <c r="E12" s="68">
        <f t="shared" si="0"/>
        <v>112.25188227241615</v>
      </c>
      <c r="F12" s="69">
        <f t="shared" si="1"/>
        <v>112.25188227241615</v>
      </c>
    </row>
    <row r="13" spans="1:6" x14ac:dyDescent="0.2">
      <c r="B13" s="771"/>
      <c r="C13" s="82" t="s">
        <v>77</v>
      </c>
      <c r="D13" s="137" t="e">
        <f>DoProtEnd</f>
        <v>#N/A</v>
      </c>
      <c r="E13" s="137" t="e">
        <f>DoProtEnd</f>
        <v>#N/A</v>
      </c>
      <c r="F13" s="138" t="e">
        <f>DoProtEnd</f>
        <v>#N/A</v>
      </c>
    </row>
    <row r="14" spans="1:6" x14ac:dyDescent="0.2">
      <c r="B14" s="771"/>
      <c r="C14" s="82" t="s">
        <v>87</v>
      </c>
      <c r="D14" s="137">
        <f>DoR</f>
        <v>0</v>
      </c>
      <c r="E14" s="137">
        <f>DoR</f>
        <v>0</v>
      </c>
      <c r="F14" s="138">
        <f>DoR</f>
        <v>0</v>
      </c>
    </row>
    <row r="15" spans="1:6" x14ac:dyDescent="0.2">
      <c r="B15" s="771"/>
      <c r="C15" s="82" t="s">
        <v>88</v>
      </c>
      <c r="D15" s="151">
        <f>ChosenRA</f>
        <v>0</v>
      </c>
      <c r="E15" s="151">
        <f>ChosenRA</f>
        <v>0</v>
      </c>
      <c r="F15" s="152">
        <f>ChosenRA</f>
        <v>0</v>
      </c>
    </row>
    <row r="16" spans="1:6" x14ac:dyDescent="0.2">
      <c r="B16" s="771"/>
      <c r="C16" s="82" t="s">
        <v>86</v>
      </c>
      <c r="D16" s="68" t="e">
        <f>'FS Calcs'!F36</f>
        <v>#N/A</v>
      </c>
      <c r="E16" s="68" t="e">
        <f t="shared" si="0"/>
        <v>#N/A</v>
      </c>
      <c r="F16" s="69" t="e">
        <f t="shared" si="1"/>
        <v>#N/A</v>
      </c>
    </row>
    <row r="17" spans="2:7" x14ac:dyDescent="0.2">
      <c r="B17" s="771"/>
      <c r="C17" s="82" t="s">
        <v>169</v>
      </c>
      <c r="D17" s="149" t="e">
        <f>'Lump Sum'!D18</f>
        <v>#N/A</v>
      </c>
      <c r="E17" s="149" t="e">
        <f>'Lump Sum'!E18</f>
        <v>#N/A</v>
      </c>
      <c r="F17" s="150" t="e">
        <f>'Lump Sum'!F18</f>
        <v>#N/A</v>
      </c>
    </row>
    <row r="18" spans="2:7" x14ac:dyDescent="0.2">
      <c r="B18" s="771"/>
      <c r="C18" s="82" t="s">
        <v>421</v>
      </c>
      <c r="D18" s="149" t="e">
        <f>'Lump Sum'!D23</f>
        <v>#N/A</v>
      </c>
      <c r="E18" s="149" t="e">
        <f>'Lump Sum'!E23</f>
        <v>#N/A</v>
      </c>
      <c r="F18" s="150" t="e">
        <f>'Lump Sum'!F23</f>
        <v>#N/A</v>
      </c>
    </row>
    <row r="19" spans="2:7" x14ac:dyDescent="0.2">
      <c r="B19" s="771"/>
      <c r="C19" s="82" t="s">
        <v>422</v>
      </c>
      <c r="D19" s="149" t="e">
        <f>'Lump Sum'!D22</f>
        <v>#N/A</v>
      </c>
      <c r="E19" s="149" t="e">
        <f>'Lump Sum'!E22</f>
        <v>#N/A</v>
      </c>
      <c r="F19" s="150" t="e">
        <f>'Lump Sum'!F22</f>
        <v>#N/A</v>
      </c>
    </row>
    <row r="20" spans="2:7" x14ac:dyDescent="0.2">
      <c r="B20" s="771"/>
      <c r="C20" s="82" t="s">
        <v>191</v>
      </c>
      <c r="D20" s="149" t="e">
        <f>'Lump Sum'!D19</f>
        <v>#N/A</v>
      </c>
      <c r="E20" s="149" t="e">
        <f>'Lump Sum'!E19</f>
        <v>#N/A</v>
      </c>
      <c r="F20" s="150" t="e">
        <f>'Lump Sum'!F19</f>
        <v>#N/A</v>
      </c>
    </row>
    <row r="21" spans="2:7" x14ac:dyDescent="0.2">
      <c r="B21" s="771"/>
      <c r="C21" s="82" t="s">
        <v>168</v>
      </c>
      <c r="D21" s="149" t="e">
        <f>'Lump Sum'!D20</f>
        <v>#N/A</v>
      </c>
      <c r="E21" s="149" t="e">
        <f>'Lump Sum'!E20</f>
        <v>#N/A</v>
      </c>
      <c r="F21" s="150" t="e">
        <f>'Lump Sum'!F20</f>
        <v>#N/A</v>
      </c>
    </row>
    <row r="22" spans="2:7" ht="13.5" thickBot="1" x14ac:dyDescent="0.25">
      <c r="B22" s="772"/>
      <c r="C22" s="83" t="s">
        <v>89</v>
      </c>
      <c r="D22" s="153" t="e">
        <f>IF(CurrentScheme=Sch_60,Acc_Sch60,IF(CurrentScheme=Sch_65,Acc_Sch65,Acc_CARE))</f>
        <v>#N/A</v>
      </c>
      <c r="E22" s="153" t="e">
        <f>D22</f>
        <v>#N/A</v>
      </c>
      <c r="F22" s="154" t="e">
        <f>D22</f>
        <v>#N/A</v>
      </c>
    </row>
    <row r="23" spans="2:7" ht="13.5" thickBot="1" x14ac:dyDescent="0.25"/>
    <row r="24" spans="2:7" ht="13.5" thickBot="1" x14ac:dyDescent="0.25">
      <c r="D24" s="77" t="str">
        <f>basis1</f>
        <v>CPI + 0%</v>
      </c>
      <c r="E24" s="87" t="str">
        <f>basis2</f>
        <v>CPI + 1%</v>
      </c>
      <c r="F24" s="88" t="str">
        <f>basis3</f>
        <v>CPI + 2%</v>
      </c>
      <c r="G24" s="9"/>
    </row>
    <row r="25" spans="2:7" x14ac:dyDescent="0.2">
      <c r="B25" s="770" t="s">
        <v>200</v>
      </c>
      <c r="C25" s="159" t="s">
        <v>198</v>
      </c>
      <c r="D25" s="160">
        <f>'CARE calcs'!C19</f>
        <v>0</v>
      </c>
      <c r="E25" s="161" t="e">
        <f>'CARE calcs'!#REF!</f>
        <v>#REF!</v>
      </c>
      <c r="F25" s="162">
        <f>'CARE calcs'!F9</f>
        <v>0</v>
      </c>
      <c r="G25" s="9"/>
    </row>
    <row r="26" spans="2:7" x14ac:dyDescent="0.2">
      <c r="B26" s="771"/>
      <c r="C26" s="90" t="s">
        <v>70</v>
      </c>
      <c r="D26" s="172" t="e">
        <f>'CARE calcs'!C18</f>
        <v>#N/A</v>
      </c>
      <c r="E26" s="170" t="e">
        <f>'CARE calcs'!#REF!</f>
        <v>#REF!</v>
      </c>
      <c r="F26" s="171" t="e">
        <f>'CARE calcs'!#REF!</f>
        <v>#REF!</v>
      </c>
      <c r="G26" s="9"/>
    </row>
    <row r="27" spans="2:7" x14ac:dyDescent="0.2">
      <c r="B27" s="771"/>
      <c r="C27" s="82" t="str">
        <f>CONCATENATE(IF(ChosenRA&lt;55,"Deferred p","P"),"re-Commutation Pension")</f>
        <v>Deferred pre-Commutation Pension</v>
      </c>
      <c r="D27" s="157" t="e">
        <f>'Lump Sum'!D27</f>
        <v>#N/A</v>
      </c>
      <c r="E27" s="139" t="e">
        <f>'Lump Sum'!E27</f>
        <v>#N/A</v>
      </c>
      <c r="F27" s="140" t="e">
        <f>'Lump Sum'!F27</f>
        <v>#N/A</v>
      </c>
      <c r="G27" s="9"/>
    </row>
    <row r="28" spans="2:7" x14ac:dyDescent="0.2">
      <c r="B28" s="771"/>
      <c r="C28" s="82" t="s">
        <v>155</v>
      </c>
      <c r="D28" s="157" t="e">
        <f>'Lump Sum'!D30</f>
        <v>#N/A</v>
      </c>
      <c r="E28" s="139" t="e">
        <f>'Lump Sum'!E30</f>
        <v>#N/A</v>
      </c>
      <c r="F28" s="140" t="e">
        <f>'Lump Sum'!F30</f>
        <v>#N/A</v>
      </c>
      <c r="G28" s="9"/>
    </row>
    <row r="29" spans="2:7" x14ac:dyDescent="0.2">
      <c r="B29" s="771"/>
      <c r="C29" s="82" t="s">
        <v>191</v>
      </c>
      <c r="D29" s="157" t="e">
        <f>'Lump Sum'!D28</f>
        <v>#N/A</v>
      </c>
      <c r="E29" s="139" t="e">
        <f>'Lump Sum'!E28</f>
        <v>#N/A</v>
      </c>
      <c r="F29" s="140" t="e">
        <f>'Lump Sum'!F28</f>
        <v>#N/A</v>
      </c>
    </row>
    <row r="30" spans="2:7" ht="13.5" thickBot="1" x14ac:dyDescent="0.25">
      <c r="B30" s="772"/>
      <c r="C30" s="83" t="s">
        <v>215</v>
      </c>
      <c r="D30" s="158" t="e">
        <f>'Lump Sum'!D29</f>
        <v>#N/A</v>
      </c>
      <c r="E30" s="141" t="e">
        <f>'Lump Sum'!E29</f>
        <v>#N/A</v>
      </c>
      <c r="F30" s="142" t="e">
        <f>'Lump Sum'!F29</f>
        <v>#N/A</v>
      </c>
    </row>
    <row r="31" spans="2:7" ht="13.5" thickBot="1" x14ac:dyDescent="0.25">
      <c r="B31" s="163"/>
      <c r="C31" s="16"/>
      <c r="D31" s="139"/>
      <c r="E31" s="139"/>
      <c r="F31" s="139"/>
      <c r="G31" s="9"/>
    </row>
    <row r="32" spans="2:7" x14ac:dyDescent="0.2">
      <c r="B32" s="773" t="s">
        <v>240</v>
      </c>
      <c r="C32" s="338" t="s">
        <v>244</v>
      </c>
      <c r="D32" s="465" t="e">
        <f>'FS Calcs'!#REF!</f>
        <v>#REF!</v>
      </c>
      <c r="E32" s="9"/>
      <c r="F32" s="9"/>
    </row>
    <row r="33" spans="2:6" x14ac:dyDescent="0.2">
      <c r="B33" s="774"/>
      <c r="C33" s="451" t="s">
        <v>243</v>
      </c>
      <c r="D33" s="470" t="e">
        <f>'CARE calcs ABS'!D29</f>
        <v>#REF!</v>
      </c>
    </row>
    <row r="34" spans="2:6" x14ac:dyDescent="0.2">
      <c r="B34" s="774"/>
      <c r="C34" s="451" t="s">
        <v>245</v>
      </c>
      <c r="D34" s="470" t="e">
        <f>SUM(D32:D33)</f>
        <v>#REF!</v>
      </c>
    </row>
    <row r="35" spans="2:6" ht="13.5" thickBot="1" x14ac:dyDescent="0.25">
      <c r="B35" s="775"/>
      <c r="C35" s="446" t="s">
        <v>395</v>
      </c>
      <c r="D35" s="466" t="e">
        <f>IF(CurrentScheme=Sch_65,D32*4,0)</f>
        <v>#N/A</v>
      </c>
    </row>
    <row r="36" spans="2:6" ht="13.5" thickBot="1" x14ac:dyDescent="0.25"/>
    <row r="37" spans="2:6" ht="13.5" thickBot="1" x14ac:dyDescent="0.25">
      <c r="C37" s="1" t="s">
        <v>259</v>
      </c>
      <c r="D37" s="77" t="str">
        <f>basis1</f>
        <v>CPI + 0%</v>
      </c>
      <c r="E37" s="87" t="str">
        <f>basis2</f>
        <v>CPI + 1%</v>
      </c>
      <c r="F37" s="88" t="str">
        <f>basis3</f>
        <v>CPI + 2%</v>
      </c>
    </row>
    <row r="38" spans="2:6" x14ac:dyDescent="0.2">
      <c r="C38" s="159" t="s">
        <v>260</v>
      </c>
      <c r="D38" s="191">
        <f>ROUND(CurrentSal,0)</f>
        <v>0</v>
      </c>
      <c r="E38" s="191">
        <f>$D38</f>
        <v>0</v>
      </c>
      <c r="F38" s="192">
        <f>$D38</f>
        <v>0</v>
      </c>
    </row>
    <row r="39" spans="2:6" ht="12.75" customHeight="1" thickBot="1" x14ac:dyDescent="0.25">
      <c r="C39" s="82" t="s">
        <v>249</v>
      </c>
      <c r="D39" s="92" t="e">
        <f>ROUND(Summary!D9,0)</f>
        <v>#N/A</v>
      </c>
      <c r="E39" s="92" t="e">
        <f>ROUND(Summary!E9,0)</f>
        <v>#N/A</v>
      </c>
      <c r="F39" s="78" t="e">
        <f>ROUND(Summary!F9,0)</f>
        <v>#N/A</v>
      </c>
    </row>
    <row r="40" spans="2:6" x14ac:dyDescent="0.2">
      <c r="B40" s="776" t="s">
        <v>264</v>
      </c>
      <c r="C40" s="81" t="str">
        <f>Scheme_Full&amp;" pension"</f>
        <v xml:space="preserve"> pension</v>
      </c>
      <c r="D40" s="191" t="e">
        <f>IF(Summary!D21&lt;0,"input error",ROUND(Summary!D21,0))</f>
        <v>#N/A</v>
      </c>
      <c r="E40" s="191" t="e">
        <f>IF(Summary!E21&lt;0,"input error",ROUND(Summary!E21,0))</f>
        <v>#N/A</v>
      </c>
      <c r="F40" s="192" t="e">
        <f>IF(Summary!F21&lt;0,"input error",ROUND(Summary!F21,0))</f>
        <v>#N/A</v>
      </c>
    </row>
    <row r="41" spans="2:6" x14ac:dyDescent="0.2">
      <c r="B41" s="777"/>
      <c r="C41" s="82" t="str">
        <f>Scheme_Full&amp;" lump sum"</f>
        <v xml:space="preserve"> lump sum</v>
      </c>
      <c r="D41" s="92" t="e">
        <f>ROUND(Summary!D18,0)</f>
        <v>#N/A</v>
      </c>
      <c r="E41" s="92" t="e">
        <f>ROUND(Summary!E18,0)</f>
        <v>#N/A</v>
      </c>
      <c r="F41" s="78" t="e">
        <f>ROUND(Summary!F18,0)</f>
        <v>#N/A</v>
      </c>
    </row>
    <row r="42" spans="2:6" x14ac:dyDescent="0.2">
      <c r="B42" s="777"/>
      <c r="C42" s="82" t="str">
        <f>"2015 Scheme pension" &amp; IF(ChosenRA&gt;=55,""," deferred until SPA")</f>
        <v>2015 Scheme pension deferred until SPA</v>
      </c>
      <c r="D42" s="92" t="e">
        <f>IF(Summary!D30&lt;0,"input error",ROUND(Summary!D30,0))</f>
        <v>#N/A</v>
      </c>
      <c r="E42" s="92" t="e">
        <f>IF(Summary!E30&lt;0,"input error",ROUND(Summary!E30,0))</f>
        <v>#N/A</v>
      </c>
      <c r="F42" s="78" t="e">
        <f>IF(Summary!F30&lt;0,"input error",ROUND(Summary!F30,0))</f>
        <v>#N/A</v>
      </c>
    </row>
    <row r="43" spans="2:6" x14ac:dyDescent="0.2">
      <c r="B43" s="777"/>
      <c r="C43" s="82" t="str">
        <f>"2015 Scheme lump sum" &amp; IF(ChosenRA&gt;=55,""," deferred until SPA")</f>
        <v>2015 Scheme lump sum deferred until SPA</v>
      </c>
      <c r="D43" s="92" t="e">
        <f>ROUND(Summary!D28,0)</f>
        <v>#N/A</v>
      </c>
      <c r="E43" s="92" t="e">
        <f>ROUND(Summary!E28,0)</f>
        <v>#N/A</v>
      </c>
      <c r="F43" s="78" t="e">
        <f>ROUND(Summary!F28,0)</f>
        <v>#N/A</v>
      </c>
    </row>
    <row r="44" spans="2:6" x14ac:dyDescent="0.2">
      <c r="B44" s="777"/>
      <c r="C44" s="82" t="s">
        <v>239</v>
      </c>
      <c r="D44" s="92" t="str">
        <f>IF(ChosenRA&lt;55,"",IF(OR(Summary!D21&lt;0,Summary!D30&lt;0),"input error",ROUND(SUM(Summary!D40,Summary!D42),0)))</f>
        <v/>
      </c>
      <c r="E44" s="92" t="str">
        <f>IF(ChosenRA&lt;55,"",IF(OR(Summary!E21&lt;0,Summary!E30&lt;0),"input error",ROUND(SUM(Summary!E40,Summary!E42),0)))</f>
        <v/>
      </c>
      <c r="F44" s="78" t="str">
        <f>IF(ChosenRA&lt;55,"",IF(OR(Summary!F21&lt;0,Summary!F30&lt;0),"input error",ROUND(SUM(Summary!F40,Summary!F42),0)))</f>
        <v/>
      </c>
    </row>
    <row r="45" spans="2:6" ht="13.5" thickBot="1" x14ac:dyDescent="0.25">
      <c r="B45" s="778"/>
      <c r="C45" s="83" t="s">
        <v>263</v>
      </c>
      <c r="D45" s="100" t="str">
        <f>IF(ChosenRA&lt;55,"",ROUND(SUM(D41,D43),0))</f>
        <v/>
      </c>
      <c r="E45" s="100" t="str">
        <f>IF(ChosenRA&lt;55,"",ROUND(SUM(E41,E43),0))</f>
        <v/>
      </c>
      <c r="F45" s="135" t="str">
        <f>IF(ChosenRA&lt;55,"",ROUND(SUM(F41,F43),0))</f>
        <v/>
      </c>
    </row>
    <row r="46" spans="2:6" ht="12.75" customHeight="1" x14ac:dyDescent="0.2">
      <c r="B46" s="776" t="s">
        <v>265</v>
      </c>
      <c r="C46" s="81" t="str">
        <f>Scheme_Full&amp;" pension"</f>
        <v xml:space="preserve"> pension</v>
      </c>
      <c r="D46" s="191" t="e">
        <f>IF(Summary!D17&lt;0,"input error",ROUND(Summary!D17,0))</f>
        <v>#N/A</v>
      </c>
      <c r="E46" s="191" t="e">
        <f>IF(Summary!E17&lt;0,"input error",ROUND(Summary!E17,0))</f>
        <v>#N/A</v>
      </c>
      <c r="F46" s="192" t="e">
        <f>IF(Summary!F17&lt;0,"input error",ROUND(Summary!F17,0))</f>
        <v>#N/A</v>
      </c>
    </row>
    <row r="47" spans="2:6" x14ac:dyDescent="0.2">
      <c r="B47" s="777"/>
      <c r="C47" s="82" t="str">
        <f>Scheme_Full&amp;" lump sum"</f>
        <v xml:space="preserve"> lump sum</v>
      </c>
      <c r="D47" s="92" t="e">
        <f>ROUND(Summary!D19,0)</f>
        <v>#N/A</v>
      </c>
      <c r="E47" s="92" t="e">
        <f>ROUND(Summary!E19,0)</f>
        <v>#N/A</v>
      </c>
      <c r="F47" s="78" t="e">
        <f>ROUND(Summary!F19,0)</f>
        <v>#N/A</v>
      </c>
    </row>
    <row r="48" spans="2:6" x14ac:dyDescent="0.2">
      <c r="B48" s="777"/>
      <c r="C48" s="82" t="str">
        <f>"2015 Scheme pension" &amp; IF(ChosenRA&gt;=55,""," deferred until SPA")</f>
        <v>2015 Scheme pension deferred until SPA</v>
      </c>
      <c r="D48" s="92" t="e">
        <f>IF(Summary!D27&lt;0,"input error",ROUND(Summary!D27,0))</f>
        <v>#N/A</v>
      </c>
      <c r="E48" s="92" t="e">
        <f>IF(Summary!E27&lt;0,"input error",ROUND(Summary!E27,0))</f>
        <v>#N/A</v>
      </c>
      <c r="F48" s="78" t="e">
        <f>IF(Summary!F27&lt;0,"input error",ROUND(Summary!F27,0))</f>
        <v>#N/A</v>
      </c>
    </row>
    <row r="49" spans="2:6" x14ac:dyDescent="0.2">
      <c r="B49" s="777"/>
      <c r="C49" s="82" t="s">
        <v>239</v>
      </c>
      <c r="D49" s="92" t="str">
        <f>IF(ChosenRA&lt;55,"",IF(OR(Summary!D17&lt;0,Summary!D27&lt;0),"input error",ROUND(SUM(Summary!D46,Summary!D48),0)))</f>
        <v/>
      </c>
      <c r="E49" s="92" t="str">
        <f>IF(ChosenRA&lt;55,"",IF(OR(Summary!E17&lt;0,Summary!E27&lt;0),"input error",ROUND(SUM(Summary!E46,Summary!E48),0)))</f>
        <v/>
      </c>
      <c r="F49" s="78" t="str">
        <f>IF(ChosenRA&lt;55,"",IF(OR(Summary!F17&lt;0,Summary!F27&lt;0),"input error",ROUND(SUM(Summary!F46,Summary!F48),0)))</f>
        <v/>
      </c>
    </row>
    <row r="50" spans="2:6" ht="13.5" thickBot="1" x14ac:dyDescent="0.25">
      <c r="B50" s="777"/>
      <c r="C50" s="82" t="s">
        <v>263</v>
      </c>
      <c r="D50" s="92" t="e">
        <f>D47</f>
        <v>#N/A</v>
      </c>
      <c r="E50" s="92" t="e">
        <f>E47</f>
        <v>#N/A</v>
      </c>
      <c r="F50" s="78" t="e">
        <f>F47</f>
        <v>#N/A</v>
      </c>
    </row>
    <row r="51" spans="2:6" ht="12.75" customHeight="1" x14ac:dyDescent="0.2">
      <c r="B51" s="761" t="s">
        <v>240</v>
      </c>
      <c r="C51" s="338" t="s">
        <v>261</v>
      </c>
      <c r="D51" s="471" t="e">
        <f>IF(Summary!D32&lt;0,"input error",ROUND(Summary!D32,0))</f>
        <v>#REF!</v>
      </c>
      <c r="E51" s="472" t="e">
        <f>$D51</f>
        <v>#REF!</v>
      </c>
      <c r="F51" s="473" t="e">
        <f t="shared" ref="E51:F52" si="2">$D51</f>
        <v>#REF!</v>
      </c>
    </row>
    <row r="52" spans="2:6" x14ac:dyDescent="0.2">
      <c r="B52" s="762"/>
      <c r="C52" s="451" t="s">
        <v>262</v>
      </c>
      <c r="D52" s="474" t="e">
        <f>IF(Summary!D33&lt;0,"input error",ROUND(Summary!D33,0))</f>
        <v>#REF!</v>
      </c>
      <c r="E52" s="475" t="e">
        <f t="shared" si="2"/>
        <v>#REF!</v>
      </c>
      <c r="F52" s="476" t="e">
        <f t="shared" si="2"/>
        <v>#REF!</v>
      </c>
    </row>
    <row r="53" spans="2:6" x14ac:dyDescent="0.2">
      <c r="B53" s="762"/>
      <c r="C53" s="451" t="s">
        <v>239</v>
      </c>
      <c r="D53" s="474" t="e">
        <f>IF(OR(D32&lt;0,D33&lt;0),"input error",ROUND(SUM(D51,D52),0))</f>
        <v>#REF!</v>
      </c>
      <c r="E53" s="475" t="e">
        <f>$D53</f>
        <v>#REF!</v>
      </c>
      <c r="F53" s="476" t="e">
        <f>$D53</f>
        <v>#REF!</v>
      </c>
    </row>
    <row r="54" spans="2:6" ht="13.5" thickBot="1" x14ac:dyDescent="0.25">
      <c r="B54" s="763"/>
      <c r="C54" s="446" t="s">
        <v>266</v>
      </c>
      <c r="D54" s="477" t="e">
        <f>ROUND(Summary!D35,0)</f>
        <v>#N/A</v>
      </c>
      <c r="E54" s="478" t="e">
        <f t="shared" ref="E54:F54" si="3">$D54</f>
        <v>#N/A</v>
      </c>
      <c r="F54" s="479" t="e">
        <f t="shared" si="3"/>
        <v>#N/A</v>
      </c>
    </row>
    <row r="55" spans="2:6" x14ac:dyDescent="0.2">
      <c r="B55" s="776" t="s">
        <v>397</v>
      </c>
      <c r="C55" s="81" t="str">
        <f>Scheme_Full&amp;" pension"</f>
        <v xml:space="preserve"> pension</v>
      </c>
      <c r="D55" s="191" t="e">
        <f>IF('Lump Sum'!#REF!&lt;0,"input error",ROUND('Lump Sum'!#REF!,0))</f>
        <v>#REF!</v>
      </c>
      <c r="E55" s="191" t="e">
        <f>IF('Lump Sum'!#REF!&lt;0,"input error",ROUND('Lump Sum'!#REF!,0))</f>
        <v>#REF!</v>
      </c>
      <c r="F55" s="192" t="e">
        <f>IF('Lump Sum'!#REF!&lt;0,"input error",ROUND('Lump Sum'!#REF!,0))</f>
        <v>#REF!</v>
      </c>
    </row>
    <row r="56" spans="2:6" x14ac:dyDescent="0.2">
      <c r="B56" s="777"/>
      <c r="C56" s="82" t="str">
        <f>Scheme_Full&amp;" lump sum"</f>
        <v xml:space="preserve"> lump sum</v>
      </c>
      <c r="D56" s="92" t="e">
        <f>ROUND('Lump Sum'!#REF!,0)</f>
        <v>#REF!</v>
      </c>
      <c r="E56" s="92" t="e">
        <f>ROUND('Lump Sum'!#REF!,0)</f>
        <v>#REF!</v>
      </c>
      <c r="F56" s="78" t="e">
        <f>ROUND('Lump Sum'!#REF!,0)</f>
        <v>#REF!</v>
      </c>
    </row>
    <row r="57" spans="2:6" x14ac:dyDescent="0.2">
      <c r="B57" s="777"/>
      <c r="C57" s="82" t="str">
        <f>"2015 Scheme pension" &amp; IF(ChosenRA&gt;=55,""," deferred until SPA")</f>
        <v>2015 Scheme pension deferred until SPA</v>
      </c>
      <c r="D57" s="92" t="e">
        <f>IF('Lump Sum'!#REF!&lt;0,"input error",IF(ChosenRA&lt;55,ROUND('Lump Sum'!#REF!,0),ROUND('Lump Sum'!#REF!,0)))</f>
        <v>#REF!</v>
      </c>
      <c r="E57" s="92" t="e">
        <f>IF('Lump Sum'!#REF!&lt;0,"input error",IF(ChosenRA&lt;55,ROUND('Lump Sum'!#REF!,0),ROUND('Lump Sum'!#REF!,0)))</f>
        <v>#REF!</v>
      </c>
      <c r="F57" s="78" t="e">
        <f>IF('Lump Sum'!#REF!&lt;0,"input error",IF(ChosenRA&lt;55,ROUND('Lump Sum'!#REF!,0),ROUND('Lump Sum'!#REF!,0)))</f>
        <v>#REF!</v>
      </c>
    </row>
    <row r="58" spans="2:6" x14ac:dyDescent="0.2">
      <c r="B58" s="777"/>
      <c r="C58" s="82" t="str">
        <f>"2015 Scheme lump sum" &amp; IF(ChosenRA&gt;=55,""," deferred until SPA")</f>
        <v>2015 Scheme lump sum deferred until SPA</v>
      </c>
      <c r="D58" s="92" t="e">
        <f>IF(ChosenRA&lt;55,ROUND('Lump Sum'!#REF!,0),ROUND('Lump Sum'!#REF!,0))</f>
        <v>#REF!</v>
      </c>
      <c r="E58" s="92" t="e">
        <f>IF(ChosenRA&lt;55,ROUND('Lump Sum'!#REF!,0),ROUND('Lump Sum'!#REF!,0))</f>
        <v>#REF!</v>
      </c>
      <c r="F58" s="78" t="e">
        <f>IF(ChosenRA&lt;55,ROUND('Lump Sum'!#REF!,0),ROUND('Lump Sum'!#REF!,0))</f>
        <v>#REF!</v>
      </c>
    </row>
    <row r="59" spans="2:6" x14ac:dyDescent="0.2">
      <c r="B59" s="777"/>
      <c r="C59" s="82" t="s">
        <v>239</v>
      </c>
      <c r="D59" s="92" t="str">
        <f>IF(ChosenRA&lt;55,"",IF(OR('Lump Sum'!#REF!&lt;0,'Lump Sum'!#REF!&lt;0),"input error",ROUND(SUM(Summary!D55,Summary!D57),0)))</f>
        <v/>
      </c>
      <c r="E59" s="92" t="str">
        <f>IF(ChosenRA&lt;55,"",IF(OR('Lump Sum'!#REF!&lt;0,'Lump Sum'!#REF!&lt;0),"input error",ROUND(SUM(Summary!E55,Summary!E57),0)))</f>
        <v/>
      </c>
      <c r="F59" s="78" t="str">
        <f>IF(ChosenRA&lt;55,"",IF(OR('Lump Sum'!#REF!&lt;0,'Lump Sum'!#REF!&lt;0),"input error",ROUND(SUM(Summary!F55,Summary!F57),0)))</f>
        <v/>
      </c>
    </row>
    <row r="60" spans="2:6" ht="13.5" thickBot="1" x14ac:dyDescent="0.25">
      <c r="B60" s="778"/>
      <c r="C60" s="83" t="s">
        <v>263</v>
      </c>
      <c r="D60" s="100" t="str">
        <f>IF(ChosenRA&lt;55,"",ROUND(SUM(D56,D58),0))</f>
        <v/>
      </c>
      <c r="E60" s="100" t="str">
        <f>IF(ChosenRA&lt;55,"",ROUND(SUM(E56,E58),0))</f>
        <v/>
      </c>
      <c r="F60" s="135" t="str">
        <f>IF(ChosenRA&lt;55,"",ROUND(SUM(F56,F58),0))</f>
        <v/>
      </c>
    </row>
    <row r="61" spans="2:6" x14ac:dyDescent="0.2">
      <c r="B61" s="776" t="s">
        <v>398</v>
      </c>
      <c r="C61" s="81" t="str">
        <f>Scheme_Full&amp;" pension"</f>
        <v xml:space="preserve"> pension</v>
      </c>
      <c r="D61" s="191" t="e">
        <f>IF('Lump Sum'!#REF!&lt;0,"input error",ROUND('Lump Sum'!#REF!,0))</f>
        <v>#REF!</v>
      </c>
      <c r="E61" s="191" t="e">
        <f>IF('Lump Sum'!#REF!&lt;0,"input error",ROUND('Lump Sum'!#REF!,0))</f>
        <v>#REF!</v>
      </c>
      <c r="F61" s="192" t="e">
        <f>IF('Lump Sum'!#REF!&lt;0,"input error",ROUND('Lump Sum'!#REF!,0))</f>
        <v>#REF!</v>
      </c>
    </row>
    <row r="62" spans="2:6" x14ac:dyDescent="0.2">
      <c r="B62" s="777"/>
      <c r="C62" s="82" t="str">
        <f>Scheme_Full&amp;" lump sum"</f>
        <v xml:space="preserve"> lump sum</v>
      </c>
      <c r="D62" s="92" t="e">
        <f>ROUND('Lump Sum'!#REF!,0)</f>
        <v>#REF!</v>
      </c>
      <c r="E62" s="92" t="e">
        <f>ROUND('Lump Sum'!#REF!,0)</f>
        <v>#REF!</v>
      </c>
      <c r="F62" s="78" t="e">
        <f>ROUND('Lump Sum'!#REF!,0)</f>
        <v>#REF!</v>
      </c>
    </row>
    <row r="63" spans="2:6" x14ac:dyDescent="0.2">
      <c r="B63" s="777"/>
      <c r="C63" s="82" t="str">
        <f>"2015 Scheme pension" &amp; IF(ChosenRA&gt;=55,""," deferred until SPA")</f>
        <v>2015 Scheme pension deferred until SPA</v>
      </c>
      <c r="D63" s="92" t="e">
        <f>IF('Lump Sum'!#REF!&lt;0,"input error",IF(ChosenRA&lt;55,ROUND('Lump Sum'!#REF!,0),ROUND('Lump Sum'!#REF!,0)))</f>
        <v>#REF!</v>
      </c>
      <c r="E63" s="92" t="e">
        <f>IF('Lump Sum'!#REF!&lt;0,"input error",IF(ChosenRA&lt;55,ROUND('Lump Sum'!#REF!,0),ROUND('Lump Sum'!#REF!,0)))</f>
        <v>#REF!</v>
      </c>
      <c r="F63" s="78" t="e">
        <f>IF('Lump Sum'!#REF!&lt;0,"input error",IF(ChosenRA&lt;55,ROUND('Lump Sum'!#REF!,0),ROUND('Lump Sum'!#REF!,0)))</f>
        <v>#REF!</v>
      </c>
    </row>
    <row r="64" spans="2:6" x14ac:dyDescent="0.2">
      <c r="B64" s="777"/>
      <c r="C64" s="82" t="s">
        <v>239</v>
      </c>
      <c r="D64" s="92" t="str">
        <f>IF(ChosenRA&lt;55,"",IF(OR('Lump Sum'!#REF!&lt;0,'Lump Sum'!#REF!&lt;0),"input error",ROUND(SUM(Summary!D61,Summary!D63),0)))</f>
        <v/>
      </c>
      <c r="E64" s="92" t="str">
        <f>IF(ChosenRA&lt;55,"",IF(OR('Lump Sum'!#REF!&lt;0,'Lump Sum'!#REF!&lt;0),"input error",ROUND(SUM(Summary!E61,Summary!E63),0)))</f>
        <v/>
      </c>
      <c r="F64" s="78" t="str">
        <f>IF(ChosenRA&lt;55,"",IF(OR('Lump Sum'!#REF!&lt;0,'Lump Sum'!#REF!&lt;0),"input error",ROUND(SUM(Summary!F61,Summary!F63),0)))</f>
        <v/>
      </c>
    </row>
    <row r="65" spans="2:6" ht="13.5" thickBot="1" x14ac:dyDescent="0.25">
      <c r="B65" s="778"/>
      <c r="C65" s="83" t="s">
        <v>263</v>
      </c>
      <c r="D65" s="100" t="e">
        <f>D62</f>
        <v>#REF!</v>
      </c>
      <c r="E65" s="100" t="e">
        <f t="shared" ref="E65:F65" si="4">E62</f>
        <v>#REF!</v>
      </c>
      <c r="F65" s="135" t="e">
        <f t="shared" si="4"/>
        <v>#REF!</v>
      </c>
    </row>
  </sheetData>
  <mergeCells count="8">
    <mergeCell ref="B8:B22"/>
    <mergeCell ref="B25:B30"/>
    <mergeCell ref="B32:B35"/>
    <mergeCell ref="B55:B60"/>
    <mergeCell ref="B61:B65"/>
    <mergeCell ref="B40:B45"/>
    <mergeCell ref="B46:B50"/>
    <mergeCell ref="B51:B54"/>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7"/>
  <sheetViews>
    <sheetView topLeftCell="F10" workbookViewId="0">
      <selection activeCell="K17" sqref="K17"/>
    </sheetView>
  </sheetViews>
  <sheetFormatPr defaultRowHeight="12.75" x14ac:dyDescent="0.2"/>
  <cols>
    <col min="2" max="2" width="66" customWidth="1"/>
    <col min="3" max="4" width="11.5703125" customWidth="1"/>
    <col min="5" max="5" width="26.42578125" customWidth="1"/>
    <col min="6" max="6" width="17.7109375" customWidth="1"/>
    <col min="7" max="7" width="11.42578125" customWidth="1"/>
    <col min="8" max="8" width="96.7109375" customWidth="1"/>
    <col min="9" max="9" width="7.28515625" customWidth="1"/>
    <col min="10" max="10" width="4.28515625" customWidth="1"/>
    <col min="11" max="11" width="65.7109375" customWidth="1"/>
    <col min="12" max="12" width="14.140625" customWidth="1"/>
    <col min="15" max="15" width="15.42578125" bestFit="1" customWidth="1"/>
    <col min="16" max="16" width="21" bestFit="1" customWidth="1"/>
    <col min="17" max="17" width="9.28515625" customWidth="1"/>
    <col min="18" max="22" width="9.5703125" customWidth="1"/>
    <col min="23" max="23" width="13.140625" customWidth="1"/>
    <col min="30" max="30" width="10.28515625" customWidth="1"/>
    <col min="31" max="31" width="10.7109375" customWidth="1"/>
    <col min="34" max="34" width="15.42578125" bestFit="1" customWidth="1"/>
    <col min="35" max="35" width="21" bestFit="1" customWidth="1"/>
    <col min="36" max="37" width="9.5703125" bestFit="1" customWidth="1"/>
    <col min="38" max="38" width="9.5703125" customWidth="1"/>
  </cols>
  <sheetData>
    <row r="1" spans="1:12" ht="20.25" x14ac:dyDescent="0.3">
      <c r="A1" s="4" t="s">
        <v>18</v>
      </c>
      <c r="B1" s="4"/>
      <c r="C1" s="4"/>
      <c r="D1" s="4"/>
      <c r="E1" s="4"/>
      <c r="F1" s="4"/>
      <c r="G1" s="4"/>
      <c r="H1" s="4"/>
      <c r="I1" s="4"/>
      <c r="J1" s="4"/>
      <c r="K1" s="4"/>
      <c r="L1" s="4"/>
    </row>
    <row r="2" spans="1:12" ht="15.75" x14ac:dyDescent="0.25">
      <c r="A2" s="5" t="str">
        <f>IF(title="&gt; Enter workbook title here","Enter workbook title in Cover sheet",title)</f>
        <v>Scottish Fire pension  projection calculator</v>
      </c>
      <c r="B2" s="5"/>
      <c r="C2" s="5"/>
      <c r="D2" s="5"/>
      <c r="E2" s="5"/>
      <c r="F2" s="5"/>
      <c r="G2" s="5"/>
      <c r="H2" s="5"/>
      <c r="I2" s="5"/>
      <c r="J2" s="5"/>
      <c r="K2" s="5"/>
      <c r="L2" s="5"/>
    </row>
    <row r="3" spans="1:12" ht="15.75" x14ac:dyDescent="0.25">
      <c r="A3" s="65" t="s">
        <v>0</v>
      </c>
      <c r="B3" s="6"/>
      <c r="C3" s="6"/>
      <c r="D3" s="6"/>
      <c r="E3" s="6"/>
      <c r="F3" s="6"/>
      <c r="G3" s="6"/>
      <c r="H3" s="6"/>
      <c r="I3" s="6"/>
      <c r="J3" s="6"/>
      <c r="K3" s="6"/>
      <c r="L3" s="6"/>
    </row>
    <row r="4" spans="1:12" x14ac:dyDescent="0.2">
      <c r="A4" s="7" t="str">
        <f ca="1">CELL("filename",A1)</f>
        <v>C:\Users\U209873\AppData\Local\Microsoft\Windows\INetCache\Content.Outlook\QF7PK4UP\[180515PenCalcSTSSv2 1.xlsx]Version control</v>
      </c>
      <c r="B4" s="7"/>
    </row>
    <row r="5" spans="1:12" x14ac:dyDescent="0.2">
      <c r="E5" s="8"/>
      <c r="F5" s="8"/>
      <c r="G5" s="8"/>
    </row>
    <row r="6" spans="1:12" ht="38.25" x14ac:dyDescent="0.2">
      <c r="A6" s="10" t="s">
        <v>1</v>
      </c>
      <c r="B6" s="10" t="s">
        <v>35</v>
      </c>
      <c r="C6" s="10" t="s">
        <v>8</v>
      </c>
      <c r="D6" s="10" t="s">
        <v>9</v>
      </c>
      <c r="E6" s="10" t="s">
        <v>7</v>
      </c>
      <c r="F6" s="10" t="s">
        <v>10</v>
      </c>
      <c r="G6" s="10" t="s">
        <v>2</v>
      </c>
      <c r="H6" s="10" t="s">
        <v>3</v>
      </c>
      <c r="I6" s="10" t="s">
        <v>6</v>
      </c>
      <c r="J6" s="10" t="s">
        <v>2</v>
      </c>
      <c r="K6" s="10" t="s">
        <v>3</v>
      </c>
      <c r="L6" s="10" t="s">
        <v>14</v>
      </c>
    </row>
    <row r="7" spans="1:12" ht="242.25" x14ac:dyDescent="0.2">
      <c r="A7" s="28" t="s">
        <v>149</v>
      </c>
      <c r="B7" s="34" t="s">
        <v>396</v>
      </c>
      <c r="F7" s="28" t="s">
        <v>150</v>
      </c>
      <c r="G7" s="8">
        <v>42935</v>
      </c>
      <c r="H7" s="166" t="s">
        <v>424</v>
      </c>
      <c r="I7" s="28" t="s">
        <v>437</v>
      </c>
      <c r="J7" s="8">
        <v>42949</v>
      </c>
      <c r="K7" s="2" t="s">
        <v>444</v>
      </c>
    </row>
    <row r="8" spans="1:12" ht="255" x14ac:dyDescent="0.2">
      <c r="H8" s="166" t="s">
        <v>425</v>
      </c>
      <c r="K8" s="166" t="s">
        <v>448</v>
      </c>
    </row>
    <row r="9" spans="1:12" ht="38.25" x14ac:dyDescent="0.2">
      <c r="F9" s="28" t="s">
        <v>437</v>
      </c>
      <c r="G9" s="8">
        <v>42949</v>
      </c>
      <c r="H9" s="166" t="s">
        <v>438</v>
      </c>
    </row>
    <row r="10" spans="1:12" ht="25.5" x14ac:dyDescent="0.2">
      <c r="H10" s="166" t="s">
        <v>439</v>
      </c>
    </row>
    <row r="11" spans="1:12" x14ac:dyDescent="0.2">
      <c r="H11" s="166" t="s">
        <v>445</v>
      </c>
    </row>
    <row r="12" spans="1:12" ht="25.5" x14ac:dyDescent="0.2">
      <c r="H12" s="166" t="s">
        <v>450</v>
      </c>
    </row>
    <row r="13" spans="1:12" ht="25.5" x14ac:dyDescent="0.2">
      <c r="A13">
        <v>1.2</v>
      </c>
      <c r="F13" s="71" t="s">
        <v>437</v>
      </c>
      <c r="G13" s="655">
        <v>43026</v>
      </c>
      <c r="H13" s="656" t="s">
        <v>508</v>
      </c>
    </row>
    <row r="14" spans="1:12" ht="25.5" x14ac:dyDescent="0.2">
      <c r="F14" s="71" t="s">
        <v>437</v>
      </c>
      <c r="G14" s="655">
        <v>43026</v>
      </c>
      <c r="H14" s="656" t="s">
        <v>505</v>
      </c>
    </row>
    <row r="15" spans="1:12" ht="38.25" x14ac:dyDescent="0.2">
      <c r="F15" s="28" t="s">
        <v>518</v>
      </c>
      <c r="G15" s="8">
        <v>43146</v>
      </c>
      <c r="H15" s="166" t="s">
        <v>520</v>
      </c>
    </row>
    <row r="16" spans="1:12" ht="25.5" x14ac:dyDescent="0.2">
      <c r="F16" s="28" t="s">
        <v>530</v>
      </c>
      <c r="G16" s="8">
        <v>43235</v>
      </c>
      <c r="H16" s="166" t="s">
        <v>531</v>
      </c>
      <c r="I16" t="s">
        <v>534</v>
      </c>
      <c r="J16" s="8">
        <v>43236</v>
      </c>
      <c r="K16" s="8" t="s">
        <v>535</v>
      </c>
    </row>
    <row r="17" spans="6:11" ht="38.25" x14ac:dyDescent="0.2">
      <c r="F17" s="28" t="s">
        <v>518</v>
      </c>
      <c r="G17" s="8">
        <v>43237</v>
      </c>
      <c r="H17" s="666" t="s">
        <v>538</v>
      </c>
      <c r="I17" t="s">
        <v>437</v>
      </c>
      <c r="J17" s="8">
        <v>43237</v>
      </c>
      <c r="K17" t="s">
        <v>539</v>
      </c>
    </row>
  </sheetData>
  <phoneticPr fontId="2" type="noConversion"/>
  <hyperlinks>
    <hyperlink ref="B7" r:id="rId1"/>
  </hyperlinks>
  <pageMargins left="0.74803149606299213" right="0.74803149606299213" top="0.98425196850393704" bottom="0.98425196850393704" header="0.51181102362204722" footer="0.51181102362204722"/>
  <pageSetup paperSize="9" scale="58" fitToWidth="2" orientation="landscape" r:id="rId2"/>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R203"/>
  <sheetViews>
    <sheetView showGridLines="0" tabSelected="1" zoomScale="90" zoomScaleNormal="90" workbookViewId="0">
      <selection activeCell="J25" sqref="J25"/>
    </sheetView>
  </sheetViews>
  <sheetFormatPr defaultColWidth="9.140625" defaultRowHeight="12.75" x14ac:dyDescent="0.2"/>
  <cols>
    <col min="1" max="1" width="6.7109375" style="44" customWidth="1"/>
    <col min="2" max="2" width="2.42578125" style="44" customWidth="1"/>
    <col min="3" max="3" width="10" style="45" customWidth="1"/>
    <col min="4" max="4" width="12.140625" style="44" customWidth="1"/>
    <col min="5" max="5" width="13.28515625" style="44" customWidth="1"/>
    <col min="6" max="7" width="10.140625" style="44" bestFit="1" customWidth="1"/>
    <col min="8" max="8" width="13.140625" style="44" customWidth="1"/>
    <col min="9" max="9" width="16" style="44" customWidth="1"/>
    <col min="10" max="11" width="16.7109375" style="44" customWidth="1"/>
    <col min="12" max="14" width="15" style="44" customWidth="1"/>
    <col min="15" max="15" width="10.140625" style="44" bestFit="1" customWidth="1"/>
    <col min="16" max="16" width="9.140625" style="44"/>
    <col min="17" max="17" width="10.140625" style="44" bestFit="1" customWidth="1"/>
    <col min="18" max="16384" width="9.140625" style="44"/>
  </cols>
  <sheetData>
    <row r="1" spans="1:18" x14ac:dyDescent="0.2">
      <c r="C1" s="248"/>
      <c r="D1" s="245"/>
      <c r="E1" s="245"/>
      <c r="F1" s="245"/>
      <c r="G1" s="245"/>
      <c r="H1" s="245"/>
      <c r="I1" s="245"/>
      <c r="J1" s="245"/>
      <c r="K1" s="245"/>
      <c r="L1" s="245"/>
      <c r="M1" s="245"/>
      <c r="N1" s="245"/>
      <c r="O1" s="245"/>
      <c r="P1" s="245"/>
      <c r="Q1" s="245"/>
      <c r="R1" s="245"/>
    </row>
    <row r="2" spans="1:18" x14ac:dyDescent="0.2">
      <c r="A2" s="245"/>
      <c r="B2" s="584"/>
      <c r="C2" s="589"/>
      <c r="D2" s="307"/>
      <c r="E2" s="307"/>
      <c r="F2" s="307"/>
      <c r="G2" s="307"/>
      <c r="H2" s="307"/>
      <c r="I2" s="307"/>
      <c r="J2" s="307"/>
      <c r="K2" s="307"/>
      <c r="L2" s="307"/>
      <c r="M2" s="307"/>
      <c r="N2" s="307"/>
      <c r="O2" s="308"/>
      <c r="P2" s="245"/>
      <c r="Q2" s="245"/>
      <c r="R2" s="245"/>
    </row>
    <row r="3" spans="1:18" x14ac:dyDescent="0.2">
      <c r="A3" s="245"/>
      <c r="B3" s="585"/>
      <c r="C3" s="264"/>
      <c r="D3" s="265"/>
      <c r="E3" s="265"/>
      <c r="F3" s="265"/>
      <c r="G3" s="265"/>
      <c r="H3" s="265"/>
      <c r="I3" s="265"/>
      <c r="J3" s="265"/>
      <c r="K3" s="265"/>
      <c r="L3" s="265"/>
      <c r="M3" s="265"/>
      <c r="N3" s="265"/>
      <c r="O3" s="247"/>
      <c r="P3" s="245"/>
      <c r="Q3" s="245"/>
      <c r="R3" s="245"/>
    </row>
    <row r="4" spans="1:18" x14ac:dyDescent="0.2">
      <c r="A4" s="245"/>
      <c r="B4" s="585"/>
      <c r="C4" s="264"/>
      <c r="D4" s="265"/>
      <c r="E4" s="265"/>
      <c r="F4" s="265"/>
      <c r="G4" s="265"/>
      <c r="H4" s="265"/>
      <c r="I4" s="265"/>
      <c r="J4" s="265"/>
      <c r="K4" s="265"/>
      <c r="L4" s="265"/>
      <c r="M4" s="265"/>
      <c r="N4" s="265"/>
      <c r="O4" s="247"/>
      <c r="P4" s="245"/>
      <c r="Q4" s="245"/>
      <c r="R4" s="245"/>
    </row>
    <row r="5" spans="1:18" x14ac:dyDescent="0.2">
      <c r="A5" s="245"/>
      <c r="B5" s="585"/>
      <c r="C5" s="264"/>
      <c r="D5" s="265"/>
      <c r="E5" s="265"/>
      <c r="F5" s="265"/>
      <c r="G5" s="265"/>
      <c r="H5" s="265"/>
      <c r="I5" s="265"/>
      <c r="J5" s="265"/>
      <c r="K5" s="265"/>
      <c r="L5" s="265"/>
      <c r="M5" s="265"/>
      <c r="N5" s="265"/>
      <c r="O5" s="247"/>
      <c r="P5" s="245"/>
      <c r="Q5" s="245"/>
      <c r="R5" s="245"/>
    </row>
    <row r="6" spans="1:18" x14ac:dyDescent="0.2">
      <c r="A6" s="245"/>
      <c r="B6" s="585"/>
      <c r="C6" s="264"/>
      <c r="D6" s="265"/>
      <c r="E6" s="265"/>
      <c r="F6" s="265"/>
      <c r="G6" s="265"/>
      <c r="H6" s="265"/>
      <c r="I6" s="265"/>
      <c r="J6" s="265"/>
      <c r="K6" s="265"/>
      <c r="L6" s="265"/>
      <c r="M6" s="265"/>
      <c r="N6" s="265"/>
      <c r="O6" s="247"/>
      <c r="P6" s="245"/>
      <c r="Q6" s="245"/>
      <c r="R6" s="245"/>
    </row>
    <row r="7" spans="1:18" x14ac:dyDescent="0.2">
      <c r="A7" s="245"/>
      <c r="B7" s="585"/>
      <c r="C7" s="264"/>
      <c r="D7" s="265"/>
      <c r="E7" s="265"/>
      <c r="F7" s="265"/>
      <c r="G7" s="265"/>
      <c r="H7" s="265"/>
      <c r="I7" s="265"/>
      <c r="J7" s="265"/>
      <c r="K7" s="265"/>
      <c r="L7" s="265"/>
      <c r="M7" s="265"/>
      <c r="N7" s="265"/>
      <c r="O7" s="247"/>
      <c r="P7" s="245"/>
      <c r="Q7" s="245"/>
      <c r="R7" s="245"/>
    </row>
    <row r="8" spans="1:18" x14ac:dyDescent="0.2">
      <c r="A8" s="245"/>
      <c r="B8" s="585"/>
      <c r="C8" s="264"/>
      <c r="D8" s="265"/>
      <c r="E8" s="265"/>
      <c r="F8" s="265"/>
      <c r="G8" s="265"/>
      <c r="H8" s="265"/>
      <c r="I8" s="265"/>
      <c r="J8" s="265"/>
      <c r="K8" s="265"/>
      <c r="L8" s="265"/>
      <c r="M8" s="265"/>
      <c r="N8" s="265"/>
      <c r="O8" s="247"/>
      <c r="P8" s="245"/>
      <c r="Q8" s="245"/>
      <c r="R8" s="245"/>
    </row>
    <row r="9" spans="1:18" x14ac:dyDescent="0.2">
      <c r="A9" s="245"/>
      <c r="B9" s="585"/>
      <c r="C9" s="264"/>
      <c r="D9" s="265"/>
      <c r="E9" s="265"/>
      <c r="F9" s="265"/>
      <c r="G9" s="265"/>
      <c r="H9" s="265"/>
      <c r="I9" s="265"/>
      <c r="J9" s="265"/>
      <c r="K9" s="265"/>
      <c r="L9" s="265"/>
      <c r="M9" s="265"/>
      <c r="N9" s="265"/>
      <c r="O9" s="247"/>
      <c r="P9" s="245"/>
      <c r="Q9" s="245"/>
      <c r="R9" s="245"/>
    </row>
    <row r="10" spans="1:18" x14ac:dyDescent="0.2">
      <c r="A10" s="245"/>
      <c r="B10" s="585"/>
      <c r="C10" s="264"/>
      <c r="D10" s="265"/>
      <c r="E10" s="265"/>
      <c r="F10" s="265"/>
      <c r="G10" s="265"/>
      <c r="H10" s="265"/>
      <c r="I10" s="265"/>
      <c r="J10" s="265"/>
      <c r="K10" s="265"/>
      <c r="L10" s="265"/>
      <c r="M10" s="265"/>
      <c r="N10" s="265"/>
      <c r="O10" s="247"/>
      <c r="P10" s="245"/>
      <c r="Q10" s="245"/>
      <c r="R10" s="245"/>
    </row>
    <row r="11" spans="1:18" x14ac:dyDescent="0.2">
      <c r="A11" s="245"/>
      <c r="B11" s="585"/>
      <c r="C11" s="264"/>
      <c r="D11" s="265"/>
      <c r="E11" s="265"/>
      <c r="F11" s="265"/>
      <c r="G11" s="265"/>
      <c r="H11" s="265"/>
      <c r="I11" s="265"/>
      <c r="J11" s="265"/>
      <c r="K11" s="265"/>
      <c r="L11" s="265"/>
      <c r="M11" s="265"/>
      <c r="N11" s="265"/>
      <c r="O11" s="247"/>
      <c r="P11" s="245"/>
      <c r="Q11" s="245"/>
      <c r="R11" s="245"/>
    </row>
    <row r="12" spans="1:18" x14ac:dyDescent="0.2">
      <c r="A12" s="245"/>
      <c r="B12" s="585"/>
      <c r="C12" s="264"/>
      <c r="D12" s="265"/>
      <c r="E12" s="265"/>
      <c r="F12" s="265"/>
      <c r="G12" s="265"/>
      <c r="H12" s="265"/>
      <c r="I12" s="265"/>
      <c r="J12" s="265"/>
      <c r="K12" s="265"/>
      <c r="L12" s="265"/>
      <c r="M12" s="265"/>
      <c r="N12" s="265"/>
      <c r="O12" s="247"/>
      <c r="P12" s="245"/>
      <c r="Q12" s="245"/>
      <c r="R12" s="245"/>
    </row>
    <row r="13" spans="1:18" ht="12" customHeight="1" x14ac:dyDescent="0.2">
      <c r="A13" s="245"/>
      <c r="B13" s="585"/>
      <c r="C13" s="264"/>
      <c r="D13" s="265"/>
      <c r="E13" s="265"/>
      <c r="F13" s="265"/>
      <c r="G13" s="265"/>
      <c r="H13" s="265"/>
      <c r="I13" s="265"/>
      <c r="J13" s="265"/>
      <c r="K13" s="265"/>
      <c r="L13" s="265"/>
      <c r="M13" s="265"/>
      <c r="N13" s="265"/>
      <c r="O13" s="247"/>
      <c r="P13" s="245"/>
      <c r="Q13" s="245"/>
      <c r="R13" s="245"/>
    </row>
    <row r="14" spans="1:18" x14ac:dyDescent="0.2">
      <c r="A14" s="245"/>
      <c r="B14" s="585"/>
      <c r="C14" s="588"/>
      <c r="D14" s="184"/>
      <c r="E14" s="184"/>
      <c r="F14" s="184"/>
      <c r="G14" s="184"/>
      <c r="H14" s="184"/>
      <c r="I14" s="184"/>
      <c r="J14" s="184"/>
      <c r="K14" s="184"/>
      <c r="L14" s="184"/>
      <c r="M14" s="184"/>
      <c r="N14" s="184"/>
      <c r="O14" s="246"/>
      <c r="P14" s="245"/>
      <c r="Q14" s="245"/>
      <c r="R14" s="245"/>
    </row>
    <row r="15" spans="1:18" ht="27" customHeight="1" x14ac:dyDescent="0.35">
      <c r="A15" s="245"/>
      <c r="B15" s="585"/>
      <c r="C15" s="667" t="s">
        <v>323</v>
      </c>
      <c r="D15" s="667"/>
      <c r="E15" s="667"/>
      <c r="F15" s="667"/>
      <c r="G15" s="667"/>
      <c r="H15" s="667"/>
      <c r="I15" s="667"/>
      <c r="J15" s="667"/>
      <c r="K15" s="667"/>
      <c r="L15" s="667"/>
      <c r="M15" s="667"/>
      <c r="N15" s="667"/>
      <c r="O15" s="668"/>
      <c r="P15" s="245"/>
      <c r="Q15" s="245"/>
      <c r="R15" s="245"/>
    </row>
    <row r="16" spans="1:18" ht="20.25" customHeight="1" x14ac:dyDescent="0.3">
      <c r="A16" s="245"/>
      <c r="B16" s="585"/>
      <c r="C16" s="699" t="s">
        <v>117</v>
      </c>
      <c r="D16" s="699"/>
      <c r="E16" s="699"/>
      <c r="F16" s="699"/>
      <c r="G16" s="699"/>
      <c r="H16" s="699"/>
      <c r="I16" s="699"/>
      <c r="J16" s="699"/>
      <c r="K16" s="699"/>
      <c r="L16" s="699"/>
      <c r="M16" s="699"/>
      <c r="N16" s="699"/>
      <c r="O16" s="700"/>
      <c r="P16" s="245"/>
      <c r="Q16" s="245"/>
      <c r="R16" s="245"/>
    </row>
    <row r="17" spans="1:18" ht="15.75" customHeight="1" x14ac:dyDescent="0.2">
      <c r="A17" s="245"/>
      <c r="B17" s="585"/>
      <c r="C17" s="701" t="s">
        <v>228</v>
      </c>
      <c r="D17" s="701"/>
      <c r="E17" s="701"/>
      <c r="F17" s="701"/>
      <c r="G17" s="701"/>
      <c r="H17" s="701"/>
      <c r="I17" s="701"/>
      <c r="J17" s="701"/>
      <c r="K17" s="701"/>
      <c r="L17" s="701"/>
      <c r="M17" s="701"/>
      <c r="N17" s="701"/>
      <c r="O17" s="702"/>
      <c r="P17" s="245"/>
      <c r="Q17" s="245"/>
      <c r="R17" s="245"/>
    </row>
    <row r="18" spans="1:18" ht="15" customHeight="1" x14ac:dyDescent="0.2">
      <c r="A18" s="245"/>
      <c r="B18" s="585"/>
      <c r="C18" s="701" t="s">
        <v>120</v>
      </c>
      <c r="D18" s="701"/>
      <c r="E18" s="701"/>
      <c r="F18" s="701"/>
      <c r="G18" s="701"/>
      <c r="H18" s="701"/>
      <c r="I18" s="701"/>
      <c r="J18" s="701"/>
      <c r="K18" s="701"/>
      <c r="L18" s="701"/>
      <c r="M18" s="701"/>
      <c r="N18" s="701"/>
      <c r="O18" s="702"/>
      <c r="P18" s="245"/>
      <c r="Q18" s="245"/>
      <c r="R18" s="245"/>
    </row>
    <row r="19" spans="1:18" ht="19.5" customHeight="1" x14ac:dyDescent="0.2">
      <c r="A19" s="245"/>
      <c r="B19" s="585"/>
      <c r="C19" s="701" t="s">
        <v>514</v>
      </c>
      <c r="D19" s="701"/>
      <c r="E19" s="701"/>
      <c r="F19" s="701"/>
      <c r="G19" s="701"/>
      <c r="H19" s="701"/>
      <c r="I19" s="701"/>
      <c r="J19" s="701"/>
      <c r="K19" s="701"/>
      <c r="L19" s="701"/>
      <c r="M19" s="701"/>
      <c r="N19" s="701"/>
      <c r="O19" s="702"/>
      <c r="P19" s="245"/>
      <c r="Q19" s="245"/>
      <c r="R19" s="245"/>
    </row>
    <row r="20" spans="1:18" ht="28.5" customHeight="1" x14ac:dyDescent="0.2">
      <c r="A20" s="245"/>
      <c r="B20" s="585"/>
      <c r="C20" s="703" t="s">
        <v>217</v>
      </c>
      <c r="D20" s="703"/>
      <c r="E20" s="703"/>
      <c r="F20" s="703"/>
      <c r="G20" s="703"/>
      <c r="H20" s="703"/>
      <c r="I20" s="703"/>
      <c r="J20" s="703"/>
      <c r="K20" s="703"/>
      <c r="L20" s="703"/>
      <c r="M20" s="703"/>
      <c r="N20" s="703"/>
      <c r="O20" s="704"/>
      <c r="P20" s="245"/>
      <c r="Q20" s="245"/>
      <c r="R20" s="245"/>
    </row>
    <row r="21" spans="1:18" ht="13.5" customHeight="1" x14ac:dyDescent="0.2">
      <c r="A21" s="248"/>
      <c r="B21" s="356"/>
      <c r="C21" s="678"/>
      <c r="D21" s="678"/>
      <c r="E21" s="678"/>
      <c r="F21" s="678"/>
      <c r="G21" s="678"/>
      <c r="H21" s="678"/>
      <c r="I21" s="678"/>
      <c r="J21" s="678"/>
      <c r="K21" s="678"/>
      <c r="L21" s="678"/>
      <c r="M21" s="678"/>
      <c r="N21" s="678"/>
      <c r="O21" s="679"/>
      <c r="P21" s="245"/>
      <c r="Q21" s="245"/>
      <c r="R21" s="245"/>
    </row>
    <row r="22" spans="1:18" ht="23.25" x14ac:dyDescent="0.35">
      <c r="A22" s="248"/>
      <c r="B22" s="355"/>
      <c r="C22" s="590" t="s">
        <v>124</v>
      </c>
      <c r="D22" s="309"/>
      <c r="E22" s="310"/>
      <c r="F22" s="310"/>
      <c r="G22" s="310"/>
      <c r="H22" s="310"/>
      <c r="I22" s="310"/>
      <c r="J22" s="307"/>
      <c r="K22" s="307"/>
      <c r="L22" s="307"/>
      <c r="M22" s="307"/>
      <c r="N22" s="307"/>
      <c r="O22" s="308"/>
      <c r="P22" s="245"/>
      <c r="Q22" s="245"/>
      <c r="R22" s="245"/>
    </row>
    <row r="23" spans="1:18" x14ac:dyDescent="0.2">
      <c r="A23" s="245"/>
      <c r="B23" s="585"/>
      <c r="C23" s="306" t="s">
        <v>122</v>
      </c>
      <c r="D23" s="306"/>
      <c r="E23" s="306"/>
      <c r="F23" s="306"/>
      <c r="G23" s="306"/>
      <c r="H23" s="306"/>
      <c r="I23" s="306"/>
      <c r="J23" s="265"/>
      <c r="K23" s="265"/>
      <c r="L23" s="265"/>
      <c r="M23" s="265"/>
      <c r="N23" s="265"/>
      <c r="O23" s="247"/>
      <c r="P23" s="245"/>
      <c r="Q23" s="245"/>
      <c r="R23" s="245"/>
    </row>
    <row r="24" spans="1:18" x14ac:dyDescent="0.2">
      <c r="A24" s="245"/>
      <c r="B24" s="585"/>
      <c r="C24" s="306"/>
      <c r="D24" s="306"/>
      <c r="E24" s="306"/>
      <c r="F24" s="306"/>
      <c r="G24" s="306"/>
      <c r="H24" s="306"/>
      <c r="I24" s="306"/>
      <c r="J24" s="265"/>
      <c r="K24" s="265"/>
      <c r="L24" s="265"/>
      <c r="M24" s="265"/>
      <c r="N24" s="265"/>
      <c r="O24" s="247"/>
      <c r="P24" s="245"/>
      <c r="Q24" s="245"/>
      <c r="R24" s="245"/>
    </row>
    <row r="25" spans="1:18" ht="15" x14ac:dyDescent="0.25">
      <c r="A25" s="245"/>
      <c r="B25" s="585"/>
      <c r="C25" s="556" t="s">
        <v>123</v>
      </c>
      <c r="D25" s="311"/>
      <c r="E25" s="311"/>
      <c r="F25" s="311"/>
      <c r="G25" s="311"/>
      <c r="H25" s="311"/>
      <c r="I25" s="265"/>
      <c r="J25" s="572"/>
      <c r="K25" s="264"/>
      <c r="L25" s="312"/>
      <c r="M25" s="265"/>
      <c r="N25" s="265"/>
      <c r="O25" s="247"/>
      <c r="P25" s="245"/>
      <c r="Q25" s="245"/>
      <c r="R25" s="245"/>
    </row>
    <row r="26" spans="1:18" ht="15" x14ac:dyDescent="0.25">
      <c r="A26" s="245"/>
      <c r="B26" s="585"/>
      <c r="C26" s="556"/>
      <c r="D26" s="311"/>
      <c r="E26" s="311"/>
      <c r="F26" s="311"/>
      <c r="G26" s="311"/>
      <c r="H26" s="311"/>
      <c r="I26" s="265"/>
      <c r="J26" s="264"/>
      <c r="K26" s="264"/>
      <c r="L26" s="265"/>
      <c r="M26" s="265"/>
      <c r="N26" s="265"/>
      <c r="O26" s="247"/>
      <c r="P26" s="245"/>
      <c r="Q26" s="245"/>
      <c r="R26" s="245"/>
    </row>
    <row r="27" spans="1:18" ht="15" x14ac:dyDescent="0.25">
      <c r="A27" s="245"/>
      <c r="B27" s="585"/>
      <c r="C27" s="556" t="s">
        <v>269</v>
      </c>
      <c r="D27" s="311"/>
      <c r="E27" s="311"/>
      <c r="F27" s="311"/>
      <c r="G27" s="311"/>
      <c r="H27" s="311"/>
      <c r="I27" s="265"/>
      <c r="J27" s="686"/>
      <c r="K27" s="686"/>
      <c r="L27" s="265"/>
      <c r="M27" s="265"/>
      <c r="N27" s="265"/>
      <c r="O27" s="247"/>
      <c r="P27" s="245"/>
      <c r="Q27" s="245"/>
      <c r="R27" s="245"/>
    </row>
    <row r="28" spans="1:18" ht="15" x14ac:dyDescent="0.25">
      <c r="A28" s="245"/>
      <c r="B28" s="585"/>
      <c r="C28" s="556"/>
      <c r="D28" s="311"/>
      <c r="E28" s="311"/>
      <c r="F28" s="311"/>
      <c r="G28" s="311"/>
      <c r="H28" s="311"/>
      <c r="I28" s="265"/>
      <c r="J28" s="290"/>
      <c r="K28" s="264"/>
      <c r="L28" s="265"/>
      <c r="M28" s="265"/>
      <c r="N28" s="265"/>
      <c r="O28" s="247"/>
      <c r="P28" s="245"/>
      <c r="Q28" s="245"/>
      <c r="R28" s="245"/>
    </row>
    <row r="29" spans="1:18" ht="15" x14ac:dyDescent="0.25">
      <c r="A29" s="245"/>
      <c r="B29" s="585"/>
      <c r="C29" s="556" t="s">
        <v>268</v>
      </c>
      <c r="D29" s="311"/>
      <c r="E29" s="311"/>
      <c r="F29" s="311"/>
      <c r="G29" s="311"/>
      <c r="H29" s="548"/>
      <c r="I29" s="265"/>
      <c r="J29" s="572"/>
      <c r="K29" s="264"/>
      <c r="L29" s="566" t="s">
        <v>119</v>
      </c>
      <c r="M29" s="265"/>
      <c r="N29" s="265"/>
      <c r="O29" s="247"/>
      <c r="P29" s="245"/>
      <c r="Q29" s="245"/>
      <c r="R29" s="245"/>
    </row>
    <row r="30" spans="1:18" ht="15" x14ac:dyDescent="0.25">
      <c r="A30" s="245"/>
      <c r="B30" s="585"/>
      <c r="C30" s="556"/>
      <c r="D30" s="311"/>
      <c r="E30" s="311"/>
      <c r="F30" s="311"/>
      <c r="G30" s="311"/>
      <c r="H30" s="311"/>
      <c r="I30" s="265"/>
      <c r="J30" s="264"/>
      <c r="K30" s="264"/>
      <c r="L30" s="265"/>
      <c r="M30" s="265"/>
      <c r="N30" s="265"/>
      <c r="O30" s="247"/>
      <c r="P30" s="245"/>
      <c r="Q30" s="245"/>
      <c r="R30" s="245"/>
    </row>
    <row r="31" spans="1:18" ht="15" x14ac:dyDescent="0.25">
      <c r="A31" s="245"/>
      <c r="B31" s="585"/>
      <c r="C31" s="556" t="str">
        <f>IF(DJS&gt;=NewSchDate,"4. The scheme you entered upon joining","4. The scheme you were in prior to 1 April 2015 ")</f>
        <v xml:space="preserve">4. The scheme you were in prior to 1 April 2015 </v>
      </c>
      <c r="D31" s="311"/>
      <c r="E31" s="311"/>
      <c r="F31" s="311"/>
      <c r="G31" s="311"/>
      <c r="H31" s="311"/>
      <c r="I31" s="265"/>
      <c r="J31" s="657" t="str">
        <f>IF(DJS="","",IF(DJS&gt;=NewSchDate,Scheme_CARE,IF(DJS&lt;start_Sch65,Scheme_60,Scheme_65)))</f>
        <v/>
      </c>
      <c r="K31" s="264"/>
      <c r="L31" s="265"/>
      <c r="M31" s="265"/>
      <c r="N31" s="265"/>
      <c r="O31" s="247"/>
      <c r="P31" s="245"/>
      <c r="Q31" s="245"/>
      <c r="R31" s="245"/>
    </row>
    <row r="32" spans="1:18" ht="15" x14ac:dyDescent="0.25">
      <c r="A32" s="245"/>
      <c r="B32" s="585"/>
      <c r="C32" s="556"/>
      <c r="D32" s="311"/>
      <c r="E32" s="311"/>
      <c r="F32" s="311"/>
      <c r="G32" s="311"/>
      <c r="H32" s="311"/>
      <c r="I32" s="265"/>
      <c r="J32" s="264"/>
      <c r="K32" s="264"/>
      <c r="L32" s="265"/>
      <c r="M32" s="265"/>
      <c r="N32" s="265"/>
      <c r="O32" s="247"/>
      <c r="P32" s="245"/>
      <c r="Q32" s="245"/>
      <c r="R32" s="245"/>
    </row>
    <row r="33" spans="1:18" ht="15" x14ac:dyDescent="0.25">
      <c r="A33" s="245"/>
      <c r="B33" s="585"/>
      <c r="C33" s="556" t="s">
        <v>500</v>
      </c>
      <c r="D33" s="311"/>
      <c r="E33" s="311"/>
      <c r="F33" s="311"/>
      <c r="G33" s="311"/>
      <c r="H33" s="311"/>
      <c r="I33" s="265"/>
      <c r="J33" s="558"/>
      <c r="K33" s="264" t="s">
        <v>63</v>
      </c>
      <c r="L33" s="566" t="s">
        <v>119</v>
      </c>
      <c r="M33" s="294"/>
      <c r="N33" s="294"/>
      <c r="O33" s="247"/>
      <c r="P33" s="245"/>
      <c r="Q33" s="245"/>
      <c r="R33" s="245"/>
    </row>
    <row r="34" spans="1:18" ht="15" x14ac:dyDescent="0.25">
      <c r="A34" s="245"/>
      <c r="B34" s="585"/>
      <c r="C34" s="556"/>
      <c r="D34" s="311"/>
      <c r="E34" s="311"/>
      <c r="F34" s="311"/>
      <c r="G34" s="311"/>
      <c r="H34" s="311"/>
      <c r="I34" s="265"/>
      <c r="J34" s="558"/>
      <c r="K34" s="264" t="s">
        <v>66</v>
      </c>
      <c r="L34" s="265"/>
      <c r="M34" s="294"/>
      <c r="N34" s="294"/>
      <c r="O34" s="247"/>
      <c r="P34" s="245"/>
      <c r="Q34" s="245"/>
      <c r="R34" s="245"/>
    </row>
    <row r="35" spans="1:18" ht="15" x14ac:dyDescent="0.25">
      <c r="A35" s="245"/>
      <c r="B35" s="585"/>
      <c r="C35" s="556"/>
      <c r="D35" s="311"/>
      <c r="E35" s="311"/>
      <c r="F35" s="311"/>
      <c r="G35" s="311"/>
      <c r="H35" s="311"/>
      <c r="I35" s="265"/>
      <c r="J35" s="264"/>
      <c r="K35" s="264"/>
      <c r="L35" s="265"/>
      <c r="M35" s="294"/>
      <c r="N35" s="294"/>
      <c r="O35" s="247"/>
      <c r="P35" s="245"/>
      <c r="Q35" s="245"/>
      <c r="R35" s="245"/>
    </row>
    <row r="36" spans="1:18" ht="15" x14ac:dyDescent="0.25">
      <c r="A36" s="245"/>
      <c r="B36" s="585"/>
      <c r="C36" s="556" t="s">
        <v>307</v>
      </c>
      <c r="D36" s="311"/>
      <c r="E36" s="304"/>
      <c r="F36" s="311"/>
      <c r="G36" s="311"/>
      <c r="H36" s="311"/>
      <c r="I36" s="265"/>
      <c r="J36" s="573"/>
      <c r="K36" s="264"/>
      <c r="L36" s="607" t="s">
        <v>119</v>
      </c>
      <c r="M36" s="265"/>
      <c r="N36" s="265"/>
      <c r="O36" s="247"/>
      <c r="P36" s="245"/>
      <c r="Q36" s="245"/>
      <c r="R36" s="245"/>
    </row>
    <row r="37" spans="1:18" ht="15" x14ac:dyDescent="0.25">
      <c r="A37" s="245"/>
      <c r="B37" s="585"/>
      <c r="C37" s="556"/>
      <c r="D37" s="311"/>
      <c r="E37" s="311"/>
      <c r="F37" s="311"/>
      <c r="G37" s="311"/>
      <c r="H37" s="313"/>
      <c r="I37" s="294"/>
      <c r="J37" s="296"/>
      <c r="K37" s="296"/>
      <c r="L37" s="294"/>
      <c r="M37" s="294"/>
      <c r="N37" s="294"/>
      <c r="O37" s="247"/>
      <c r="P37" s="245"/>
      <c r="Q37" s="245"/>
      <c r="R37" s="245"/>
    </row>
    <row r="38" spans="1:18" ht="15" x14ac:dyDescent="0.25">
      <c r="A38" s="245"/>
      <c r="B38" s="585"/>
      <c r="C38" s="556" t="s">
        <v>451</v>
      </c>
      <c r="D38" s="311"/>
      <c r="E38" s="311"/>
      <c r="F38" s="311"/>
      <c r="G38" s="311"/>
      <c r="H38" s="313"/>
      <c r="I38" s="294"/>
      <c r="J38" s="565"/>
      <c r="K38" s="296"/>
      <c r="L38" s="566" t="s">
        <v>119</v>
      </c>
      <c r="M38" s="265"/>
      <c r="N38" s="265"/>
      <c r="O38" s="247"/>
      <c r="P38" s="245"/>
      <c r="Q38" s="245"/>
      <c r="R38" s="245"/>
    </row>
    <row r="39" spans="1:18" ht="15" x14ac:dyDescent="0.25">
      <c r="A39" s="245"/>
      <c r="B39" s="585"/>
      <c r="C39" s="556"/>
      <c r="D39" s="311"/>
      <c r="E39" s="311"/>
      <c r="F39" s="311"/>
      <c r="G39" s="311"/>
      <c r="H39" s="313"/>
      <c r="I39" s="294"/>
      <c r="J39" s="554"/>
      <c r="K39" s="296"/>
      <c r="L39" s="555"/>
      <c r="M39" s="265"/>
      <c r="N39" s="265"/>
      <c r="O39" s="247"/>
      <c r="P39" s="245"/>
      <c r="Q39" s="245"/>
      <c r="R39" s="245"/>
    </row>
    <row r="40" spans="1:18" ht="15" x14ac:dyDescent="0.25">
      <c r="A40" s="245"/>
      <c r="B40" s="585"/>
      <c r="C40" s="556" t="s">
        <v>498</v>
      </c>
      <c r="D40" s="311"/>
      <c r="E40" s="311"/>
      <c r="F40" s="311"/>
      <c r="G40" s="311"/>
      <c r="H40" s="313"/>
      <c r="I40" s="294"/>
      <c r="J40" s="554"/>
      <c r="K40" s="296"/>
      <c r="L40" s="555"/>
      <c r="M40" s="265"/>
      <c r="N40" s="265"/>
      <c r="O40" s="247"/>
      <c r="P40" s="245"/>
      <c r="Q40" s="245"/>
      <c r="R40" s="245"/>
    </row>
    <row r="41" spans="1:18" ht="15" x14ac:dyDescent="0.25">
      <c r="A41" s="245"/>
      <c r="B41" s="585"/>
      <c r="C41" s="556" t="s">
        <v>537</v>
      </c>
      <c r="D41" s="311"/>
      <c r="E41" s="311"/>
      <c r="F41" s="311"/>
      <c r="G41" s="311"/>
      <c r="H41" s="313"/>
      <c r="I41" s="296" t="str">
        <f>IF(Parameters!B103,"Yes - input below","No - it will be approximated in the projection calculations")</f>
        <v>No - it will be approximated in the projection calculations</v>
      </c>
      <c r="J41" s="554"/>
      <c r="K41" s="296"/>
      <c r="L41" s="555"/>
      <c r="M41" s="265"/>
      <c r="N41" s="265"/>
      <c r="O41" s="247"/>
      <c r="P41" s="245"/>
      <c r="Q41" s="245"/>
      <c r="R41" s="245"/>
    </row>
    <row r="42" spans="1:18" ht="15" x14ac:dyDescent="0.25">
      <c r="A42" s="245"/>
      <c r="B42" s="585"/>
      <c r="C42" s="556" t="s">
        <v>499</v>
      </c>
      <c r="D42" s="311"/>
      <c r="E42" s="311"/>
      <c r="F42" s="311"/>
      <c r="G42" s="311"/>
      <c r="H42" s="313"/>
      <c r="I42" s="294"/>
      <c r="J42" s="554"/>
      <c r="K42" s="296"/>
      <c r="L42" s="555"/>
      <c r="M42" s="265"/>
      <c r="N42" s="265"/>
      <c r="O42" s="247"/>
      <c r="P42" s="245"/>
      <c r="Q42" s="245"/>
      <c r="R42" s="245"/>
    </row>
    <row r="43" spans="1:18" ht="15" x14ac:dyDescent="0.25">
      <c r="A43" s="245"/>
      <c r="B43" s="585"/>
      <c r="C43" s="556"/>
      <c r="D43" s="311"/>
      <c r="E43" s="311"/>
      <c r="F43" s="311"/>
      <c r="G43" s="311"/>
      <c r="H43" s="313"/>
      <c r="I43" s="294"/>
      <c r="J43" s="554"/>
      <c r="K43" s="296"/>
      <c r="L43" s="555"/>
      <c r="M43" s="265"/>
      <c r="N43" s="265"/>
      <c r="O43" s="247"/>
      <c r="P43" s="245"/>
      <c r="Q43" s="245"/>
      <c r="R43" s="245"/>
    </row>
    <row r="44" spans="1:18" ht="15" x14ac:dyDescent="0.25">
      <c r="A44" s="245"/>
      <c r="B44" s="585"/>
      <c r="C44" s="184"/>
      <c r="D44" s="556"/>
      <c r="E44" s="556"/>
      <c r="F44" s="556"/>
      <c r="G44" s="556"/>
      <c r="H44" s="568" t="s">
        <v>453</v>
      </c>
      <c r="I44" s="569" t="s">
        <v>454</v>
      </c>
      <c r="J44" s="575">
        <v>2017</v>
      </c>
      <c r="K44" s="570"/>
      <c r="L44" s="571" t="s">
        <v>148</v>
      </c>
      <c r="M44" s="576">
        <v>2000</v>
      </c>
      <c r="N44" s="577" t="s">
        <v>119</v>
      </c>
      <c r="O44" s="247"/>
      <c r="P44" s="245"/>
      <c r="Q44" s="245"/>
      <c r="R44" s="245"/>
    </row>
    <row r="45" spans="1:18" ht="15" x14ac:dyDescent="0.25">
      <c r="A45" s="245"/>
      <c r="B45" s="585"/>
      <c r="C45" s="184"/>
      <c r="D45" s="556"/>
      <c r="E45" s="556"/>
      <c r="F45" s="556"/>
      <c r="G45" s="556"/>
      <c r="H45" s="574"/>
      <c r="I45" s="592"/>
      <c r="J45" s="556"/>
      <c r="K45" s="570"/>
      <c r="L45" s="571"/>
      <c r="M45" s="570"/>
      <c r="N45" s="593"/>
      <c r="O45" s="247"/>
      <c r="P45" s="245"/>
      <c r="Q45" s="245"/>
      <c r="R45" s="245"/>
    </row>
    <row r="46" spans="1:18" ht="15" x14ac:dyDescent="0.25">
      <c r="A46" s="245"/>
      <c r="B46" s="585"/>
      <c r="C46" s="556" t="s">
        <v>501</v>
      </c>
      <c r="D46" s="311"/>
      <c r="E46" s="311"/>
      <c r="F46" s="311"/>
      <c r="G46" s="311"/>
      <c r="H46" s="311"/>
      <c r="I46" s="265"/>
      <c r="J46" s="558" t="s">
        <v>502</v>
      </c>
      <c r="K46" s="264"/>
      <c r="L46" s="566" t="s">
        <v>119</v>
      </c>
      <c r="M46" s="265"/>
      <c r="N46" s="265"/>
      <c r="O46" s="247"/>
      <c r="P46" s="245"/>
      <c r="Q46" s="245"/>
      <c r="R46" s="245"/>
    </row>
    <row r="47" spans="1:18" ht="15" x14ac:dyDescent="0.25">
      <c r="A47" s="245"/>
      <c r="B47" s="585"/>
      <c r="C47" s="556"/>
      <c r="D47" s="311"/>
      <c r="E47" s="311"/>
      <c r="F47" s="311"/>
      <c r="G47" s="311"/>
      <c r="H47" s="311"/>
      <c r="I47" s="265"/>
      <c r="J47" s="314"/>
      <c r="K47" s="264"/>
      <c r="L47" s="316"/>
      <c r="M47" s="265"/>
      <c r="N47" s="265"/>
      <c r="O47" s="247"/>
      <c r="P47" s="245"/>
      <c r="Q47" s="245"/>
      <c r="R47" s="245"/>
    </row>
    <row r="48" spans="1:18" ht="15" x14ac:dyDescent="0.25">
      <c r="A48" s="265"/>
      <c r="B48" s="585"/>
      <c r="C48" s="559" t="s">
        <v>471</v>
      </c>
      <c r="D48" s="560"/>
      <c r="E48" s="560"/>
      <c r="F48" s="560"/>
      <c r="G48" s="560"/>
      <c r="H48" s="560"/>
      <c r="I48" s="561"/>
      <c r="J48" s="557"/>
      <c r="K48" s="562"/>
      <c r="L48" s="563" t="s">
        <v>119</v>
      </c>
      <c r="M48" s="561"/>
      <c r="N48" s="265"/>
      <c r="O48" s="247"/>
      <c r="P48" s="245"/>
      <c r="Q48" s="245"/>
      <c r="R48" s="245"/>
    </row>
    <row r="49" spans="1:18" ht="15" x14ac:dyDescent="0.25">
      <c r="A49" s="245"/>
      <c r="B49" s="585"/>
      <c r="C49" s="578"/>
      <c r="D49" s="311"/>
      <c r="E49" s="311"/>
      <c r="F49" s="311"/>
      <c r="G49" s="311"/>
      <c r="H49" s="311"/>
      <c r="I49" s="579"/>
      <c r="J49" s="311"/>
      <c r="K49" s="184"/>
      <c r="L49" s="316"/>
      <c r="M49" s="265"/>
      <c r="N49" s="265"/>
      <c r="O49" s="247"/>
      <c r="P49" s="245"/>
      <c r="Q49" s="245"/>
      <c r="R49" s="245"/>
    </row>
    <row r="50" spans="1:18" ht="15" x14ac:dyDescent="0.25">
      <c r="A50" s="245"/>
      <c r="B50" s="585"/>
      <c r="C50" s="578" t="s">
        <v>504</v>
      </c>
      <c r="D50" s="311"/>
      <c r="E50" s="311"/>
      <c r="F50" s="311"/>
      <c r="G50" s="311"/>
      <c r="H50" s="311"/>
      <c r="I50" s="579"/>
      <c r="K50" s="184"/>
      <c r="L50" s="316"/>
      <c r="M50" s="265"/>
      <c r="N50" s="265"/>
      <c r="O50" s="247"/>
      <c r="P50" s="245"/>
      <c r="Q50" s="245"/>
      <c r="R50" s="245"/>
    </row>
    <row r="51" spans="1:18" ht="15" x14ac:dyDescent="0.25">
      <c r="A51" s="245"/>
      <c r="B51" s="585"/>
      <c r="C51" s="578"/>
      <c r="D51" s="311"/>
      <c r="E51" s="311"/>
      <c r="F51" s="311"/>
      <c r="G51" s="311"/>
      <c r="H51" s="311"/>
      <c r="I51" s="579"/>
      <c r="K51" s="184"/>
      <c r="L51" s="316"/>
      <c r="M51" s="265"/>
      <c r="N51" s="265"/>
      <c r="O51" s="247"/>
      <c r="P51" s="245"/>
      <c r="Q51" s="245"/>
      <c r="R51" s="245"/>
    </row>
    <row r="52" spans="1:18" ht="15" x14ac:dyDescent="0.25">
      <c r="A52" s="245"/>
      <c r="B52" s="585"/>
      <c r="C52" s="608" t="s">
        <v>472</v>
      </c>
      <c r="D52" s="560"/>
      <c r="E52" s="560"/>
      <c r="F52" s="560"/>
      <c r="G52" s="560"/>
      <c r="H52" s="560"/>
      <c r="I52" s="594" t="s">
        <v>301</v>
      </c>
      <c r="J52" s="575"/>
      <c r="K52" s="296"/>
      <c r="L52" s="294"/>
      <c r="M52" s="294"/>
      <c r="N52" s="294"/>
      <c r="O52" s="247"/>
      <c r="P52" s="245"/>
      <c r="Q52" s="245"/>
      <c r="R52" s="245"/>
    </row>
    <row r="53" spans="1:18" ht="15" x14ac:dyDescent="0.25">
      <c r="A53" s="245"/>
      <c r="B53" s="585"/>
      <c r="C53" s="578"/>
      <c r="D53" s="311"/>
      <c r="E53" s="311"/>
      <c r="F53" s="311"/>
      <c r="G53" s="311"/>
      <c r="H53" s="311"/>
      <c r="I53" s="594"/>
      <c r="K53" s="296"/>
      <c r="L53" s="294"/>
      <c r="M53" s="294"/>
      <c r="N53" s="294"/>
      <c r="O53" s="247"/>
      <c r="P53" s="245"/>
      <c r="Q53" s="245"/>
      <c r="R53" s="245"/>
    </row>
    <row r="54" spans="1:18" ht="15" x14ac:dyDescent="0.25">
      <c r="A54" s="245"/>
      <c r="B54" s="585"/>
      <c r="C54" s="556" t="s">
        <v>473</v>
      </c>
      <c r="D54" s="311"/>
      <c r="E54" s="311"/>
      <c r="F54" s="311"/>
      <c r="G54" s="311"/>
      <c r="H54" s="311"/>
      <c r="I54" s="326"/>
      <c r="J54" s="558"/>
      <c r="K54" s="562" t="s">
        <v>63</v>
      </c>
      <c r="L54" s="563" t="s">
        <v>119</v>
      </c>
      <c r="M54" s="265"/>
      <c r="N54" s="265"/>
      <c r="O54" s="247"/>
      <c r="P54" s="245"/>
      <c r="Q54" s="245"/>
      <c r="R54" s="245"/>
    </row>
    <row r="55" spans="1:18" ht="14.25" x14ac:dyDescent="0.2">
      <c r="B55" s="567"/>
      <c r="J55" s="558"/>
      <c r="K55" s="562" t="s">
        <v>66</v>
      </c>
      <c r="L55" s="564"/>
      <c r="P55" s="567"/>
    </row>
    <row r="56" spans="1:18" ht="15" x14ac:dyDescent="0.25">
      <c r="A56" s="245"/>
      <c r="B56" s="586"/>
      <c r="C56" s="591"/>
      <c r="D56" s="317"/>
      <c r="E56" s="317"/>
      <c r="F56" s="317"/>
      <c r="G56" s="317"/>
      <c r="H56" s="317"/>
      <c r="I56" s="295"/>
      <c r="J56" s="318"/>
      <c r="K56" s="295"/>
      <c r="L56" s="319"/>
      <c r="M56" s="295"/>
      <c r="N56" s="295"/>
      <c r="O56" s="249"/>
      <c r="P56" s="245"/>
      <c r="Q56" s="245"/>
      <c r="R56" s="245"/>
    </row>
    <row r="57" spans="1:18" ht="23.25" x14ac:dyDescent="0.35">
      <c r="A57" s="248"/>
      <c r="B57" s="355"/>
      <c r="C57" s="587" t="s">
        <v>121</v>
      </c>
      <c r="D57" s="310"/>
      <c r="E57" s="310"/>
      <c r="F57" s="310"/>
      <c r="G57" s="310"/>
      <c r="H57" s="310"/>
      <c r="I57" s="310"/>
      <c r="J57" s="307"/>
      <c r="K57" s="307"/>
      <c r="L57" s="307"/>
      <c r="M57" s="307"/>
      <c r="N57" s="307"/>
      <c r="O57" s="308"/>
      <c r="P57" s="245"/>
      <c r="Q57" s="245"/>
      <c r="R57" s="245"/>
    </row>
    <row r="58" spans="1:18" ht="23.25" x14ac:dyDescent="0.35">
      <c r="A58" s="248"/>
      <c r="B58" s="356"/>
      <c r="C58" s="580"/>
      <c r="D58" s="306"/>
      <c r="E58" s="306"/>
      <c r="F58" s="306"/>
      <c r="G58" s="306"/>
      <c r="H58" s="306"/>
      <c r="I58" s="306"/>
      <c r="J58" s="265"/>
      <c r="K58" s="265"/>
      <c r="L58" s="265"/>
      <c r="M58" s="265"/>
      <c r="N58" s="265"/>
      <c r="O58" s="247"/>
      <c r="P58" s="245"/>
      <c r="Q58" s="245"/>
      <c r="R58" s="245"/>
    </row>
    <row r="59" spans="1:18" ht="18.75" customHeight="1" x14ac:dyDescent="0.25">
      <c r="A59" s="248"/>
      <c r="B59" s="356"/>
      <c r="C59" s="581" t="str">
        <f>IF(Form_Check=TRUE,IF('FS Calcs'!F32="Tapered","Date of entering the 2015 scheme: ","")&amp;IF('FS Calcs'!F32="Tapered",IF(DJS&gt;=NewSchDate,TEXT(DJS,"d mmmm yyyy"),VLOOKUP('FS Calcs'!F32,$C$175:$E$177,3,FALSE)),""),"Insufficient data supplied, please fill in rest of form")</f>
        <v>Insufficient data supplied, please fill in rest of form</v>
      </c>
      <c r="D59" s="306"/>
      <c r="E59" s="306"/>
      <c r="F59" s="306"/>
      <c r="G59" s="306"/>
      <c r="H59" s="306"/>
      <c r="I59" s="306"/>
      <c r="J59" s="264"/>
      <c r="K59" s="264"/>
      <c r="L59" s="264"/>
      <c r="M59" s="264"/>
      <c r="N59" s="264"/>
      <c r="O59" s="315"/>
      <c r="P59" s="245"/>
      <c r="Q59" s="245"/>
      <c r="R59" s="245"/>
    </row>
    <row r="60" spans="1:18" ht="8.25" customHeight="1" x14ac:dyDescent="0.35">
      <c r="A60" s="248"/>
      <c r="B60" s="356"/>
      <c r="C60" s="580"/>
      <c r="D60" s="306"/>
      <c r="E60" s="306"/>
      <c r="F60" s="306"/>
      <c r="G60" s="306"/>
      <c r="H60" s="306"/>
      <c r="I60" s="306"/>
      <c r="J60" s="264"/>
      <c r="K60" s="264"/>
      <c r="L60" s="264"/>
      <c r="M60" s="264"/>
      <c r="N60" s="264"/>
      <c r="O60" s="320"/>
      <c r="P60" s="245"/>
      <c r="Q60" s="245"/>
      <c r="R60" s="245"/>
    </row>
    <row r="61" spans="1:18" ht="18" x14ac:dyDescent="0.25">
      <c r="A61" s="245"/>
      <c r="B61" s="585"/>
      <c r="C61" s="582" t="s">
        <v>512</v>
      </c>
      <c r="D61" s="292"/>
      <c r="E61" s="292"/>
      <c r="F61" s="292"/>
      <c r="G61" s="292"/>
      <c r="H61" s="292"/>
      <c r="I61" s="296"/>
      <c r="J61" s="296"/>
      <c r="K61" s="296"/>
      <c r="L61" s="296"/>
      <c r="M61" s="296"/>
      <c r="N61" s="264"/>
      <c r="O61" s="320"/>
      <c r="P61" s="245"/>
      <c r="Q61" s="245"/>
      <c r="R61" s="245"/>
    </row>
    <row r="62" spans="1:18" ht="14.25" x14ac:dyDescent="0.2">
      <c r="A62" s="245"/>
      <c r="B62" s="585"/>
      <c r="C62" s="296"/>
      <c r="D62" s="296"/>
      <c r="E62" s="296"/>
      <c r="F62" s="296"/>
      <c r="G62" s="296"/>
      <c r="H62" s="296"/>
      <c r="I62" s="296"/>
      <c r="J62" s="296"/>
      <c r="K62" s="296"/>
      <c r="L62" s="296"/>
      <c r="M62" s="296"/>
      <c r="N62" s="264"/>
      <c r="O62" s="320"/>
      <c r="P62" s="245"/>
      <c r="Q62" s="245"/>
      <c r="R62" s="245"/>
    </row>
    <row r="63" spans="1:18" ht="15" x14ac:dyDescent="0.25">
      <c r="A63" s="245"/>
      <c r="B63" s="585"/>
      <c r="C63" s="296" t="s">
        <v>179</v>
      </c>
      <c r="D63" s="296"/>
      <c r="E63" s="296"/>
      <c r="F63" s="296"/>
      <c r="G63" s="296"/>
      <c r="H63" s="296"/>
      <c r="I63" s="297">
        <f>Summary!D38</f>
        <v>0</v>
      </c>
      <c r="J63" s="296"/>
      <c r="K63" s="296"/>
      <c r="L63" s="296"/>
      <c r="M63" s="296"/>
      <c r="N63" s="264"/>
      <c r="O63" s="320"/>
      <c r="P63" s="245"/>
      <c r="Q63" s="245"/>
      <c r="R63" s="245"/>
    </row>
    <row r="64" spans="1:18" ht="15" x14ac:dyDescent="0.25">
      <c r="A64" s="245"/>
      <c r="B64" s="585"/>
      <c r="C64" s="296" t="s">
        <v>510</v>
      </c>
      <c r="D64" s="296"/>
      <c r="E64" s="296"/>
      <c r="F64" s="296"/>
      <c r="G64" s="296"/>
      <c r="H64" s="296"/>
      <c r="I64" s="661" t="e">
        <f>'FS Calcs'!G70&amp;" years and "&amp;'FS Calcs'!H70&amp;" days"</f>
        <v>#N/A</v>
      </c>
      <c r="J64" s="296"/>
      <c r="K64" s="296"/>
      <c r="L64" s="296"/>
      <c r="M64" s="296"/>
      <c r="N64" s="264"/>
      <c r="O64" s="320"/>
      <c r="P64" s="245"/>
      <c r="Q64" s="245"/>
      <c r="R64" s="245"/>
    </row>
    <row r="65" spans="1:18" ht="14.25" x14ac:dyDescent="0.2">
      <c r="A65" s="245"/>
      <c r="B65" s="585"/>
      <c r="C65" s="296"/>
      <c r="D65" s="296"/>
      <c r="E65" s="296"/>
      <c r="F65" s="296"/>
      <c r="G65" s="296"/>
      <c r="H65" s="296"/>
      <c r="I65" s="296"/>
      <c r="J65" s="296"/>
      <c r="K65" s="296"/>
      <c r="L65" s="296"/>
      <c r="M65" s="296"/>
      <c r="N65" s="264"/>
      <c r="O65" s="320"/>
      <c r="P65" s="245"/>
      <c r="Q65" s="245"/>
      <c r="R65" s="245"/>
    </row>
    <row r="66" spans="1:18" ht="15" x14ac:dyDescent="0.25">
      <c r="A66" s="245"/>
      <c r="B66" s="585"/>
      <c r="C66" s="296"/>
      <c r="D66" s="296"/>
      <c r="E66" s="296"/>
      <c r="F66" s="296"/>
      <c r="G66" s="296"/>
      <c r="H66" s="296"/>
      <c r="I66" s="682" t="s">
        <v>515</v>
      </c>
      <c r="J66" s="682"/>
      <c r="K66" s="682"/>
      <c r="L66" s="682"/>
      <c r="M66" s="682"/>
      <c r="N66" s="264"/>
      <c r="O66" s="320"/>
      <c r="P66" s="245"/>
      <c r="Q66" s="245"/>
      <c r="R66" s="245"/>
    </row>
    <row r="67" spans="1:18" ht="15" x14ac:dyDescent="0.2">
      <c r="A67" s="245"/>
      <c r="B67" s="585"/>
      <c r="C67" s="296"/>
      <c r="D67" s="296"/>
      <c r="E67" s="296"/>
      <c r="F67" s="296"/>
      <c r="G67" s="296"/>
      <c r="H67" s="296"/>
      <c r="I67" s="662">
        <v>0.02</v>
      </c>
      <c r="J67" s="660"/>
      <c r="K67" s="662">
        <v>0.03</v>
      </c>
      <c r="L67" s="660"/>
      <c r="M67" s="662">
        <v>0.04</v>
      </c>
      <c r="N67" s="264"/>
      <c r="O67" s="320"/>
      <c r="P67" s="245"/>
      <c r="Q67" s="245"/>
      <c r="R67" s="245"/>
    </row>
    <row r="68" spans="1:18" ht="14.25" customHeight="1" x14ac:dyDescent="0.2">
      <c r="A68" s="245"/>
      <c r="B68" s="585"/>
      <c r="C68" s="583"/>
      <c r="D68" s="296"/>
      <c r="E68" s="296"/>
      <c r="F68" s="296"/>
      <c r="G68" s="296"/>
      <c r="H68" s="296"/>
      <c r="I68" s="299"/>
      <c r="J68" s="300"/>
      <c r="K68" s="299"/>
      <c r="L68" s="300"/>
      <c r="M68" s="299"/>
      <c r="N68" s="264"/>
      <c r="O68" s="320"/>
      <c r="P68" s="245"/>
      <c r="Q68" s="245"/>
      <c r="R68" s="245"/>
    </row>
    <row r="69" spans="1:18" ht="16.5" x14ac:dyDescent="0.25">
      <c r="A69" s="265"/>
      <c r="B69" s="585"/>
      <c r="C69" s="663" t="s">
        <v>237</v>
      </c>
      <c r="D69" s="292"/>
      <c r="E69" s="292"/>
      <c r="F69" s="292"/>
      <c r="G69" s="292"/>
      <c r="H69" s="296"/>
      <c r="I69" s="296"/>
      <c r="J69" s="296"/>
      <c r="K69" s="296"/>
      <c r="L69" s="296"/>
      <c r="M69" s="296"/>
      <c r="N69" s="264"/>
      <c r="O69" s="320"/>
      <c r="P69" s="245"/>
      <c r="Q69" s="245"/>
      <c r="R69" s="245"/>
    </row>
    <row r="70" spans="1:18" ht="15" x14ac:dyDescent="0.25">
      <c r="A70" s="265"/>
      <c r="B70" s="585"/>
      <c r="C70" s="296" t="str">
        <f>Scheme_Full&amp;" annual pension"</f>
        <v xml:space="preserve"> annual pension</v>
      </c>
      <c r="D70" s="296"/>
      <c r="E70" s="296"/>
      <c r="F70" s="296"/>
      <c r="G70" s="296"/>
      <c r="H70" s="296"/>
      <c r="I70" s="297" t="e">
        <f>IF(Summary!D40="input error",Summary!D40,TEXT(Summary!D40,"£#,##0")&amp;" ")</f>
        <v>#N/A</v>
      </c>
      <c r="J70" s="296"/>
      <c r="K70" s="297" t="e">
        <f>IF(Summary!E40="input error",Summary!E40,TEXT(Summary!E40,"£#,##0")&amp;" ")</f>
        <v>#N/A</v>
      </c>
      <c r="L70" s="296"/>
      <c r="M70" s="297" t="e">
        <f>IF(Summary!F40="input error",Summary!F40,TEXT(Summary!F40,"£#,##0")&amp;"")</f>
        <v>#N/A</v>
      </c>
      <c r="N70" s="264"/>
      <c r="O70" s="247"/>
      <c r="P70" s="245"/>
    </row>
    <row r="71" spans="1:18" ht="15" x14ac:dyDescent="0.25">
      <c r="A71" s="265"/>
      <c r="B71" s="585"/>
      <c r="C71" s="296" t="str">
        <f>Scheme_Full&amp;" lump sum"</f>
        <v xml:space="preserve"> lump sum</v>
      </c>
      <c r="D71" s="296"/>
      <c r="E71" s="296"/>
      <c r="F71" s="296"/>
      <c r="G71" s="296"/>
      <c r="H71" s="296"/>
      <c r="I71" s="297" t="e">
        <f>Summary!D41</f>
        <v>#N/A</v>
      </c>
      <c r="J71" s="296"/>
      <c r="K71" s="297" t="e">
        <f>Summary!E41</f>
        <v>#N/A</v>
      </c>
      <c r="L71" s="296"/>
      <c r="M71" s="297" t="e">
        <f>Summary!F41</f>
        <v>#N/A</v>
      </c>
      <c r="N71" s="264"/>
      <c r="O71" s="247"/>
      <c r="P71" s="245"/>
    </row>
    <row r="72" spans="1:18" ht="15" x14ac:dyDescent="0.25">
      <c r="A72" s="265"/>
      <c r="B72" s="585"/>
      <c r="C72" s="296"/>
      <c r="D72" s="296"/>
      <c r="E72" s="296"/>
      <c r="F72" s="296"/>
      <c r="G72" s="296"/>
      <c r="H72" s="296"/>
      <c r="I72" s="297" t="s">
        <v>511</v>
      </c>
      <c r="J72" s="296"/>
      <c r="K72" s="297" t="s">
        <v>511</v>
      </c>
      <c r="L72" s="296"/>
      <c r="M72" s="297" t="s">
        <v>511</v>
      </c>
      <c r="N72" s="264"/>
      <c r="O72" s="247"/>
      <c r="P72" s="245"/>
    </row>
    <row r="73" spans="1:18" ht="15" x14ac:dyDescent="0.25">
      <c r="A73" s="265"/>
      <c r="B73" s="585"/>
      <c r="C73" s="296" t="str">
        <f>"2015 Scheme annual pension" &amp; IF(ChosenRA&gt;=55,""," deferred until SPA")</f>
        <v>2015 Scheme annual pension deferred until SPA</v>
      </c>
      <c r="D73" s="296"/>
      <c r="E73" s="296"/>
      <c r="F73" s="296"/>
      <c r="G73" s="296"/>
      <c r="H73" s="296"/>
      <c r="I73" s="297" t="e">
        <f>IF(Summary!D42="Input Error",Summary!D42,TEXT(Summary!D42,"£#,##0")&amp;"")</f>
        <v>#N/A</v>
      </c>
      <c r="J73" s="296"/>
      <c r="K73" s="297" t="e">
        <f>IF(Summary!E42="Input Error",Summary!E42,TEXT(Summary!E42,"£#,##0")&amp;" ")</f>
        <v>#N/A</v>
      </c>
      <c r="L73" s="296"/>
      <c r="M73" s="297" t="e">
        <f>IF(Summary!F42="Input Error",Summary!F42,TEXT(Summary!F42,"£#,##0")&amp;" ")</f>
        <v>#N/A</v>
      </c>
      <c r="N73" s="264"/>
      <c r="O73" s="320"/>
      <c r="P73" s="245"/>
      <c r="Q73" s="245"/>
      <c r="R73" s="245"/>
    </row>
    <row r="74" spans="1:18" ht="15" x14ac:dyDescent="0.25">
      <c r="A74" s="265"/>
      <c r="B74" s="585"/>
      <c r="C74" s="296" t="str">
        <f>"2015 Scheme lump sum" &amp; IF(ChosenRA&gt;=55,""," deferred until SPA")</f>
        <v>2015 Scheme lump sum deferred until SPA</v>
      </c>
      <c r="D74" s="296"/>
      <c r="E74" s="296"/>
      <c r="F74" s="296"/>
      <c r="G74" s="296"/>
      <c r="H74" s="296"/>
      <c r="I74" s="297" t="e">
        <f>Summary!D43</f>
        <v>#N/A</v>
      </c>
      <c r="J74" s="296"/>
      <c r="K74" s="297" t="e">
        <f>Summary!E43</f>
        <v>#N/A</v>
      </c>
      <c r="L74" s="296"/>
      <c r="M74" s="297" t="e">
        <f>Summary!F43</f>
        <v>#N/A</v>
      </c>
      <c r="N74" s="264"/>
      <c r="O74" s="320"/>
      <c r="P74" s="245"/>
      <c r="Q74" s="245"/>
      <c r="R74" s="245"/>
    </row>
    <row r="75" spans="1:18" ht="14.25" x14ac:dyDescent="0.2">
      <c r="A75" s="265"/>
      <c r="B75" s="585"/>
      <c r="C75" s="296"/>
      <c r="D75" s="296"/>
      <c r="E75" s="296"/>
      <c r="F75" s="296"/>
      <c r="G75" s="296"/>
      <c r="H75" s="296"/>
      <c r="I75" s="296"/>
      <c r="J75" s="296"/>
      <c r="K75" s="296"/>
      <c r="L75" s="296"/>
      <c r="M75" s="296"/>
      <c r="N75" s="264"/>
      <c r="O75" s="320"/>
      <c r="P75" s="245"/>
      <c r="Q75" s="245"/>
      <c r="R75" s="245"/>
    </row>
    <row r="76" spans="1:18" ht="15" x14ac:dyDescent="0.25">
      <c r="A76" s="265"/>
      <c r="B76" s="585"/>
      <c r="C76" s="292" t="str">
        <f>IF(ChosenRA&gt;=55,"Total pension","")</f>
        <v/>
      </c>
      <c r="D76" s="296"/>
      <c r="E76" s="296"/>
      <c r="F76" s="296"/>
      <c r="G76" s="296"/>
      <c r="H76" s="296"/>
      <c r="I76" s="297" t="str">
        <f>IF(ChosenRA&lt;55,"",IF(OR(Summary!D21&lt;0,Summary!D30&lt;0),"input error",TEXT(Summary!D44,"£#,##0")&amp;" pa"))</f>
        <v/>
      </c>
      <c r="J76" s="296"/>
      <c r="K76" s="297" t="str">
        <f>IF(ChosenRA&lt;55,"",IF(OR(Summary!E21&lt;0,Summary!E30&lt;0),"input error",TEXT(Summary!E44,"£#,##0")&amp;" pa"))</f>
        <v/>
      </c>
      <c r="L76" s="296"/>
      <c r="M76" s="297" t="str">
        <f>IF(ChosenRA&lt;55,"",IF(OR(Summary!F21&lt;0,Summary!F30&lt;0),"input error",TEXT(Summary!F44,"£#,##0")&amp;" pa"))</f>
        <v/>
      </c>
      <c r="N76" s="264"/>
      <c r="O76" s="320"/>
      <c r="P76" s="245"/>
      <c r="Q76" s="245"/>
      <c r="R76" s="245"/>
    </row>
    <row r="77" spans="1:18" ht="15" x14ac:dyDescent="0.25">
      <c r="A77" s="265"/>
      <c r="B77" s="585"/>
      <c r="C77" s="292" t="str">
        <f>IF(ChosenRA&gt;=55,"Total lump sum","")</f>
        <v/>
      </c>
      <c r="D77" s="296"/>
      <c r="E77" s="296"/>
      <c r="F77" s="296"/>
      <c r="G77" s="296"/>
      <c r="H77" s="296"/>
      <c r="I77" s="297" t="str">
        <f>IF(ChosenRA&lt;55,"",Summary!D45)</f>
        <v/>
      </c>
      <c r="J77" s="296"/>
      <c r="K77" s="297" t="str">
        <f>IF(ChosenRA&lt;55,"",Summary!E45)</f>
        <v/>
      </c>
      <c r="L77" s="296"/>
      <c r="M77" s="297" t="str">
        <f>IF(ChosenRA&lt;55,"",Summary!F45)</f>
        <v/>
      </c>
      <c r="N77" s="264"/>
      <c r="O77" s="320"/>
      <c r="P77" s="245"/>
      <c r="Q77" s="245"/>
      <c r="R77" s="245"/>
    </row>
    <row r="78" spans="1:18" ht="15" x14ac:dyDescent="0.25">
      <c r="A78" s="265"/>
      <c r="B78" s="585"/>
      <c r="C78" s="296"/>
      <c r="D78" s="296"/>
      <c r="E78" s="296"/>
      <c r="F78" s="296"/>
      <c r="G78" s="296"/>
      <c r="H78" s="296"/>
      <c r="I78" s="297"/>
      <c r="J78" s="296"/>
      <c r="K78" s="297"/>
      <c r="L78" s="296"/>
      <c r="M78" s="297"/>
      <c r="N78" s="264"/>
      <c r="O78" s="320"/>
      <c r="P78" s="245"/>
      <c r="Q78" s="245"/>
      <c r="R78" s="245"/>
    </row>
    <row r="79" spans="1:18" ht="18" customHeight="1" x14ac:dyDescent="0.2">
      <c r="A79" s="245"/>
      <c r="B79" s="585"/>
      <c r="C79" s="583"/>
      <c r="D79" s="296"/>
      <c r="E79" s="296"/>
      <c r="F79" s="296"/>
      <c r="G79" s="296"/>
      <c r="H79" s="296"/>
      <c r="I79" s="296"/>
      <c r="J79" s="296"/>
      <c r="K79" s="296"/>
      <c r="L79" s="296"/>
      <c r="M79" s="296"/>
      <c r="N79" s="264"/>
      <c r="O79" s="320"/>
      <c r="P79" s="245"/>
      <c r="Q79" s="245"/>
      <c r="R79" s="245"/>
    </row>
    <row r="80" spans="1:18" ht="16.5" x14ac:dyDescent="0.25">
      <c r="A80" s="664"/>
      <c r="B80" s="665"/>
      <c r="C80" s="663" t="s">
        <v>238</v>
      </c>
      <c r="D80" s="292"/>
      <c r="E80" s="292"/>
      <c r="F80" s="292"/>
      <c r="G80" s="296"/>
      <c r="H80" s="296"/>
      <c r="I80" s="296"/>
      <c r="J80" s="296"/>
      <c r="K80" s="296"/>
      <c r="L80" s="296"/>
      <c r="M80" s="296"/>
      <c r="N80" s="264"/>
      <c r="O80" s="320"/>
      <c r="P80" s="245"/>
      <c r="Q80" s="245"/>
      <c r="R80" s="245"/>
    </row>
    <row r="81" spans="1:18" ht="15" x14ac:dyDescent="0.25">
      <c r="A81" s="245"/>
      <c r="B81" s="585"/>
      <c r="C81" s="296" t="str">
        <f>Scheme_Full&amp;" annual pension"</f>
        <v xml:space="preserve"> annual pension</v>
      </c>
      <c r="D81" s="296"/>
      <c r="E81" s="296"/>
      <c r="F81" s="296"/>
      <c r="G81" s="296"/>
      <c r="H81" s="296"/>
      <c r="I81" s="297" t="e">
        <f>IF(Summary!D46="input error",Summary!D46,TEXT(Summary!D46,"£#,##0")&amp;" ")</f>
        <v>#N/A</v>
      </c>
      <c r="J81" s="296"/>
      <c r="K81" s="297" t="e">
        <f>IF(Summary!E46="input error",Summary!E46,TEXT(Summary!E46,"£#,##0")&amp;" ")</f>
        <v>#N/A</v>
      </c>
      <c r="L81" s="296"/>
      <c r="M81" s="297" t="e">
        <f>IF(Summary!F46="input error",Summary!F46,TEXT(Summary!F46,"£#,##0")&amp;" ")</f>
        <v>#N/A</v>
      </c>
      <c r="N81" s="264"/>
      <c r="O81" s="320"/>
      <c r="P81" s="245"/>
      <c r="Q81" s="245"/>
      <c r="R81" s="245"/>
    </row>
    <row r="82" spans="1:18" ht="15" x14ac:dyDescent="0.25">
      <c r="A82" s="245"/>
      <c r="B82" s="585"/>
      <c r="C82" s="296" t="str">
        <f>Scheme_Full&amp;" lump sum"</f>
        <v xml:space="preserve"> lump sum</v>
      </c>
      <c r="D82" s="296"/>
      <c r="E82" s="296"/>
      <c r="F82" s="296"/>
      <c r="G82" s="296"/>
      <c r="H82" s="296"/>
      <c r="I82" s="297" t="e">
        <f>Summary!D47</f>
        <v>#N/A</v>
      </c>
      <c r="J82" s="296"/>
      <c r="K82" s="297" t="e">
        <f>Summary!E47</f>
        <v>#N/A</v>
      </c>
      <c r="L82" s="296"/>
      <c r="M82" s="297" t="e">
        <f>Summary!F47</f>
        <v>#N/A</v>
      </c>
      <c r="N82" s="264"/>
      <c r="O82" s="320"/>
      <c r="P82" s="245"/>
      <c r="Q82" s="245"/>
      <c r="R82" s="245"/>
    </row>
    <row r="83" spans="1:18" ht="15" x14ac:dyDescent="0.25">
      <c r="A83" s="245"/>
      <c r="B83" s="585"/>
      <c r="C83" s="296"/>
      <c r="D83" s="296"/>
      <c r="E83" s="296"/>
      <c r="F83" s="296"/>
      <c r="G83" s="296"/>
      <c r="H83" s="296"/>
      <c r="I83" s="297" t="s">
        <v>511</v>
      </c>
      <c r="J83" s="296"/>
      <c r="K83" s="297" t="s">
        <v>511</v>
      </c>
      <c r="L83" s="296"/>
      <c r="M83" s="297" t="s">
        <v>511</v>
      </c>
      <c r="N83" s="264"/>
      <c r="O83" s="320"/>
      <c r="P83" s="245"/>
      <c r="Q83" s="245"/>
      <c r="R83" s="245"/>
    </row>
    <row r="84" spans="1:18" ht="15" x14ac:dyDescent="0.25">
      <c r="A84" s="245"/>
      <c r="B84" s="585"/>
      <c r="C84" s="296" t="str">
        <f>"2015 Scheme annual pension" &amp; IF(ChosenRA&gt;=55,""," deferred until SPA")</f>
        <v>2015 Scheme annual pension deferred until SPA</v>
      </c>
      <c r="D84" s="296"/>
      <c r="E84" s="296"/>
      <c r="F84" s="296"/>
      <c r="G84" s="296"/>
      <c r="H84" s="296"/>
      <c r="I84" s="297" t="e">
        <f>IF(Summary!D48="input error",Summary!D48,TEXT(Summary!D48,"£#,##0")&amp;" ")</f>
        <v>#N/A</v>
      </c>
      <c r="J84" s="296"/>
      <c r="K84" s="297" t="e">
        <f>IF(Summary!E48="input error",Summary!E48,TEXT(Summary!E48,"£#,##0")&amp;"")</f>
        <v>#N/A</v>
      </c>
      <c r="L84" s="296"/>
      <c r="M84" s="297" t="e">
        <f>IF(Summary!F48="input error",Summary!F48,TEXT(Summary!F48,"£#,##0")&amp;" ")</f>
        <v>#N/A</v>
      </c>
      <c r="N84" s="264"/>
      <c r="O84" s="320"/>
      <c r="P84" s="245"/>
      <c r="Q84" s="245"/>
      <c r="R84" s="245"/>
    </row>
    <row r="85" spans="1:18" ht="15" x14ac:dyDescent="0.25">
      <c r="A85" s="245"/>
      <c r="B85" s="585"/>
      <c r="C85" s="296"/>
      <c r="D85" s="296"/>
      <c r="E85" s="296"/>
      <c r="F85" s="296"/>
      <c r="G85" s="296"/>
      <c r="H85" s="296"/>
      <c r="I85" s="297"/>
      <c r="J85" s="296"/>
      <c r="K85" s="297"/>
      <c r="L85" s="296"/>
      <c r="M85" s="297"/>
      <c r="N85" s="264"/>
      <c r="O85" s="320"/>
      <c r="P85" s="245"/>
      <c r="Q85" s="245"/>
      <c r="R85" s="245"/>
    </row>
    <row r="86" spans="1:18" ht="15" x14ac:dyDescent="0.25">
      <c r="A86" s="245"/>
      <c r="B86" s="585"/>
      <c r="C86" s="292" t="str">
        <f>IF(ChosenRA&gt;=55,"Total pension","")</f>
        <v/>
      </c>
      <c r="D86" s="296"/>
      <c r="E86" s="296"/>
      <c r="F86" s="296"/>
      <c r="G86" s="296"/>
      <c r="H86" s="296"/>
      <c r="I86" s="297" t="str">
        <f>IF(ChosenRA&lt;55,"",IF(Summary!D49="input error",Summary!D49,TEXT(Summary!D49,"£#,##0")&amp;" pa"))</f>
        <v/>
      </c>
      <c r="J86" s="296"/>
      <c r="K86" s="297" t="str">
        <f>IF(ChosenRA&lt;55,"",IF(Summary!E49="input error",Summary!E49,TEXT(Summary!E49,"£#,##0")&amp;" pa"))</f>
        <v/>
      </c>
      <c r="L86" s="296"/>
      <c r="M86" s="297" t="str">
        <f>IF(ChosenRA&lt;55,"",IF(Summary!F49="input error",Summary!F49,TEXT(Summary!F49,"£#,##0")&amp;" pa"))</f>
        <v/>
      </c>
      <c r="N86" s="264"/>
      <c r="O86" s="320"/>
      <c r="P86" s="245"/>
      <c r="Q86" s="245"/>
      <c r="R86" s="245"/>
    </row>
    <row r="87" spans="1:18" ht="15" x14ac:dyDescent="0.25">
      <c r="A87" s="245"/>
      <c r="B87" s="585"/>
      <c r="C87" s="292" t="str">
        <f>IF(ChosenRA&gt;=55,"Total lump sum","")</f>
        <v/>
      </c>
      <c r="D87" s="296"/>
      <c r="E87" s="296"/>
      <c r="F87" s="296"/>
      <c r="G87" s="296"/>
      <c r="H87" s="296"/>
      <c r="I87" s="297" t="str">
        <f>IF(ChosenRA&gt;=55,I82,"")</f>
        <v/>
      </c>
      <c r="J87" s="296"/>
      <c r="K87" s="297" t="str">
        <f>IF(ChosenRA&gt;=55,K82,"")</f>
        <v/>
      </c>
      <c r="L87" s="296"/>
      <c r="M87" s="297" t="str">
        <f>IF(ChosenRA&gt;=55,M82,"")</f>
        <v/>
      </c>
      <c r="N87" s="264"/>
      <c r="O87" s="320"/>
      <c r="P87" s="245"/>
      <c r="Q87" s="245"/>
      <c r="R87" s="245"/>
    </row>
    <row r="88" spans="1:18" ht="15" x14ac:dyDescent="0.25">
      <c r="A88" s="245"/>
      <c r="B88" s="586"/>
      <c r="C88" s="302"/>
      <c r="D88" s="301"/>
      <c r="E88" s="301"/>
      <c r="F88" s="301"/>
      <c r="G88" s="301"/>
      <c r="H88" s="301"/>
      <c r="I88" s="302"/>
      <c r="J88" s="302"/>
      <c r="K88" s="302"/>
      <c r="L88" s="302"/>
      <c r="M88" s="302"/>
      <c r="N88" s="303"/>
      <c r="O88" s="321"/>
      <c r="P88" s="245"/>
      <c r="Q88" s="245"/>
      <c r="R88" s="245"/>
    </row>
    <row r="89" spans="1:18" ht="15.75" thickBot="1" x14ac:dyDescent="0.3">
      <c r="A89" s="245"/>
      <c r="B89" s="245"/>
      <c r="C89" s="292"/>
      <c r="D89" s="296"/>
      <c r="E89" s="296"/>
      <c r="F89" s="296"/>
      <c r="G89" s="296"/>
      <c r="H89" s="296"/>
      <c r="I89" s="292"/>
      <c r="J89" s="292"/>
      <c r="K89" s="292"/>
      <c r="L89" s="292"/>
      <c r="M89" s="292"/>
      <c r="N89" s="264"/>
      <c r="O89" s="264"/>
      <c r="P89" s="245"/>
      <c r="Q89" s="245"/>
      <c r="R89" s="245"/>
    </row>
    <row r="90" spans="1:18" ht="21.75" customHeight="1" x14ac:dyDescent="0.25">
      <c r="A90" s="245"/>
      <c r="B90" s="245"/>
      <c r="C90" s="687" t="s">
        <v>308</v>
      </c>
      <c r="D90" s="688"/>
      <c r="E90" s="689"/>
      <c r="F90" s="245"/>
      <c r="G90" s="693" t="s">
        <v>309</v>
      </c>
      <c r="H90" s="694"/>
      <c r="I90" s="695"/>
      <c r="J90" s="245"/>
      <c r="K90" s="693" t="s">
        <v>310</v>
      </c>
      <c r="L90" s="694"/>
      <c r="M90" s="695"/>
      <c r="N90" s="305"/>
      <c r="O90" s="264"/>
      <c r="P90" s="245"/>
      <c r="Q90" s="245"/>
      <c r="R90" s="245"/>
    </row>
    <row r="91" spans="1:18" ht="21.75" customHeight="1" thickBot="1" x14ac:dyDescent="0.3">
      <c r="A91" s="245"/>
      <c r="B91" s="245"/>
      <c r="C91" s="690"/>
      <c r="D91" s="691"/>
      <c r="E91" s="692"/>
      <c r="F91" s="245"/>
      <c r="G91" s="696"/>
      <c r="H91" s="697"/>
      <c r="I91" s="698"/>
      <c r="J91" s="245"/>
      <c r="K91" s="696"/>
      <c r="L91" s="697"/>
      <c r="M91" s="698"/>
      <c r="N91" s="305"/>
      <c r="O91" s="264"/>
      <c r="P91" s="245"/>
      <c r="Q91" s="245"/>
      <c r="R91" s="245"/>
    </row>
    <row r="92" spans="1:18" ht="13.5" customHeight="1" x14ac:dyDescent="0.25">
      <c r="A92" s="245"/>
      <c r="B92" s="245"/>
      <c r="C92" s="292"/>
      <c r="D92" s="291"/>
      <c r="E92" s="291"/>
      <c r="F92" s="291"/>
      <c r="G92" s="291"/>
      <c r="H92" s="291"/>
      <c r="I92" s="293"/>
      <c r="J92" s="293"/>
      <c r="K92" s="293"/>
      <c r="L92" s="293"/>
      <c r="M92" s="293"/>
      <c r="N92" s="245"/>
      <c r="O92" s="245"/>
      <c r="P92" s="245"/>
      <c r="Q92" s="245"/>
      <c r="R92" s="245"/>
    </row>
    <row r="93" spans="1:18" ht="15.75" x14ac:dyDescent="0.25">
      <c r="A93" s="245"/>
      <c r="B93" s="245"/>
      <c r="C93" s="266"/>
      <c r="D93" s="175"/>
      <c r="E93" s="175"/>
      <c r="F93" s="175"/>
      <c r="G93" s="175"/>
      <c r="H93" s="175"/>
      <c r="I93" s="175"/>
      <c r="J93" s="175"/>
      <c r="K93" s="175"/>
      <c r="L93" s="175"/>
      <c r="M93" s="175"/>
      <c r="N93" s="175"/>
      <c r="O93" s="245"/>
      <c r="P93" s="245"/>
      <c r="Q93" s="245"/>
      <c r="R93" s="245"/>
    </row>
    <row r="94" spans="1:18" ht="27" customHeight="1" x14ac:dyDescent="0.2">
      <c r="A94" s="245"/>
      <c r="B94" s="245"/>
      <c r="C94" s="677"/>
      <c r="D94" s="677"/>
      <c r="E94" s="677"/>
      <c r="F94" s="677"/>
      <c r="G94" s="677"/>
      <c r="H94" s="677"/>
      <c r="I94" s="677"/>
      <c r="J94" s="677"/>
      <c r="K94" s="677"/>
      <c r="L94" s="677"/>
      <c r="M94" s="677"/>
      <c r="N94" s="677"/>
      <c r="O94" s="245"/>
      <c r="P94" s="245"/>
      <c r="Q94" s="245"/>
      <c r="R94" s="245"/>
    </row>
    <row r="95" spans="1:18" x14ac:dyDescent="0.2">
      <c r="A95" s="245"/>
      <c r="B95" s="245"/>
      <c r="C95" s="677"/>
      <c r="D95" s="677"/>
      <c r="E95" s="677"/>
      <c r="F95" s="677"/>
      <c r="G95" s="677"/>
      <c r="H95" s="677"/>
      <c r="I95" s="677"/>
      <c r="J95" s="677"/>
      <c r="K95" s="677"/>
      <c r="L95" s="677"/>
      <c r="M95" s="677"/>
      <c r="N95" s="677"/>
      <c r="O95" s="245"/>
      <c r="P95" s="245"/>
      <c r="Q95" s="245"/>
      <c r="R95" s="245"/>
    </row>
    <row r="96" spans="1:18" ht="30.75" customHeight="1" x14ac:dyDescent="0.2">
      <c r="A96" s="245"/>
      <c r="B96" s="245"/>
      <c r="C96" s="677"/>
      <c r="D96" s="676"/>
      <c r="E96" s="676"/>
      <c r="F96" s="676"/>
      <c r="G96" s="676"/>
      <c r="H96" s="676"/>
      <c r="I96" s="676"/>
      <c r="J96" s="676"/>
      <c r="K96" s="676"/>
      <c r="L96" s="676"/>
      <c r="M96" s="676"/>
      <c r="N96" s="676"/>
      <c r="O96" s="245"/>
      <c r="P96" s="245"/>
      <c r="Q96" s="245"/>
      <c r="R96" s="245"/>
    </row>
    <row r="97" spans="1:18" x14ac:dyDescent="0.2">
      <c r="A97" s="245"/>
      <c r="B97" s="245"/>
      <c r="C97" s="683"/>
      <c r="D97" s="683"/>
      <c r="E97" s="683"/>
      <c r="F97" s="683"/>
      <c r="G97" s="683"/>
      <c r="H97" s="683"/>
      <c r="I97" s="683"/>
      <c r="J97" s="683"/>
      <c r="K97" s="683"/>
      <c r="L97" s="683"/>
      <c r="M97" s="683"/>
      <c r="N97" s="683"/>
      <c r="O97" s="245"/>
      <c r="P97" s="245"/>
      <c r="Q97" s="245"/>
      <c r="R97" s="245"/>
    </row>
    <row r="98" spans="1:18" x14ac:dyDescent="0.2">
      <c r="A98" s="245"/>
      <c r="B98" s="245"/>
      <c r="C98" s="683"/>
      <c r="D98" s="683"/>
      <c r="E98" s="683"/>
      <c r="F98" s="683"/>
      <c r="G98" s="683"/>
      <c r="H98" s="683"/>
      <c r="I98" s="683"/>
      <c r="J98" s="683"/>
      <c r="K98" s="683"/>
      <c r="L98" s="683"/>
      <c r="M98" s="683"/>
      <c r="N98" s="683"/>
      <c r="O98" s="245"/>
      <c r="P98" s="245"/>
      <c r="Q98" s="245"/>
      <c r="R98" s="245"/>
    </row>
    <row r="99" spans="1:18" ht="43.5" customHeight="1" x14ac:dyDescent="0.2">
      <c r="A99" s="245"/>
      <c r="B99" s="245"/>
      <c r="C99" s="677"/>
      <c r="D99" s="676"/>
      <c r="E99" s="676"/>
      <c r="F99" s="676"/>
      <c r="G99" s="676"/>
      <c r="H99" s="676"/>
      <c r="I99" s="676"/>
      <c r="J99" s="676"/>
      <c r="K99" s="676"/>
      <c r="L99" s="676"/>
      <c r="M99" s="676"/>
      <c r="N99" s="676"/>
      <c r="O99" s="245"/>
      <c r="P99" s="245"/>
      <c r="Q99" s="245"/>
      <c r="R99" s="245"/>
    </row>
    <row r="100" spans="1:18" ht="42.75" customHeight="1" x14ac:dyDescent="0.2">
      <c r="A100" s="245"/>
      <c r="B100" s="245"/>
      <c r="C100" s="677"/>
      <c r="D100" s="676"/>
      <c r="E100" s="676"/>
      <c r="F100" s="676"/>
      <c r="G100" s="676"/>
      <c r="H100" s="676"/>
      <c r="I100" s="676"/>
      <c r="J100" s="676"/>
      <c r="K100" s="676"/>
      <c r="L100" s="676"/>
      <c r="M100" s="676"/>
      <c r="N100" s="676"/>
      <c r="O100" s="245"/>
      <c r="P100" s="245"/>
      <c r="Q100" s="245"/>
      <c r="R100" s="245"/>
    </row>
    <row r="101" spans="1:18" x14ac:dyDescent="0.2">
      <c r="A101" s="245"/>
      <c r="B101" s="245"/>
      <c r="C101" s="685"/>
      <c r="D101" s="685"/>
      <c r="E101" s="685"/>
      <c r="F101" s="685"/>
      <c r="G101" s="685"/>
      <c r="H101" s="685"/>
      <c r="I101" s="685"/>
      <c r="J101" s="685"/>
      <c r="K101" s="685"/>
      <c r="L101" s="685"/>
      <c r="M101" s="685"/>
      <c r="N101" s="685"/>
      <c r="O101" s="245"/>
      <c r="P101" s="245"/>
      <c r="Q101" s="245"/>
      <c r="R101" s="245"/>
    </row>
    <row r="102" spans="1:18" ht="54" customHeight="1" x14ac:dyDescent="0.2">
      <c r="A102" s="322"/>
      <c r="B102" s="322"/>
      <c r="C102" s="677"/>
      <c r="D102" s="676"/>
      <c r="E102" s="676"/>
      <c r="F102" s="676"/>
      <c r="G102" s="676"/>
      <c r="H102" s="676"/>
      <c r="I102" s="676"/>
      <c r="J102" s="676"/>
      <c r="K102" s="676"/>
      <c r="L102" s="676"/>
      <c r="M102" s="676"/>
      <c r="N102" s="676"/>
      <c r="O102" s="245"/>
      <c r="P102" s="245"/>
      <c r="Q102" s="245"/>
      <c r="R102" s="245"/>
    </row>
    <row r="103" spans="1:18" ht="36" customHeight="1" x14ac:dyDescent="0.2">
      <c r="A103" s="322"/>
      <c r="B103" s="322"/>
      <c r="C103" s="677"/>
      <c r="D103" s="677"/>
      <c r="E103" s="677"/>
      <c r="F103" s="677"/>
      <c r="G103" s="677"/>
      <c r="H103" s="677"/>
      <c r="I103" s="677"/>
      <c r="J103" s="677"/>
      <c r="K103" s="677"/>
      <c r="L103" s="677"/>
      <c r="M103" s="677"/>
      <c r="N103" s="677"/>
      <c r="O103" s="245"/>
      <c r="P103" s="245"/>
      <c r="Q103" s="245"/>
      <c r="R103" s="245"/>
    </row>
    <row r="104" spans="1:18" ht="42.75" customHeight="1" x14ac:dyDescent="0.2">
      <c r="A104" s="322"/>
      <c r="B104" s="322"/>
      <c r="C104" s="677"/>
      <c r="D104" s="676"/>
      <c r="E104" s="676"/>
      <c r="F104" s="676"/>
      <c r="G104" s="676"/>
      <c r="H104" s="676"/>
      <c r="I104" s="676"/>
      <c r="J104" s="676"/>
      <c r="K104" s="676"/>
      <c r="L104" s="676"/>
      <c r="M104" s="676"/>
      <c r="N104" s="676"/>
      <c r="O104" s="245"/>
      <c r="P104" s="245"/>
      <c r="Q104" s="245"/>
      <c r="R104" s="245"/>
    </row>
    <row r="105" spans="1:18" ht="15.75" customHeight="1" x14ac:dyDescent="0.2">
      <c r="A105" s="322"/>
      <c r="B105" s="322"/>
      <c r="C105" s="677"/>
      <c r="D105" s="676"/>
      <c r="E105" s="676"/>
      <c r="F105" s="676"/>
      <c r="G105" s="676"/>
      <c r="H105" s="676"/>
      <c r="I105" s="676"/>
      <c r="J105" s="676"/>
      <c r="K105" s="676"/>
      <c r="L105" s="676"/>
      <c r="M105" s="676"/>
      <c r="N105" s="676"/>
      <c r="O105" s="245"/>
      <c r="P105" s="245"/>
      <c r="Q105" s="245"/>
      <c r="R105" s="245"/>
    </row>
    <row r="106" spans="1:18" ht="42" customHeight="1" x14ac:dyDescent="0.2">
      <c r="A106" s="322"/>
      <c r="B106" s="322"/>
      <c r="C106" s="677"/>
      <c r="D106" s="676"/>
      <c r="E106" s="676"/>
      <c r="F106" s="676"/>
      <c r="G106" s="676"/>
      <c r="H106" s="676"/>
      <c r="I106" s="676"/>
      <c r="J106" s="676"/>
      <c r="K106" s="676"/>
      <c r="L106" s="676"/>
      <c r="M106" s="676"/>
      <c r="N106" s="676"/>
      <c r="O106" s="245"/>
      <c r="P106" s="245"/>
      <c r="Q106" s="245"/>
      <c r="R106" s="245"/>
    </row>
    <row r="107" spans="1:18" ht="18.75" customHeight="1" x14ac:dyDescent="0.2">
      <c r="A107" s="245"/>
      <c r="B107" s="245"/>
      <c r="C107" s="671"/>
      <c r="D107" s="671"/>
      <c r="E107" s="671"/>
      <c r="F107" s="671"/>
      <c r="G107" s="671"/>
      <c r="H107" s="671"/>
      <c r="I107" s="671"/>
      <c r="J107" s="671"/>
      <c r="K107" s="671"/>
      <c r="L107" s="671"/>
      <c r="M107" s="671"/>
      <c r="N107" s="671"/>
      <c r="O107" s="245"/>
      <c r="P107" s="245"/>
      <c r="Q107" s="245"/>
      <c r="R107" s="245"/>
    </row>
    <row r="108" spans="1:18" ht="30.75" customHeight="1" x14ac:dyDescent="0.2">
      <c r="A108" s="245"/>
      <c r="B108" s="245"/>
      <c r="C108" s="676"/>
      <c r="D108" s="676"/>
      <c r="E108" s="676"/>
      <c r="F108" s="676"/>
      <c r="G108" s="676"/>
      <c r="H108" s="676"/>
      <c r="I108" s="676"/>
      <c r="J108" s="676"/>
      <c r="K108" s="676"/>
      <c r="L108" s="676"/>
      <c r="M108" s="676"/>
      <c r="N108" s="676"/>
      <c r="O108" s="245"/>
      <c r="P108" s="245"/>
      <c r="Q108" s="245"/>
      <c r="R108" s="245"/>
    </row>
    <row r="109" spans="1:18" ht="28.5" customHeight="1" x14ac:dyDescent="0.2">
      <c r="A109" s="322"/>
      <c r="B109" s="322"/>
      <c r="C109" s="684"/>
      <c r="D109" s="684"/>
      <c r="E109" s="684"/>
      <c r="F109" s="684"/>
      <c r="G109" s="684"/>
      <c r="H109" s="684"/>
      <c r="I109" s="684"/>
      <c r="J109" s="684"/>
      <c r="K109" s="684"/>
      <c r="L109" s="684"/>
      <c r="M109" s="684"/>
      <c r="N109" s="684"/>
      <c r="O109" s="542"/>
      <c r="P109" s="245"/>
      <c r="Q109" s="245"/>
      <c r="R109" s="245"/>
    </row>
    <row r="110" spans="1:18" ht="21" customHeight="1" x14ac:dyDescent="0.2">
      <c r="A110" s="322"/>
      <c r="B110" s="322"/>
      <c r="C110" s="680"/>
      <c r="D110" s="681"/>
      <c r="E110" s="681"/>
      <c r="F110" s="681"/>
      <c r="G110" s="681"/>
      <c r="H110" s="681"/>
      <c r="I110" s="681"/>
      <c r="J110" s="681"/>
      <c r="K110" s="681"/>
      <c r="L110" s="681"/>
      <c r="M110" s="681"/>
      <c r="N110" s="681"/>
      <c r="O110" s="245"/>
      <c r="P110" s="245"/>
      <c r="Q110" s="245"/>
      <c r="R110" s="245"/>
    </row>
    <row r="111" spans="1:18" ht="18.75" customHeight="1" x14ac:dyDescent="0.25">
      <c r="A111" s="322"/>
      <c r="B111" s="322"/>
      <c r="C111" s="266"/>
      <c r="D111" s="176"/>
      <c r="E111" s="176"/>
      <c r="F111" s="176"/>
      <c r="G111" s="176"/>
      <c r="H111" s="176"/>
      <c r="I111" s="176"/>
      <c r="J111" s="176"/>
      <c r="K111" s="176"/>
      <c r="L111" s="176"/>
      <c r="M111" s="176"/>
      <c r="N111" s="176"/>
      <c r="O111" s="245"/>
      <c r="P111" s="245"/>
      <c r="Q111" s="245"/>
      <c r="R111" s="245"/>
    </row>
    <row r="112" spans="1:18" ht="18.75" customHeight="1" x14ac:dyDescent="0.2">
      <c r="A112" s="322"/>
      <c r="B112" s="322"/>
      <c r="C112" s="672"/>
      <c r="D112" s="672"/>
      <c r="E112" s="672"/>
      <c r="F112" s="672"/>
      <c r="G112" s="672"/>
      <c r="H112" s="672"/>
      <c r="I112" s="672"/>
      <c r="J112" s="672"/>
      <c r="K112" s="672"/>
      <c r="L112" s="672"/>
      <c r="M112" s="672"/>
      <c r="N112" s="672"/>
      <c r="O112" s="245"/>
      <c r="P112" s="245"/>
      <c r="Q112" s="245"/>
      <c r="R112" s="245"/>
    </row>
    <row r="113" spans="1:18" ht="14.25" customHeight="1" x14ac:dyDescent="0.2">
      <c r="A113" s="322"/>
      <c r="B113" s="322"/>
      <c r="C113" s="669"/>
      <c r="D113" s="669"/>
      <c r="E113" s="669"/>
      <c r="F113" s="669"/>
      <c r="G113" s="669"/>
      <c r="H113" s="669"/>
      <c r="I113" s="669"/>
      <c r="J113" s="669"/>
      <c r="K113" s="669"/>
      <c r="L113" s="669"/>
      <c r="M113" s="669"/>
      <c r="N113" s="669"/>
      <c r="O113" s="245"/>
      <c r="P113" s="245"/>
      <c r="Q113" s="245"/>
      <c r="R113" s="245"/>
    </row>
    <row r="114" spans="1:18" ht="28.5" customHeight="1" x14ac:dyDescent="0.2">
      <c r="A114" s="322"/>
      <c r="B114" s="322"/>
      <c r="C114" s="674"/>
      <c r="D114" s="673"/>
      <c r="E114" s="673"/>
      <c r="F114" s="673"/>
      <c r="G114" s="673"/>
      <c r="H114" s="673"/>
      <c r="I114" s="673"/>
      <c r="J114" s="673"/>
      <c r="K114" s="673"/>
      <c r="L114" s="673"/>
      <c r="M114" s="673"/>
      <c r="N114" s="673"/>
      <c r="O114" s="245"/>
      <c r="P114" s="245"/>
      <c r="Q114" s="245"/>
      <c r="R114" s="245"/>
    </row>
    <row r="115" spans="1:18" ht="3.75" customHeight="1" x14ac:dyDescent="0.2">
      <c r="A115" s="322"/>
      <c r="B115" s="322"/>
      <c r="C115" s="675"/>
      <c r="D115" s="675"/>
      <c r="E115" s="675"/>
      <c r="F115" s="675"/>
      <c r="G115" s="675"/>
      <c r="H115" s="675"/>
      <c r="I115" s="675"/>
      <c r="J115" s="675"/>
      <c r="K115" s="675"/>
      <c r="L115" s="675"/>
      <c r="M115" s="675"/>
      <c r="N115" s="675"/>
      <c r="O115" s="245"/>
      <c r="P115" s="245"/>
      <c r="Q115" s="245"/>
      <c r="R115" s="245"/>
    </row>
    <row r="116" spans="1:18" ht="12.75" customHeight="1" x14ac:dyDescent="0.2">
      <c r="A116" s="322"/>
      <c r="B116" s="322"/>
      <c r="C116" s="267"/>
      <c r="D116" s="177"/>
      <c r="E116" s="177"/>
      <c r="F116" s="177"/>
      <c r="G116" s="177"/>
      <c r="H116" s="177"/>
      <c r="I116" s="177"/>
      <c r="J116" s="177"/>
      <c r="K116" s="177"/>
      <c r="L116" s="177"/>
      <c r="M116" s="177"/>
      <c r="N116" s="177"/>
      <c r="O116" s="245"/>
      <c r="P116" s="245"/>
      <c r="Q116" s="245"/>
      <c r="R116" s="245"/>
    </row>
    <row r="117" spans="1:18" ht="13.5" customHeight="1" x14ac:dyDescent="0.2">
      <c r="A117" s="322"/>
      <c r="B117" s="322"/>
      <c r="C117" s="673"/>
      <c r="D117" s="673"/>
      <c r="E117" s="673"/>
      <c r="F117" s="673"/>
      <c r="G117" s="673"/>
      <c r="H117" s="673"/>
      <c r="I117" s="673"/>
      <c r="J117" s="673"/>
      <c r="K117" s="673"/>
      <c r="L117" s="673"/>
      <c r="M117" s="673"/>
      <c r="N117" s="673"/>
      <c r="O117" s="245"/>
      <c r="P117" s="245"/>
      <c r="Q117" s="245"/>
      <c r="R117" s="245"/>
    </row>
    <row r="118" spans="1:18" ht="24.75" customHeight="1" x14ac:dyDescent="0.2">
      <c r="A118" s="322"/>
      <c r="B118" s="322"/>
      <c r="C118" s="673"/>
      <c r="D118" s="673"/>
      <c r="E118" s="673"/>
      <c r="F118" s="673"/>
      <c r="G118" s="673"/>
      <c r="H118" s="673"/>
      <c r="I118" s="673"/>
      <c r="J118" s="673"/>
      <c r="K118" s="673"/>
      <c r="L118" s="673"/>
      <c r="M118" s="673"/>
      <c r="N118" s="673"/>
      <c r="O118" s="245"/>
      <c r="P118" s="245"/>
      <c r="Q118" s="245"/>
      <c r="R118" s="245"/>
    </row>
    <row r="119" spans="1:18" ht="9" customHeight="1" x14ac:dyDescent="0.2">
      <c r="A119" s="322"/>
      <c r="B119" s="322"/>
      <c r="C119" s="268"/>
      <c r="D119" s="178"/>
      <c r="E119" s="178"/>
      <c r="F119" s="178"/>
      <c r="G119" s="178"/>
      <c r="H119" s="178"/>
      <c r="I119" s="178"/>
      <c r="J119" s="178"/>
      <c r="K119" s="178"/>
      <c r="L119" s="178"/>
      <c r="M119" s="178"/>
      <c r="N119" s="178"/>
      <c r="O119" s="245"/>
      <c r="P119" s="245"/>
      <c r="Q119" s="245"/>
      <c r="R119" s="245"/>
    </row>
    <row r="120" spans="1:18" ht="12.75" customHeight="1" x14ac:dyDescent="0.25">
      <c r="A120" s="322"/>
      <c r="B120" s="322"/>
      <c r="C120" s="266"/>
      <c r="D120" s="179"/>
      <c r="E120" s="179"/>
      <c r="F120" s="179"/>
      <c r="G120" s="179"/>
      <c r="H120" s="179"/>
      <c r="I120" s="179"/>
      <c r="J120" s="179"/>
      <c r="K120" s="180"/>
      <c r="L120" s="180"/>
      <c r="M120" s="180"/>
      <c r="N120" s="180"/>
      <c r="O120" s="245"/>
      <c r="P120" s="245"/>
      <c r="Q120" s="245"/>
      <c r="R120" s="245"/>
    </row>
    <row r="121" spans="1:18" ht="26.25" customHeight="1" x14ac:dyDescent="0.2">
      <c r="A121" s="322"/>
      <c r="B121" s="322"/>
      <c r="C121" s="674"/>
      <c r="D121" s="674"/>
      <c r="E121" s="674"/>
      <c r="F121" s="674"/>
      <c r="G121" s="674"/>
      <c r="H121" s="674"/>
      <c r="I121" s="674"/>
      <c r="J121" s="674"/>
      <c r="K121" s="674"/>
      <c r="L121" s="674"/>
      <c r="M121" s="674"/>
      <c r="N121" s="674"/>
      <c r="O121" s="245"/>
      <c r="P121" s="245"/>
      <c r="Q121" s="245"/>
      <c r="R121" s="245"/>
    </row>
    <row r="122" spans="1:18" ht="12.75" customHeight="1" x14ac:dyDescent="0.2">
      <c r="A122" s="322"/>
      <c r="B122" s="322"/>
      <c r="C122" s="670"/>
      <c r="D122" s="670"/>
      <c r="E122" s="670"/>
      <c r="F122" s="670"/>
      <c r="G122" s="670"/>
      <c r="H122" s="670"/>
      <c r="I122" s="670"/>
      <c r="J122" s="670"/>
      <c r="K122" s="670"/>
      <c r="L122" s="670"/>
      <c r="M122" s="670"/>
      <c r="N122" s="670"/>
      <c r="O122" s="245"/>
      <c r="P122" s="245"/>
      <c r="Q122" s="245"/>
      <c r="R122" s="245"/>
    </row>
    <row r="123" spans="1:18" ht="12.75" customHeight="1" x14ac:dyDescent="0.2">
      <c r="A123" s="322"/>
      <c r="B123" s="322"/>
      <c r="C123" s="670"/>
      <c r="D123" s="670"/>
      <c r="E123" s="670"/>
      <c r="F123" s="670"/>
      <c r="G123" s="670"/>
      <c r="H123" s="670"/>
      <c r="I123" s="670"/>
      <c r="J123" s="670"/>
      <c r="K123" s="670"/>
      <c r="L123" s="670"/>
      <c r="M123" s="670"/>
      <c r="N123" s="670"/>
      <c r="O123" s="245"/>
      <c r="P123" s="245"/>
      <c r="Q123" s="245"/>
      <c r="R123" s="245"/>
    </row>
    <row r="124" spans="1:18" ht="12.75" customHeight="1" x14ac:dyDescent="0.2">
      <c r="A124" s="322"/>
      <c r="B124" s="322"/>
      <c r="C124" s="669"/>
      <c r="D124" s="670"/>
      <c r="E124" s="670"/>
      <c r="F124" s="670"/>
      <c r="G124" s="670"/>
      <c r="H124" s="670"/>
      <c r="I124" s="670"/>
      <c r="J124" s="670"/>
      <c r="K124" s="670"/>
      <c r="L124" s="670"/>
      <c r="M124" s="670"/>
      <c r="N124" s="670"/>
      <c r="O124" s="245"/>
      <c r="P124" s="245"/>
      <c r="Q124" s="245"/>
      <c r="R124" s="245"/>
    </row>
    <row r="126" spans="1:18" hidden="1" x14ac:dyDescent="0.2"/>
    <row r="127" spans="1:18" hidden="1" x14ac:dyDescent="0.2"/>
    <row r="128" spans="1:18" hidden="1" x14ac:dyDescent="0.2"/>
    <row r="129" spans="1:15" hidden="1" x14ac:dyDescent="0.2"/>
    <row r="130" spans="1:15" hidden="1" x14ac:dyDescent="0.2">
      <c r="G130" s="45"/>
    </row>
    <row r="131" spans="1:15" hidden="1" x14ac:dyDescent="0.2">
      <c r="L131" s="46"/>
      <c r="O131" s="48"/>
    </row>
    <row r="132" spans="1:15" hidden="1" x14ac:dyDescent="0.2">
      <c r="A132" s="49" t="s">
        <v>109</v>
      </c>
      <c r="B132" s="49"/>
      <c r="C132" s="49"/>
      <c r="D132" s="50"/>
      <c r="L132" s="46"/>
      <c r="O132" s="48"/>
    </row>
    <row r="133" spans="1:15" hidden="1" x14ac:dyDescent="0.2"/>
    <row r="134" spans="1:15" hidden="1" x14ac:dyDescent="0.2">
      <c r="A134" s="73" t="s">
        <v>92</v>
      </c>
      <c r="B134" s="73"/>
      <c r="C134" s="327">
        <f ca="1">DATE(YEAR(Date_curr)-18,MONTH(Date_curr),DAY(Date_curr))</f>
        <v>36734</v>
      </c>
      <c r="D134" s="51"/>
      <c r="E134" s="45" t="s">
        <v>334</v>
      </c>
      <c r="F134" s="45"/>
      <c r="G134" s="45"/>
      <c r="H134" s="45"/>
      <c r="I134" s="45"/>
      <c r="K134" s="45"/>
      <c r="L134" s="45"/>
      <c r="M134" s="45"/>
      <c r="N134" s="45"/>
    </row>
    <row r="135" spans="1:15" hidden="1" x14ac:dyDescent="0.2">
      <c r="A135" s="51"/>
      <c r="B135" s="51"/>
      <c r="C135" s="327">
        <f>DATE(YEAR(DJS)-18,MONTH(DJS),DAY(DJS))</f>
        <v>687388</v>
      </c>
      <c r="D135" s="45"/>
      <c r="E135" s="45" t="s">
        <v>125</v>
      </c>
      <c r="F135" s="45"/>
      <c r="G135" s="45"/>
      <c r="H135" s="45"/>
      <c r="K135" s="45"/>
      <c r="L135" s="45"/>
      <c r="M135" s="45"/>
      <c r="N135" s="45"/>
    </row>
    <row r="136" spans="1:15" hidden="1" x14ac:dyDescent="0.2">
      <c r="A136" s="51"/>
      <c r="B136" s="51"/>
      <c r="C136" s="327">
        <f ca="1">MIN(C134:C135)</f>
        <v>36734</v>
      </c>
      <c r="D136" s="45"/>
      <c r="E136" s="45" t="s">
        <v>126</v>
      </c>
      <c r="F136" s="45"/>
      <c r="G136" s="45"/>
      <c r="H136" s="45"/>
      <c r="I136" s="45"/>
      <c r="J136" s="328"/>
      <c r="K136" s="45"/>
      <c r="L136" s="45"/>
      <c r="M136" s="45"/>
      <c r="N136" s="45"/>
    </row>
    <row r="137" spans="1:15" hidden="1" x14ac:dyDescent="0.2">
      <c r="A137" s="51"/>
      <c r="B137" s="51"/>
      <c r="C137" s="654">
        <f ca="1">DATE(YEAR(DoStartSchYear)-75,MONTH(DoStartSchYear),DAY(DoStartSchYear))</f>
        <v>15797</v>
      </c>
      <c r="D137" s="45"/>
      <c r="E137" s="45" t="s">
        <v>536</v>
      </c>
      <c r="F137" s="45"/>
      <c r="G137" s="45"/>
      <c r="H137" s="45"/>
      <c r="I137" s="45"/>
      <c r="J137" s="45"/>
      <c r="K137" s="45"/>
      <c r="L137" s="45"/>
      <c r="M137" s="45"/>
      <c r="N137" s="45"/>
    </row>
    <row r="138" spans="1:15" hidden="1" x14ac:dyDescent="0.2">
      <c r="A138" s="73" t="s">
        <v>56</v>
      </c>
      <c r="B138" s="73"/>
      <c r="C138" s="74"/>
      <c r="D138" s="45"/>
      <c r="E138" s="45"/>
      <c r="F138" s="45"/>
      <c r="G138" s="45"/>
      <c r="H138" s="45"/>
      <c r="I138" s="45"/>
      <c r="J138" s="45"/>
      <c r="K138" s="45"/>
      <c r="L138" s="45"/>
      <c r="M138" s="45"/>
      <c r="N138" s="45"/>
    </row>
    <row r="139" spans="1:15" hidden="1" x14ac:dyDescent="0.2">
      <c r="A139" s="52"/>
      <c r="B139" s="52"/>
      <c r="C139" s="45" t="str">
        <f>+IF(DJS&gt;=NewSchDate,Scheme_CARE,IF(E139&gt;=18,IF(DJS&gt;G139,Scheme_65,Scheme_60),Scheme_65))</f>
        <v>NPA 60 Scheme</v>
      </c>
      <c r="D139" s="45"/>
      <c r="E139" s="53">
        <f>+(G139-DoB)/365.25</f>
        <v>107.24982888432581</v>
      </c>
      <c r="F139" s="54" t="s">
        <v>110</v>
      </c>
      <c r="G139" s="327">
        <f>start_Sch65</f>
        <v>39173</v>
      </c>
      <c r="H139" s="45"/>
      <c r="I139" s="45"/>
      <c r="J139" s="45"/>
      <c r="K139" s="45"/>
      <c r="L139" s="45"/>
      <c r="M139" s="45"/>
      <c r="N139" s="45"/>
    </row>
    <row r="140" spans="1:15" hidden="1" x14ac:dyDescent="0.2">
      <c r="A140" s="52"/>
      <c r="B140" s="52"/>
      <c r="C140" s="45" t="str">
        <f>IF(DJS&gt;=NewSchDate,"",IF(C139=Scheme_65,"",Scheme_65))</f>
        <v>NPA 65 Scheme</v>
      </c>
      <c r="D140" s="45"/>
      <c r="E140" s="45"/>
      <c r="F140" s="45"/>
      <c r="G140" s="45"/>
      <c r="H140" s="45"/>
      <c r="I140" s="45"/>
      <c r="J140" s="45"/>
      <c r="K140" s="45"/>
      <c r="L140" s="45"/>
      <c r="M140" s="45"/>
      <c r="N140" s="45"/>
    </row>
    <row r="141" spans="1:15" hidden="1" x14ac:dyDescent="0.2">
      <c r="A141" s="52"/>
      <c r="B141" s="52"/>
      <c r="C141" s="45" t="str">
        <f>IF(DJS&gt;=NewSchDate,"",IF(C139=Scheme_60,Scheme_Mix,""))</f>
        <v>Mixed Scheme</v>
      </c>
      <c r="D141" s="45"/>
      <c r="E141" s="45"/>
      <c r="F141" s="45"/>
      <c r="G141" s="45"/>
      <c r="H141" s="45"/>
      <c r="I141" s="45"/>
      <c r="J141" s="45"/>
      <c r="K141" s="45"/>
      <c r="L141" s="45"/>
      <c r="M141" s="45"/>
      <c r="N141" s="45"/>
    </row>
    <row r="142" spans="1:15" hidden="1" x14ac:dyDescent="0.2">
      <c r="A142" s="73" t="s">
        <v>94</v>
      </c>
      <c r="B142" s="73"/>
      <c r="C142" s="45" t="s">
        <v>104</v>
      </c>
      <c r="D142" s="327">
        <f ca="1">Date_curr</f>
        <v>43308</v>
      </c>
      <c r="E142" s="51"/>
      <c r="F142" s="45"/>
      <c r="G142" s="45"/>
      <c r="H142" s="45"/>
      <c r="I142" s="45"/>
      <c r="J142" s="45"/>
      <c r="K142" s="45"/>
      <c r="L142" s="45"/>
      <c r="M142" s="45"/>
      <c r="N142" s="45"/>
    </row>
    <row r="143" spans="1:15" hidden="1" x14ac:dyDescent="0.2">
      <c r="A143" s="45"/>
      <c r="B143" s="45"/>
      <c r="C143" s="45" t="s">
        <v>103</v>
      </c>
      <c r="D143" s="327">
        <f>+DATE(YEAR(DoB)+18,MONTH(DoB),DAY(DoB))</f>
        <v>6575</v>
      </c>
      <c r="E143" s="51"/>
      <c r="F143" s="45" t="s">
        <v>95</v>
      </c>
      <c r="G143" s="45"/>
      <c r="H143" s="45"/>
      <c r="I143" s="45"/>
      <c r="J143" s="45"/>
      <c r="K143" s="45"/>
      <c r="L143" s="45"/>
      <c r="M143" s="45"/>
      <c r="N143" s="45"/>
    </row>
    <row r="144" spans="1:15" hidden="1" x14ac:dyDescent="0.2">
      <c r="A144" s="45"/>
      <c r="B144" s="45"/>
      <c r="D144" s="51"/>
      <c r="E144" s="327"/>
      <c r="F144" s="45"/>
      <c r="G144" s="45"/>
      <c r="H144" s="45"/>
      <c r="I144" s="45"/>
      <c r="J144" s="45"/>
      <c r="K144" s="45"/>
      <c r="L144" s="45"/>
      <c r="M144" s="45"/>
      <c r="N144" s="45"/>
    </row>
    <row r="145" spans="1:17" hidden="1" x14ac:dyDescent="0.2">
      <c r="A145" s="73" t="s">
        <v>97</v>
      </c>
      <c r="B145" s="73"/>
      <c r="C145" s="74"/>
      <c r="D145" s="51"/>
      <c r="F145" s="45"/>
      <c r="G145" s="45"/>
      <c r="H145" s="45"/>
      <c r="I145" s="45"/>
      <c r="J145" s="45"/>
      <c r="K145" s="45"/>
      <c r="L145" s="45"/>
      <c r="M145" s="45"/>
      <c r="N145" s="45"/>
    </row>
    <row r="146" spans="1:17" hidden="1" x14ac:dyDescent="0.2">
      <c r="A146" s="45" t="s">
        <v>103</v>
      </c>
      <c r="B146" s="45"/>
      <c r="C146" s="45">
        <v>21000</v>
      </c>
      <c r="E146" s="45"/>
      <c r="F146" s="45"/>
      <c r="G146" s="45"/>
      <c r="H146" s="45"/>
      <c r="I146" s="45"/>
      <c r="J146" s="45"/>
      <c r="K146" s="45"/>
      <c r="L146" s="45"/>
      <c r="M146" s="45"/>
      <c r="N146" s="45"/>
    </row>
    <row r="147" spans="1:17" hidden="1" x14ac:dyDescent="0.2">
      <c r="A147" s="45" t="s">
        <v>104</v>
      </c>
      <c r="B147" s="45"/>
      <c r="C147" s="45">
        <v>140000</v>
      </c>
      <c r="E147" s="45"/>
      <c r="F147" s="45"/>
      <c r="G147" s="45"/>
      <c r="H147" s="45"/>
      <c r="I147" s="45"/>
      <c r="J147" s="45"/>
      <c r="K147" s="45"/>
      <c r="L147" s="45"/>
      <c r="M147" s="45"/>
      <c r="N147" s="45"/>
    </row>
    <row r="148" spans="1:17" hidden="1" x14ac:dyDescent="0.2">
      <c r="A148" s="73" t="s">
        <v>101</v>
      </c>
      <c r="B148" s="73"/>
      <c r="C148" s="73"/>
      <c r="D148" s="73"/>
      <c r="E148" s="45"/>
      <c r="F148" s="45"/>
      <c r="G148" s="45"/>
      <c r="H148" s="45"/>
      <c r="I148" s="45"/>
      <c r="J148" s="45"/>
      <c r="K148" s="45"/>
      <c r="L148" s="45"/>
      <c r="M148" s="45"/>
      <c r="N148" s="45"/>
    </row>
    <row r="149" spans="1:17" hidden="1" x14ac:dyDescent="0.2">
      <c r="A149" s="45" t="s">
        <v>104</v>
      </c>
      <c r="B149" s="45"/>
      <c r="C149" s="55">
        <f>INT((DJS-DATE(YEAR(DoB)+16,MONTH(DoB),DAY(DoB)))/365.25)</f>
        <v>-16</v>
      </c>
      <c r="D149" s="53">
        <f>+IF(TVinYears&gt;=C149,E149,E150)</f>
        <v>0</v>
      </c>
      <c r="E149" s="45">
        <f>+INT(((DJS-DATE(YEAR(DoB)+16,MONTH(DoB),DAY(DoB)))/365.25-INT((DJS-DATE(YEAR(DoB)+16,MONTH(DoB),DAY(DoB)))/365.25))*365.25)</f>
        <v>0</v>
      </c>
      <c r="F149" s="45" t="s">
        <v>102</v>
      </c>
      <c r="G149" s="45"/>
      <c r="H149" s="45"/>
      <c r="I149" s="45"/>
      <c r="J149" s="45"/>
      <c r="K149" s="45"/>
      <c r="L149" s="45"/>
      <c r="M149" s="45"/>
      <c r="N149" s="45"/>
    </row>
    <row r="150" spans="1:17" hidden="1" x14ac:dyDescent="0.2">
      <c r="A150" s="45"/>
      <c r="B150" s="45"/>
      <c r="D150" s="45"/>
      <c r="E150" s="45">
        <v>365</v>
      </c>
      <c r="F150" s="45"/>
      <c r="G150" s="45"/>
      <c r="H150" s="45"/>
      <c r="I150" s="45"/>
      <c r="J150" s="45"/>
      <c r="K150" s="45"/>
      <c r="L150" s="45"/>
      <c r="M150" s="45"/>
      <c r="N150" s="45"/>
    </row>
    <row r="151" spans="1:17" hidden="1" x14ac:dyDescent="0.2">
      <c r="A151" s="73" t="s">
        <v>105</v>
      </c>
      <c r="B151" s="73"/>
      <c r="C151" s="73"/>
      <c r="E151" s="45"/>
      <c r="F151" s="45"/>
      <c r="J151" s="45"/>
      <c r="K151" s="45"/>
      <c r="L151" s="45"/>
      <c r="M151" s="45"/>
      <c r="N151" s="45"/>
    </row>
    <row r="152" spans="1:17" hidden="1" x14ac:dyDescent="0.2">
      <c r="A152" s="52"/>
      <c r="B152" s="52"/>
      <c r="C152" s="52"/>
      <c r="E152" s="45"/>
      <c r="F152" s="45"/>
      <c r="J152" s="45"/>
      <c r="K152" s="45"/>
      <c r="L152" s="45"/>
      <c r="M152" s="45"/>
      <c r="Q152" s="45"/>
    </row>
    <row r="153" spans="1:17" hidden="1" x14ac:dyDescent="0.2">
      <c r="A153" s="52"/>
      <c r="B153" s="52"/>
      <c r="C153" s="52"/>
      <c r="E153" s="45" t="s">
        <v>313</v>
      </c>
      <c r="F153" s="45"/>
      <c r="G153" s="52"/>
      <c r="H153" s="52"/>
      <c r="I153" s="357"/>
      <c r="J153" s="52"/>
      <c r="K153" s="52"/>
      <c r="L153" s="45"/>
      <c r="M153" s="45"/>
    </row>
    <row r="154" spans="1:17" ht="12.75" hidden="1" customHeight="1" x14ac:dyDescent="0.2">
      <c r="A154" s="45" t="s">
        <v>103</v>
      </c>
      <c r="B154" s="45"/>
      <c r="C154" s="331">
        <v>55</v>
      </c>
      <c r="D154" s="47"/>
      <c r="E154" s="327">
        <f>DATE(YEAR(DoB)+C154,MONTH(DoB),DAY(DoB))</f>
        <v>20089</v>
      </c>
      <c r="F154" s="333"/>
      <c r="G154" s="357"/>
      <c r="H154" s="357"/>
      <c r="I154" s="357"/>
      <c r="J154" s="357"/>
      <c r="K154" s="52"/>
      <c r="L154" s="45"/>
      <c r="M154" s="45"/>
    </row>
    <row r="155" spans="1:17" hidden="1" x14ac:dyDescent="0.2">
      <c r="A155" s="45" t="s">
        <v>104</v>
      </c>
      <c r="B155" s="45"/>
      <c r="C155" s="331">
        <v>75</v>
      </c>
      <c r="E155" s="327">
        <f>DATE(YEAR(DoB)+C155,MONTH(DoB),DAY(DoB))</f>
        <v>27394</v>
      </c>
      <c r="F155" s="334"/>
      <c r="G155" s="380"/>
      <c r="H155" s="380"/>
      <c r="I155" s="381"/>
      <c r="J155" s="357"/>
      <c r="K155" s="382"/>
      <c r="M155" s="45"/>
    </row>
    <row r="156" spans="1:17" hidden="1" x14ac:dyDescent="0.2">
      <c r="A156" s="45"/>
      <c r="B156" s="45"/>
      <c r="D156" s="45"/>
      <c r="E156" s="45"/>
      <c r="F156" s="333"/>
      <c r="G156" s="380"/>
      <c r="H156" s="380"/>
      <c r="I156" s="381"/>
      <c r="J156" s="357"/>
      <c r="K156" s="357"/>
      <c r="M156" s="45"/>
      <c r="Q156" s="332"/>
    </row>
    <row r="157" spans="1:17" hidden="1" x14ac:dyDescent="0.2">
      <c r="A157" s="351" t="s">
        <v>103</v>
      </c>
      <c r="B157" s="351"/>
      <c r="C157" s="536">
        <f ca="1">+MAX(55,D163)</f>
        <v>119</v>
      </c>
      <c r="D157" s="351" t="s">
        <v>103</v>
      </c>
      <c r="E157" s="536">
        <f ca="1">MAX(ROUND((D168-DoB)/365.25,2),D163)</f>
        <v>119</v>
      </c>
      <c r="F157" s="333"/>
      <c r="G157" s="383"/>
      <c r="H157" s="383"/>
      <c r="I157" s="381"/>
      <c r="J157" s="357"/>
      <c r="K157" s="52"/>
      <c r="M157" s="45"/>
      <c r="Q157" s="47"/>
    </row>
    <row r="158" spans="1:17" hidden="1" x14ac:dyDescent="0.2">
      <c r="A158" s="351" t="s">
        <v>104</v>
      </c>
      <c r="B158" s="351"/>
      <c r="C158" s="536">
        <f>C155</f>
        <v>75</v>
      </c>
      <c r="D158" s="351" t="s">
        <v>104</v>
      </c>
      <c r="E158" s="536">
        <v>65</v>
      </c>
      <c r="F158" s="333"/>
      <c r="G158" s="384"/>
      <c r="H158" s="384"/>
      <c r="I158" s="381"/>
      <c r="J158" s="52"/>
      <c r="K158" s="52"/>
      <c r="L158" s="45"/>
      <c r="M158" s="45"/>
      <c r="N158" s="45"/>
      <c r="O158" s="45"/>
    </row>
    <row r="159" spans="1:17" hidden="1" x14ac:dyDescent="0.2">
      <c r="A159" s="45"/>
      <c r="B159" s="45"/>
      <c r="C159" s="55"/>
      <c r="D159" s="45"/>
      <c r="E159" s="55"/>
      <c r="F159" s="333"/>
      <c r="G159" s="336"/>
      <c r="H159" s="336"/>
      <c r="I159" s="335"/>
      <c r="J159" s="45"/>
      <c r="K159" s="45"/>
      <c r="L159" s="45"/>
      <c r="M159" s="45"/>
      <c r="N159" s="45"/>
      <c r="O159" s="45"/>
    </row>
    <row r="160" spans="1:17" hidden="1" x14ac:dyDescent="0.2">
      <c r="A160" s="45"/>
      <c r="B160" s="45"/>
      <c r="C160" s="55"/>
      <c r="D160" s="45"/>
      <c r="E160" s="55"/>
      <c r="F160" s="333"/>
      <c r="G160" s="336"/>
      <c r="H160" s="47"/>
      <c r="I160" s="335"/>
      <c r="J160" s="45"/>
      <c r="K160" s="45"/>
      <c r="L160" s="45"/>
      <c r="M160" s="45"/>
      <c r="N160" s="45"/>
      <c r="O160" s="45"/>
    </row>
    <row r="161" spans="1:15" hidden="1" x14ac:dyDescent="0.2">
      <c r="A161" s="45"/>
      <c r="B161" s="45"/>
      <c r="C161" s="55"/>
      <c r="D161" s="45"/>
      <c r="E161" s="55"/>
      <c r="F161" s="333"/>
      <c r="G161" s="47"/>
      <c r="H161" s="47"/>
      <c r="I161" s="335"/>
      <c r="J161" s="45"/>
      <c r="K161" s="45"/>
      <c r="L161" s="45"/>
      <c r="M161" s="45"/>
      <c r="N161" s="45"/>
      <c r="O161" s="45"/>
    </row>
    <row r="162" spans="1:15" hidden="1" x14ac:dyDescent="0.2">
      <c r="A162" s="351" t="s">
        <v>111</v>
      </c>
      <c r="B162" s="351"/>
      <c r="C162" s="536"/>
      <c r="D162" s="351"/>
      <c r="E162" s="352">
        <f>+DATE(YEAR(DJS)-TVinYears,MONTH(DJS),DAY(DJS))-TVinDays</f>
        <v>0</v>
      </c>
      <c r="F162" s="335"/>
      <c r="G162" s="167"/>
      <c r="H162" s="167"/>
      <c r="J162" s="45"/>
      <c r="K162" s="45"/>
      <c r="L162" s="45"/>
      <c r="M162" s="45"/>
      <c r="N162" s="45"/>
      <c r="O162" s="45"/>
    </row>
    <row r="163" spans="1:15" hidden="1" x14ac:dyDescent="0.2">
      <c r="A163" s="351"/>
      <c r="B163" s="351"/>
      <c r="C163" s="536"/>
      <c r="D163" s="386">
        <f ca="1">+ROUNDUP((DoStartSchYear-DoB)/365.25,0)</f>
        <v>119</v>
      </c>
      <c r="E163" s="352" t="s">
        <v>115</v>
      </c>
      <c r="F163" s="45"/>
      <c r="G163" s="51"/>
      <c r="H163" s="45"/>
      <c r="J163" s="45"/>
      <c r="K163" s="45"/>
      <c r="L163" s="45"/>
      <c r="M163" s="45"/>
      <c r="N163" s="45"/>
      <c r="O163" s="45"/>
    </row>
    <row r="164" spans="1:15" hidden="1" x14ac:dyDescent="0.2">
      <c r="A164" s="351"/>
      <c r="B164" s="351"/>
      <c r="C164" s="352"/>
      <c r="D164" s="385">
        <f>+DATE(YEAR(E162)+30,MONTH(E162),DAY(E162))</f>
        <v>10958</v>
      </c>
      <c r="E164" s="351" t="s">
        <v>286</v>
      </c>
      <c r="F164" s="45"/>
      <c r="G164" s="45"/>
      <c r="H164" s="45"/>
      <c r="J164" s="45"/>
      <c r="K164" s="45"/>
      <c r="L164" s="45"/>
      <c r="M164" s="45"/>
      <c r="N164" s="45"/>
    </row>
    <row r="165" spans="1:15" hidden="1" x14ac:dyDescent="0.2">
      <c r="A165" s="351"/>
      <c r="B165" s="351"/>
      <c r="C165" s="351"/>
      <c r="D165" s="385">
        <f>+DATE(YEAR(DoB)+55,MONTH(DoB),DAY(DoB))</f>
        <v>20089</v>
      </c>
      <c r="E165" s="351" t="s">
        <v>106</v>
      </c>
      <c r="F165" s="45"/>
      <c r="G165" s="45"/>
      <c r="H165" s="45"/>
      <c r="J165" s="45"/>
      <c r="K165" s="45"/>
      <c r="L165" s="45"/>
      <c r="M165" s="45"/>
      <c r="N165" s="45"/>
    </row>
    <row r="166" spans="1:15" hidden="1" x14ac:dyDescent="0.2">
      <c r="A166" s="351"/>
      <c r="B166" s="351"/>
      <c r="C166" s="351"/>
      <c r="D166" s="385">
        <f>+DATE(YEAR(E162)+25,MONTH(E162),DAY(E162))</f>
        <v>9132</v>
      </c>
      <c r="E166" s="351" t="s">
        <v>287</v>
      </c>
      <c r="F166" s="45"/>
      <c r="G166" s="45"/>
      <c r="H166" s="45"/>
      <c r="J166" s="45"/>
      <c r="K166" s="45"/>
      <c r="L166" s="45"/>
      <c r="M166" s="45"/>
      <c r="N166" s="45"/>
    </row>
    <row r="167" spans="1:15" hidden="1" x14ac:dyDescent="0.2">
      <c r="A167" s="351"/>
      <c r="B167" s="351"/>
      <c r="C167" s="352"/>
      <c r="D167" s="385">
        <f>+DATE(YEAR(DoB)+50,MONTH(DoB),DAY(DoB))</f>
        <v>18263</v>
      </c>
      <c r="E167" s="351" t="s">
        <v>107</v>
      </c>
      <c r="F167" s="45"/>
      <c r="G167" s="45"/>
      <c r="H167" s="45"/>
      <c r="J167" s="45"/>
      <c r="K167" s="45"/>
      <c r="L167" s="45"/>
      <c r="M167" s="45"/>
      <c r="N167" s="45"/>
    </row>
    <row r="168" spans="1:15" hidden="1" x14ac:dyDescent="0.2">
      <c r="A168" s="387" t="s">
        <v>108</v>
      </c>
      <c r="B168" s="387"/>
      <c r="C168" s="351"/>
      <c r="D168" s="385">
        <f>+MIN(D164,D165,MAX(D166,D167))</f>
        <v>10958</v>
      </c>
      <c r="E168" s="351" t="s">
        <v>288</v>
      </c>
      <c r="G168" s="45"/>
      <c r="H168" s="45"/>
      <c r="I168" s="45"/>
      <c r="J168" s="45"/>
      <c r="K168" s="45"/>
      <c r="L168" s="45"/>
      <c r="M168" s="45"/>
      <c r="N168" s="45"/>
    </row>
    <row r="169" spans="1:15" hidden="1" x14ac:dyDescent="0.2">
      <c r="L169" s="45"/>
      <c r="M169" s="45"/>
      <c r="N169" s="45"/>
    </row>
    <row r="170" spans="1:15" hidden="1" x14ac:dyDescent="0.2">
      <c r="C170" s="537" t="s">
        <v>69</v>
      </c>
      <c r="D170" s="357"/>
      <c r="E170" s="357" t="e">
        <f>'FS Calcs'!F32</f>
        <v>#N/A</v>
      </c>
      <c r="F170" s="357"/>
      <c r="G170" s="357"/>
      <c r="H170" s="357"/>
      <c r="L170" s="45"/>
      <c r="M170" s="45"/>
      <c r="N170" s="45"/>
    </row>
    <row r="171" spans="1:15" hidden="1" x14ac:dyDescent="0.2">
      <c r="C171" s="537" t="s">
        <v>77</v>
      </c>
      <c r="D171" s="357"/>
      <c r="E171" s="538" t="e">
        <f>'FS Calcs'!F33</f>
        <v>#N/A</v>
      </c>
      <c r="F171" s="357" t="e">
        <f>TEXT(E171,"d mmmm yyyy")</f>
        <v>#N/A</v>
      </c>
      <c r="G171" s="357"/>
      <c r="H171" s="357"/>
      <c r="L171" s="45"/>
      <c r="M171" s="45"/>
      <c r="N171" s="45"/>
    </row>
    <row r="172" spans="1:15" hidden="1" x14ac:dyDescent="0.2">
      <c r="C172" s="537" t="s">
        <v>67</v>
      </c>
      <c r="D172" s="357"/>
      <c r="E172" s="538" t="str">
        <f>IFERROR(E171,"N/A")</f>
        <v>N/A</v>
      </c>
      <c r="F172" s="357" t="str">
        <f>TEXT(E172,"d mmmm yyyy")</f>
        <v>N/A</v>
      </c>
      <c r="G172" s="357"/>
      <c r="H172" s="357"/>
      <c r="L172" s="45"/>
      <c r="M172" s="45"/>
      <c r="N172" s="45"/>
    </row>
    <row r="173" spans="1:15" hidden="1" x14ac:dyDescent="0.2">
      <c r="C173" s="537"/>
      <c r="D173" s="357"/>
      <c r="E173" s="357"/>
      <c r="F173" s="357"/>
      <c r="G173" s="357"/>
      <c r="H173" s="357"/>
      <c r="L173" s="45"/>
      <c r="M173" s="45"/>
      <c r="N173" s="45"/>
    </row>
    <row r="174" spans="1:15" ht="12.75" hidden="1" customHeight="1" x14ac:dyDescent="0.2">
      <c r="A174" s="46"/>
      <c r="B174" s="46"/>
      <c r="C174" s="539" t="s">
        <v>132</v>
      </c>
      <c r="D174" s="540"/>
      <c r="E174" s="539" t="s">
        <v>133</v>
      </c>
      <c r="F174" s="357"/>
      <c r="G174" s="357"/>
      <c r="H174" s="357"/>
      <c r="J174" s="45"/>
      <c r="K174" s="45"/>
      <c r="L174" s="45"/>
    </row>
    <row r="175" spans="1:15" hidden="1" x14ac:dyDescent="0.2">
      <c r="C175" s="52" t="s">
        <v>129</v>
      </c>
      <c r="D175" s="52"/>
      <c r="E175" s="52" t="s">
        <v>135</v>
      </c>
      <c r="F175" s="357"/>
      <c r="G175" s="357"/>
      <c r="H175" s="357"/>
      <c r="J175" s="45"/>
      <c r="K175" s="45"/>
      <c r="L175" s="45"/>
    </row>
    <row r="176" spans="1:15" hidden="1" x14ac:dyDescent="0.2">
      <c r="A176" s="45"/>
      <c r="B176" s="45"/>
      <c r="C176" s="52" t="s">
        <v>130</v>
      </c>
      <c r="D176" s="52"/>
      <c r="E176" s="52" t="str">
        <f>F172</f>
        <v>N/A</v>
      </c>
      <c r="F176" s="52"/>
      <c r="G176" s="52"/>
      <c r="H176" s="52"/>
      <c r="I176" s="45"/>
      <c r="J176" s="45"/>
      <c r="K176" s="45"/>
      <c r="L176" s="45"/>
    </row>
    <row r="177" spans="1:11" hidden="1" x14ac:dyDescent="0.2">
      <c r="C177" s="52" t="s">
        <v>131</v>
      </c>
      <c r="D177" s="52"/>
      <c r="E177" s="541" t="s">
        <v>192</v>
      </c>
      <c r="F177" s="357"/>
      <c r="G177" s="357"/>
      <c r="H177" s="357"/>
    </row>
    <row r="178" spans="1:11" hidden="1" x14ac:dyDescent="0.2">
      <c r="C178" s="351"/>
      <c r="D178" s="351"/>
      <c r="E178" s="351"/>
      <c r="F178" s="388"/>
      <c r="G178" s="388"/>
      <c r="H178" s="388"/>
    </row>
    <row r="179" spans="1:11" hidden="1" x14ac:dyDescent="0.2">
      <c r="C179" s="351" t="s">
        <v>138</v>
      </c>
      <c r="D179" s="351"/>
      <c r="E179" s="351">
        <f ca="1">YEARFRAC(DJS,DoStartSchYear)</f>
        <v>118.25277777777778</v>
      </c>
      <c r="F179" s="388"/>
      <c r="G179" s="388"/>
      <c r="H179" s="388"/>
    </row>
    <row r="180" spans="1:11" hidden="1" x14ac:dyDescent="0.2">
      <c r="C180" s="351" t="s">
        <v>141</v>
      </c>
      <c r="D180" s="351"/>
      <c r="E180" s="352">
        <f ca="1">DoStartSchYear</f>
        <v>43191</v>
      </c>
      <c r="F180" s="388"/>
      <c r="G180" s="388"/>
      <c r="H180" s="388"/>
    </row>
    <row r="181" spans="1:11" hidden="1" x14ac:dyDescent="0.2">
      <c r="C181" s="351"/>
      <c r="D181" s="351"/>
      <c r="E181" s="352" t="str">
        <f>basis1</f>
        <v>CPI + 0%</v>
      </c>
      <c r="F181" s="388" t="str">
        <f>basis2</f>
        <v>CPI + 1%</v>
      </c>
      <c r="G181" s="388" t="str">
        <f>basis3</f>
        <v>CPI + 2%</v>
      </c>
      <c r="H181" s="388"/>
    </row>
    <row r="182" spans="1:11" hidden="1" x14ac:dyDescent="0.2">
      <c r="C182" s="351" t="s">
        <v>142</v>
      </c>
      <c r="D182" s="351"/>
      <c r="E182" s="389" t="e">
        <f>ROUND(IF(CurrentScheme="NPPS",0.5*CurrentSal,2/3*CurrentSal),-2)</f>
        <v>#N/A</v>
      </c>
      <c r="F182" s="388"/>
      <c r="G182" s="388"/>
      <c r="H182" s="388"/>
    </row>
    <row r="183" spans="1:11" hidden="1" x14ac:dyDescent="0.2">
      <c r="C183" s="351" t="s">
        <v>143</v>
      </c>
      <c r="D183" s="351"/>
      <c r="E183" s="389">
        <f>ROUND(4*0.5*CurrentSal,-2)</f>
        <v>0</v>
      </c>
      <c r="F183" s="388"/>
      <c r="G183" s="388"/>
      <c r="H183" s="388"/>
    </row>
    <row r="184" spans="1:11" hidden="1" x14ac:dyDescent="0.2">
      <c r="C184" s="351" t="s">
        <v>144</v>
      </c>
      <c r="D184" s="351"/>
      <c r="E184" s="389"/>
      <c r="F184" s="388"/>
      <c r="G184" s="388"/>
      <c r="H184" s="388"/>
      <c r="I184" s="51"/>
    </row>
    <row r="185" spans="1:11" hidden="1" x14ac:dyDescent="0.2">
      <c r="D185" s="45"/>
      <c r="E185" s="60"/>
    </row>
    <row r="186" spans="1:11" hidden="1" x14ac:dyDescent="0.2"/>
    <row r="187" spans="1:11" hidden="1" x14ac:dyDescent="0.2">
      <c r="A187" s="56" t="s">
        <v>91</v>
      </c>
      <c r="B187" s="56"/>
      <c r="C187" s="59"/>
      <c r="D187" s="57"/>
      <c r="E187" s="57"/>
      <c r="F187" s="57"/>
      <c r="G187" s="57"/>
      <c r="H187" s="57"/>
      <c r="I187" s="57"/>
      <c r="J187" s="57"/>
      <c r="K187" s="57"/>
    </row>
    <row r="188" spans="1:11" hidden="1" x14ac:dyDescent="0.2">
      <c r="A188" s="57"/>
      <c r="B188" s="57"/>
      <c r="C188" s="59"/>
      <c r="D188" s="57"/>
      <c r="E188" s="57"/>
      <c r="F188" s="57"/>
      <c r="G188" s="57"/>
      <c r="H188" s="57"/>
      <c r="I188" s="57"/>
      <c r="J188" s="57"/>
      <c r="K188" s="57"/>
    </row>
    <row r="189" spans="1:11" hidden="1" x14ac:dyDescent="0.2">
      <c r="A189" s="57" t="s">
        <v>92</v>
      </c>
      <c r="B189" s="57"/>
      <c r="C189" s="59" t="s">
        <v>93</v>
      </c>
      <c r="D189" s="57"/>
      <c r="E189" s="57"/>
      <c r="F189" s="57"/>
      <c r="G189" s="57"/>
      <c r="H189" s="57"/>
      <c r="I189" s="57"/>
      <c r="J189" s="57"/>
      <c r="K189" s="57"/>
    </row>
    <row r="190" spans="1:11" hidden="1" x14ac:dyDescent="0.2">
      <c r="A190" s="57" t="s">
        <v>94</v>
      </c>
      <c r="B190" s="57"/>
      <c r="C190" s="59" t="s">
        <v>95</v>
      </c>
      <c r="D190" s="57"/>
      <c r="E190" s="57"/>
      <c r="F190" s="57"/>
      <c r="G190" s="57"/>
      <c r="H190" s="57"/>
      <c r="I190" s="57"/>
      <c r="J190" s="57"/>
      <c r="K190" s="57"/>
    </row>
    <row r="191" spans="1:11" hidden="1" x14ac:dyDescent="0.2">
      <c r="A191" s="57"/>
      <c r="B191" s="57"/>
      <c r="C191" s="59" t="s">
        <v>96</v>
      </c>
      <c r="D191" s="57"/>
      <c r="E191" s="57"/>
      <c r="F191" s="57"/>
      <c r="G191" s="57"/>
      <c r="H191" s="57"/>
      <c r="I191" s="57"/>
      <c r="J191" s="57"/>
      <c r="K191" s="57"/>
    </row>
    <row r="192" spans="1:11" hidden="1" x14ac:dyDescent="0.2">
      <c r="A192" s="57" t="s">
        <v>97</v>
      </c>
      <c r="B192" s="57"/>
      <c r="C192" s="59" t="s">
        <v>98</v>
      </c>
      <c r="D192" s="57"/>
      <c r="E192" s="57"/>
      <c r="F192" s="57"/>
      <c r="G192" s="57"/>
      <c r="H192" s="57"/>
      <c r="I192" s="57"/>
      <c r="J192" s="57"/>
      <c r="K192" s="57"/>
    </row>
    <row r="193" spans="1:11" hidden="1" x14ac:dyDescent="0.2">
      <c r="A193" s="57" t="s">
        <v>99</v>
      </c>
      <c r="B193" s="57"/>
      <c r="C193" s="59" t="s">
        <v>289</v>
      </c>
      <c r="D193" s="57"/>
      <c r="E193" s="57"/>
      <c r="F193" s="57"/>
      <c r="G193" s="57"/>
      <c r="H193" s="57"/>
      <c r="I193" s="57"/>
      <c r="J193" s="57"/>
      <c r="K193" s="57"/>
    </row>
    <row r="194" spans="1:11" hidden="1" x14ac:dyDescent="0.2">
      <c r="A194" s="57"/>
      <c r="B194" s="57"/>
      <c r="C194" s="59" t="s">
        <v>290</v>
      </c>
      <c r="D194" s="57"/>
      <c r="E194" s="57"/>
      <c r="F194" s="57"/>
      <c r="G194" s="57"/>
      <c r="H194" s="57"/>
      <c r="I194" s="57"/>
      <c r="J194" s="57"/>
      <c r="K194" s="57"/>
    </row>
    <row r="195" spans="1:11" hidden="1" x14ac:dyDescent="0.2">
      <c r="A195" s="57" t="s">
        <v>78</v>
      </c>
      <c r="B195" s="57"/>
      <c r="C195" s="59" t="s">
        <v>100</v>
      </c>
      <c r="D195" s="57"/>
      <c r="E195" s="57"/>
      <c r="F195" s="57"/>
      <c r="G195" s="57"/>
      <c r="H195" s="57"/>
      <c r="I195" s="57"/>
      <c r="J195" s="57"/>
      <c r="K195" s="57"/>
    </row>
    <row r="196" spans="1:11" hidden="1" x14ac:dyDescent="0.2">
      <c r="A196" s="57" t="s">
        <v>101</v>
      </c>
      <c r="B196" s="57"/>
      <c r="C196" s="59" t="s">
        <v>102</v>
      </c>
      <c r="D196" s="57"/>
      <c r="E196" s="57"/>
      <c r="F196" s="57"/>
      <c r="G196" s="57"/>
      <c r="H196" s="57"/>
      <c r="I196" s="57"/>
      <c r="J196" s="57"/>
      <c r="K196" s="57"/>
    </row>
    <row r="197" spans="1:11" hidden="1" x14ac:dyDescent="0.2">
      <c r="A197" s="59" t="s">
        <v>139</v>
      </c>
      <c r="B197" s="59"/>
      <c r="C197" s="59"/>
      <c r="D197" s="57"/>
      <c r="E197" s="57"/>
      <c r="F197" s="57"/>
      <c r="G197" s="57"/>
      <c r="H197" s="57"/>
      <c r="I197" s="57"/>
      <c r="J197" s="57"/>
      <c r="K197" s="57"/>
    </row>
    <row r="198" spans="1:11" hidden="1" x14ac:dyDescent="0.2">
      <c r="A198" s="59" t="s">
        <v>140</v>
      </c>
      <c r="B198" s="59"/>
      <c r="C198" s="59"/>
      <c r="D198" s="57"/>
      <c r="E198" s="57"/>
      <c r="F198" s="57"/>
      <c r="G198" s="57"/>
      <c r="H198" s="57"/>
      <c r="I198" s="57"/>
      <c r="J198" s="57"/>
      <c r="K198" s="57"/>
    </row>
    <row r="199" spans="1:11" hidden="1" x14ac:dyDescent="0.2"/>
    <row r="200" spans="1:11" hidden="1" x14ac:dyDescent="0.2">
      <c r="A200" s="45" t="s">
        <v>502</v>
      </c>
      <c r="B200" s="45"/>
    </row>
    <row r="201" spans="1:11" hidden="1" x14ac:dyDescent="0.2">
      <c r="A201" s="45" t="s">
        <v>503</v>
      </c>
      <c r="B201" s="45"/>
    </row>
    <row r="202" spans="1:11" hidden="1" x14ac:dyDescent="0.2">
      <c r="E202" s="47"/>
      <c r="G202" s="47"/>
    </row>
    <row r="203" spans="1:11" hidden="1" x14ac:dyDescent="0.2"/>
  </sheetData>
  <sheetProtection password="B0BE" sheet="1" objects="1" scenarios="1"/>
  <dataConsolidate/>
  <mergeCells count="39">
    <mergeCell ref="J27:K27"/>
    <mergeCell ref="C90:E91"/>
    <mergeCell ref="G90:I91"/>
    <mergeCell ref="K90:M91"/>
    <mergeCell ref="C16:O16"/>
    <mergeCell ref="C17:O17"/>
    <mergeCell ref="C18:O18"/>
    <mergeCell ref="C19:O19"/>
    <mergeCell ref="C20:O20"/>
    <mergeCell ref="C121:N121"/>
    <mergeCell ref="C110:N110"/>
    <mergeCell ref="I66:M66"/>
    <mergeCell ref="C94:N94"/>
    <mergeCell ref="C97:N97"/>
    <mergeCell ref="C109:N109"/>
    <mergeCell ref="C104:N104"/>
    <mergeCell ref="C101:N101"/>
    <mergeCell ref="C96:N96"/>
    <mergeCell ref="C99:N99"/>
    <mergeCell ref="C100:N100"/>
    <mergeCell ref="C102:N102"/>
    <mergeCell ref="C98:N98"/>
    <mergeCell ref="C95:N95"/>
    <mergeCell ref="C15:O15"/>
    <mergeCell ref="C124:N124"/>
    <mergeCell ref="C107:N107"/>
    <mergeCell ref="C112:N112"/>
    <mergeCell ref="C113:N113"/>
    <mergeCell ref="C118:N118"/>
    <mergeCell ref="C114:N114"/>
    <mergeCell ref="C123:N123"/>
    <mergeCell ref="C115:N115"/>
    <mergeCell ref="C108:N108"/>
    <mergeCell ref="C105:N105"/>
    <mergeCell ref="C106:N106"/>
    <mergeCell ref="C103:N103"/>
    <mergeCell ref="C122:N122"/>
    <mergeCell ref="C21:O21"/>
    <mergeCell ref="C117:N117"/>
  </mergeCells>
  <phoneticPr fontId="2" type="noConversion"/>
  <conditionalFormatting sqref="C70:M72 C81:M83">
    <cfRule type="expression" dxfId="21" priority="18">
      <formula>DJS&gt;=NewSchDate</formula>
    </cfRule>
  </conditionalFormatting>
  <conditionalFormatting sqref="C59">
    <cfRule type="expression" dxfId="20" priority="17">
      <formula>"form_check=false"</formula>
    </cfRule>
  </conditionalFormatting>
  <conditionalFormatting sqref="H45">
    <cfRule type="expression" dxfId="19" priority="10">
      <formula>$J$31="2015 Scheme"</formula>
    </cfRule>
  </conditionalFormatting>
  <conditionalFormatting sqref="C47:L55">
    <cfRule type="expression" dxfId="18" priority="2">
      <formula>$J$46="always Full-time"</formula>
    </cfRule>
  </conditionalFormatting>
  <dataValidations count="14">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J25">
      <formula1>C137</formula1>
      <formula2>C136</formula2>
    </dataValidation>
    <dataValidation type="decimal" allowBlank="1" showInputMessage="1" showErrorMessage="1" errorTitle="Invalid Earnings" error="You can only enter and amount between £23,000 and £140,000 into the calculator." sqref="J36">
      <formula1>C146</formula1>
      <formula2>C147</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9">
      <formula1>D143</formula1>
      <formula2>D142</formula2>
    </dataValidation>
    <dataValidation type="whole" allowBlank="1" showInputMessage="1" showErrorMessage="1" sqref="J47">
      <formula1>C162</formula1>
      <formula2>C163</formula2>
    </dataValidation>
    <dataValidation type="decimal" allowBlank="1" showInputMessage="1" showErrorMessage="1" errorTitle="Invalid reckonable service" error="You cannot enter an amount greater than the period between your date of joining and your benefit statement date" sqref="J54">
      <formula1>0</formula1>
      <formula2>E179</formula2>
    </dataValidation>
    <dataValidation allowBlank="1" showInputMessage="1" showErrorMessage="1" errorTitle="Invalid Scheme" error="Please select an option from the drop down list" sqref="J31"/>
    <dataValidation type="list" allowBlank="1" showInputMessage="1" showErrorMessage="1" sqref="J46">
      <formula1>$A$200:$A$201</formula1>
    </dataValidation>
    <dataValidation type="whole" allowBlank="1" showInputMessage="1" showErrorMessage="1" sqref="J56">
      <formula1>C164</formula1>
      <formula2>C165</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7"/>
    <dataValidation type="decimal" allowBlank="1" showInputMessage="1" showErrorMessage="1" errorTitle="Invalid Transfer In Service" error="You cannot enter an amount greater than the period between your sixteenth birthday and your date joined scheme as entered above." sqref="J34">
      <formula1>0</formula1>
      <formula2>D149</formula2>
    </dataValidation>
    <dataValidation type="decimal" allowBlank="1" showInputMessage="1" showErrorMessage="1" errorTitle="Invalid Transfer In Service" error="You cannot enter an amount greater than the period between your sixteenth birthday and your date joined scheme as entered above." sqref="J33">
      <formula1>0</formula1>
      <formula2>C149</formula2>
    </dataValidation>
    <dataValidation type="decimal" showInputMessage="1" showErrorMessage="1" error="Please enter a value between 0% and 100%." sqref="J48">
      <formula1>0</formula1>
      <formula2>1</formula2>
    </dataValidation>
    <dataValidation type="time" allowBlank="1" showInputMessage="1" showErrorMessage="1" sqref="J38:J40">
      <formula1>E154</formula1>
      <formula2>E155</formula2>
    </dataValidation>
    <dataValidation type="time" allowBlank="1" showInputMessage="1" showErrorMessage="1" sqref="J41:J43">
      <formula1>E156</formula1>
      <formula2>E157</formula2>
    </dataValidation>
  </dataValidations>
  <hyperlinks>
    <hyperlink ref="G90:I91" r:id="rId1" display="2015 Microsite"/>
    <hyperlink ref="K90:M91" r:id="rId2" display="Scheme Guides"/>
    <hyperlink ref="C90:E91"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2"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80" r:id="rId7" name="Check Box 284">
              <controlPr defaultSize="0" autoFill="0" autoLine="0" autoPict="0" altText="">
                <anchor moveWithCells="1">
                  <from>
                    <xdr:col>7</xdr:col>
                    <xdr:colOff>28575</xdr:colOff>
                    <xdr:row>39</xdr:row>
                    <xdr:rowOff>95250</xdr:rowOff>
                  </from>
                  <to>
                    <xdr:col>7</xdr:col>
                    <xdr:colOff>561975</xdr:colOff>
                    <xdr:row>41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1B96A2B6-FD1A-4713-9504-22F1B7392B7A}">
            <xm:f>Parameters!$B$103=FALSE</xm:f>
            <x14:dxf>
              <font>
                <strike val="0"/>
                <color theme="0"/>
              </font>
              <fill>
                <patternFill patternType="none">
                  <fgColor indexed="64"/>
                  <bgColor auto="1"/>
                </patternFill>
              </fill>
              <border>
                <left/>
                <right/>
                <top/>
                <bottom/>
                <vertical/>
                <horizontal/>
              </border>
            </x14:dxf>
          </x14:cfRule>
          <xm:sqref>D44:N44</xm:sqref>
        </x14:conditionalFormatting>
        <x14:conditionalFormatting xmlns:xm="http://schemas.microsoft.com/office/excel/2006/main">
          <x14:cfRule type="expression" priority="20" id="{31B314F2-EDC4-4C99-9350-284C87C70683}">
            <xm:f>Parameters!$C$103=TRUE</xm:f>
            <x14:dxf>
              <font>
                <color theme="0"/>
              </font>
              <fill>
                <patternFill patternType="solid">
                  <fgColor theme="0"/>
                  <bgColor theme="0"/>
                </patternFill>
              </fill>
              <border>
                <left/>
                <right/>
                <top/>
                <bottom/>
                <vertical/>
                <horizontal/>
              </border>
            </x14:dxf>
          </x14:cfRule>
          <xm:sqref>C52:N52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Parameters!$B$137:$B$146</xm:f>
          </x14:formula1>
          <xm:sqref>J44 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35"/>
  <sheetViews>
    <sheetView workbookViewId="0">
      <selection activeCell="A7" sqref="A7:K7"/>
    </sheetView>
  </sheetViews>
  <sheetFormatPr defaultColWidth="9.140625" defaultRowHeight="12.75" x14ac:dyDescent="0.2"/>
  <cols>
    <col min="1" max="11" width="9.140625" style="254"/>
    <col min="12" max="12" width="9.140625" style="254" hidden="1" customWidth="1"/>
    <col min="13" max="13" width="9.140625" style="263"/>
    <col min="14" max="16384" width="9.140625" style="254"/>
  </cols>
  <sheetData>
    <row r="6" spans="1:13" ht="11.25" customHeight="1" x14ac:dyDescent="0.25">
      <c r="A6" s="250"/>
      <c r="B6" s="251"/>
      <c r="C6" s="251"/>
      <c r="D6" s="251"/>
      <c r="E6" s="251"/>
      <c r="F6" s="251"/>
      <c r="G6" s="250"/>
      <c r="H6" s="250"/>
      <c r="I6" s="250"/>
      <c r="J6" s="250"/>
      <c r="K6" s="250"/>
      <c r="L6" s="252"/>
      <c r="M6" s="253"/>
    </row>
    <row r="7" spans="1:13" x14ac:dyDescent="0.2">
      <c r="A7" s="705" t="s">
        <v>116</v>
      </c>
      <c r="B7" s="706"/>
      <c r="C7" s="706"/>
      <c r="D7" s="706"/>
      <c r="E7" s="706"/>
      <c r="F7" s="706"/>
      <c r="G7" s="706"/>
      <c r="H7" s="706"/>
      <c r="I7" s="706"/>
      <c r="J7" s="706"/>
      <c r="K7" s="706"/>
      <c r="L7" s="255"/>
      <c r="M7" s="256"/>
    </row>
    <row r="8" spans="1:13" ht="34.5" customHeight="1" x14ac:dyDescent="0.2">
      <c r="A8" s="713" t="s">
        <v>293</v>
      </c>
      <c r="B8" s="713"/>
      <c r="C8" s="713"/>
      <c r="D8" s="713"/>
      <c r="E8" s="713"/>
      <c r="F8" s="713"/>
      <c r="G8" s="713"/>
      <c r="H8" s="713"/>
      <c r="I8" s="713"/>
      <c r="J8" s="713"/>
      <c r="K8" s="713"/>
      <c r="L8" s="713"/>
      <c r="M8" s="256"/>
    </row>
    <row r="9" spans="1:13" ht="27.75" customHeight="1" x14ac:dyDescent="0.2">
      <c r="A9" s="713" t="s">
        <v>519</v>
      </c>
      <c r="B9" s="713"/>
      <c r="C9" s="713"/>
      <c r="D9" s="713"/>
      <c r="E9" s="713"/>
      <c r="F9" s="713"/>
      <c r="G9" s="713"/>
      <c r="H9" s="713"/>
      <c r="I9" s="713"/>
      <c r="J9" s="713"/>
      <c r="K9" s="713"/>
      <c r="L9" s="713"/>
      <c r="M9" s="256"/>
    </row>
    <row r="10" spans="1:13" ht="37.5" customHeight="1" x14ac:dyDescent="0.2">
      <c r="A10" s="713" t="s">
        <v>246</v>
      </c>
      <c r="B10" s="713"/>
      <c r="C10" s="713"/>
      <c r="D10" s="713"/>
      <c r="E10" s="713"/>
      <c r="F10" s="713"/>
      <c r="G10" s="713"/>
      <c r="H10" s="713"/>
      <c r="I10" s="713"/>
      <c r="J10" s="713"/>
      <c r="K10" s="713"/>
      <c r="L10" s="713"/>
      <c r="M10" s="256"/>
    </row>
    <row r="11" spans="1:13" ht="37.5" customHeight="1" x14ac:dyDescent="0.2">
      <c r="A11" s="713" t="s">
        <v>522</v>
      </c>
      <c r="B11" s="716"/>
      <c r="C11" s="716"/>
      <c r="D11" s="716"/>
      <c r="E11" s="716"/>
      <c r="F11" s="716"/>
      <c r="G11" s="716"/>
      <c r="H11" s="716"/>
      <c r="I11" s="716"/>
      <c r="J11" s="716"/>
      <c r="K11" s="716"/>
      <c r="L11" s="658"/>
      <c r="M11" s="256"/>
    </row>
    <row r="12" spans="1:13" ht="37.5" customHeight="1" x14ac:dyDescent="0.2">
      <c r="A12" s="713" t="s">
        <v>526</v>
      </c>
      <c r="B12" s="716"/>
      <c r="C12" s="716"/>
      <c r="D12" s="716"/>
      <c r="E12" s="716"/>
      <c r="F12" s="716"/>
      <c r="G12" s="716"/>
      <c r="H12" s="716"/>
      <c r="I12" s="716"/>
      <c r="J12" s="716"/>
      <c r="K12" s="716"/>
      <c r="L12" s="658"/>
      <c r="M12" s="256"/>
    </row>
    <row r="13" spans="1:13" x14ac:dyDescent="0.2">
      <c r="A13" s="714" t="s">
        <v>294</v>
      </c>
      <c r="B13" s="714"/>
      <c r="C13" s="714"/>
      <c r="D13" s="714"/>
      <c r="E13" s="714"/>
      <c r="F13" s="714"/>
      <c r="G13" s="714"/>
      <c r="H13" s="714"/>
      <c r="I13" s="714"/>
      <c r="J13" s="714"/>
      <c r="K13" s="714"/>
      <c r="L13" s="714"/>
      <c r="M13" s="256"/>
    </row>
    <row r="14" spans="1:13" ht="28.15" customHeight="1" x14ac:dyDescent="0.2">
      <c r="A14" s="713" t="s">
        <v>525</v>
      </c>
      <c r="B14" s="714"/>
      <c r="C14" s="714"/>
      <c r="D14" s="714"/>
      <c r="E14" s="714"/>
      <c r="F14" s="714"/>
      <c r="G14" s="714"/>
      <c r="H14" s="714"/>
      <c r="I14" s="714"/>
      <c r="J14" s="714"/>
      <c r="K14" s="714"/>
      <c r="L14" s="714"/>
      <c r="M14" s="256"/>
    </row>
    <row r="15" spans="1:13" ht="64.5" customHeight="1" x14ac:dyDescent="0.2">
      <c r="A15" s="713" t="s">
        <v>517</v>
      </c>
      <c r="B15" s="713"/>
      <c r="C15" s="713"/>
      <c r="D15" s="713"/>
      <c r="E15" s="713"/>
      <c r="F15" s="713"/>
      <c r="G15" s="713"/>
      <c r="H15" s="713"/>
      <c r="I15" s="713"/>
      <c r="J15" s="713"/>
      <c r="K15" s="713"/>
      <c r="L15" s="713"/>
      <c r="M15" s="256"/>
    </row>
    <row r="16" spans="1:13" ht="54" customHeight="1" x14ac:dyDescent="0.2">
      <c r="A16" s="713" t="s">
        <v>494</v>
      </c>
      <c r="B16" s="713"/>
      <c r="C16" s="713"/>
      <c r="D16" s="713"/>
      <c r="E16" s="713"/>
      <c r="F16" s="713"/>
      <c r="G16" s="713"/>
      <c r="H16" s="713"/>
      <c r="I16" s="713"/>
      <c r="J16" s="713"/>
      <c r="K16" s="713"/>
      <c r="L16" s="713"/>
      <c r="M16" s="256"/>
    </row>
    <row r="17" spans="1:13" ht="28.15" customHeight="1" x14ac:dyDescent="0.2">
      <c r="A17" s="713" t="s">
        <v>524</v>
      </c>
      <c r="B17" s="713"/>
      <c r="C17" s="713"/>
      <c r="D17" s="713"/>
      <c r="E17" s="713"/>
      <c r="F17" s="713"/>
      <c r="G17" s="713"/>
      <c r="H17" s="713"/>
      <c r="I17" s="713"/>
      <c r="J17" s="713"/>
      <c r="K17" s="713"/>
      <c r="L17" s="713"/>
      <c r="M17" s="256"/>
    </row>
    <row r="18" spans="1:13" ht="39.75" customHeight="1" x14ac:dyDescent="0.2">
      <c r="A18" s="713" t="s">
        <v>523</v>
      </c>
      <c r="B18" s="713"/>
      <c r="C18" s="713"/>
      <c r="D18" s="713"/>
      <c r="E18" s="713"/>
      <c r="F18" s="713"/>
      <c r="G18" s="713"/>
      <c r="H18" s="713"/>
      <c r="I18" s="713"/>
      <c r="J18" s="713"/>
      <c r="K18" s="713"/>
      <c r="L18" s="713"/>
      <c r="M18" s="256"/>
    </row>
    <row r="19" spans="1:13" ht="40.9" customHeight="1" x14ac:dyDescent="0.2">
      <c r="A19" s="715" t="s">
        <v>295</v>
      </c>
      <c r="B19" s="715"/>
      <c r="C19" s="715"/>
      <c r="D19" s="715"/>
      <c r="E19" s="715"/>
      <c r="F19" s="715"/>
      <c r="G19" s="715"/>
      <c r="H19" s="715"/>
      <c r="I19" s="715"/>
      <c r="J19" s="715"/>
      <c r="K19" s="715"/>
      <c r="L19" s="715"/>
      <c r="M19" s="256"/>
    </row>
    <row r="20" spans="1:13" ht="27" customHeight="1" x14ac:dyDescent="0.2">
      <c r="A20" s="715" t="s">
        <v>513</v>
      </c>
      <c r="B20" s="716"/>
      <c r="C20" s="716"/>
      <c r="D20" s="716"/>
      <c r="E20" s="716"/>
      <c r="F20" s="716"/>
      <c r="G20" s="716"/>
      <c r="H20" s="716"/>
      <c r="I20" s="716"/>
      <c r="J20" s="716"/>
      <c r="K20" s="716"/>
      <c r="L20" s="659"/>
      <c r="M20" s="256"/>
    </row>
    <row r="21" spans="1:13" ht="26.45" customHeight="1" x14ac:dyDescent="0.2">
      <c r="A21" s="707" t="s">
        <v>495</v>
      </c>
      <c r="B21" s="712"/>
      <c r="C21" s="712"/>
      <c r="D21" s="712"/>
      <c r="E21" s="712"/>
      <c r="F21" s="712"/>
      <c r="G21" s="712"/>
      <c r="H21" s="712"/>
      <c r="I21" s="712"/>
      <c r="J21" s="712"/>
      <c r="K21" s="712"/>
      <c r="L21" s="712"/>
      <c r="M21" s="256"/>
    </row>
    <row r="22" spans="1:13" ht="15.75" customHeight="1" x14ac:dyDescent="0.2">
      <c r="A22" s="255" t="s">
        <v>296</v>
      </c>
      <c r="B22" s="257"/>
      <c r="C22" s="257"/>
      <c r="D22" s="257"/>
      <c r="E22" s="257"/>
      <c r="F22" s="257"/>
      <c r="G22" s="257"/>
      <c r="H22" s="257"/>
      <c r="I22" s="257"/>
      <c r="J22" s="257"/>
      <c r="K22" s="257"/>
      <c r="L22" s="257"/>
      <c r="M22" s="256"/>
    </row>
    <row r="23" spans="1:13" x14ac:dyDescent="0.2">
      <c r="A23" s="711" t="s">
        <v>297</v>
      </c>
      <c r="B23" s="711"/>
      <c r="C23" s="711"/>
      <c r="D23" s="711"/>
      <c r="E23" s="711"/>
      <c r="F23" s="711"/>
      <c r="G23" s="711"/>
      <c r="H23" s="711"/>
      <c r="I23" s="711"/>
      <c r="J23" s="711"/>
      <c r="K23" s="711"/>
      <c r="L23" s="711"/>
      <c r="M23" s="258"/>
    </row>
    <row r="24" spans="1:13" x14ac:dyDescent="0.2">
      <c r="A24" s="711" t="s">
        <v>298</v>
      </c>
      <c r="B24" s="711"/>
      <c r="C24" s="711"/>
      <c r="D24" s="711"/>
      <c r="E24" s="711"/>
      <c r="F24" s="711"/>
      <c r="G24" s="711"/>
      <c r="H24" s="711"/>
      <c r="I24" s="711"/>
      <c r="J24" s="711"/>
      <c r="K24" s="711"/>
      <c r="L24" s="711"/>
      <c r="M24" s="258"/>
    </row>
    <row r="25" spans="1:13" ht="31.5" customHeight="1" x14ac:dyDescent="0.2">
      <c r="A25" s="707" t="s">
        <v>527</v>
      </c>
      <c r="B25" s="707"/>
      <c r="C25" s="707"/>
      <c r="D25" s="707"/>
      <c r="E25" s="707"/>
      <c r="F25" s="707"/>
      <c r="G25" s="707"/>
      <c r="H25" s="707"/>
      <c r="I25" s="707"/>
      <c r="J25" s="707"/>
      <c r="K25" s="707"/>
      <c r="L25" s="707"/>
      <c r="M25" s="256"/>
    </row>
    <row r="26" spans="1:13" s="260" customFormat="1" ht="45" customHeight="1" x14ac:dyDescent="0.2">
      <c r="A26" s="707" t="s">
        <v>528</v>
      </c>
      <c r="B26" s="707"/>
      <c r="C26" s="707"/>
      <c r="D26" s="707"/>
      <c r="E26" s="707"/>
      <c r="F26" s="707"/>
      <c r="G26" s="707"/>
      <c r="H26" s="707"/>
      <c r="I26" s="707"/>
      <c r="J26" s="707"/>
      <c r="K26" s="707"/>
      <c r="L26" s="707"/>
      <c r="M26" s="259"/>
    </row>
    <row r="27" spans="1:13" x14ac:dyDescent="0.2">
      <c r="A27" s="643" t="s">
        <v>299</v>
      </c>
      <c r="B27" s="643"/>
      <c r="C27" s="643"/>
      <c r="D27" s="643"/>
      <c r="E27" s="643"/>
      <c r="F27" s="643"/>
      <c r="G27" s="643"/>
      <c r="H27" s="643"/>
      <c r="I27" s="643"/>
      <c r="J27" s="643"/>
      <c r="K27" s="643"/>
      <c r="L27" s="643"/>
      <c r="M27" s="256"/>
    </row>
    <row r="28" spans="1:13" ht="27" customHeight="1" x14ac:dyDescent="0.2">
      <c r="A28" s="707" t="s">
        <v>529</v>
      </c>
      <c r="B28" s="707"/>
      <c r="C28" s="707"/>
      <c r="D28" s="707"/>
      <c r="E28" s="707"/>
      <c r="F28" s="707"/>
      <c r="G28" s="707"/>
      <c r="H28" s="707"/>
      <c r="I28" s="707"/>
      <c r="J28" s="707"/>
      <c r="K28" s="707"/>
      <c r="L28" s="707"/>
      <c r="M28" s="256"/>
    </row>
    <row r="29" spans="1:13" ht="24.75" customHeight="1" x14ac:dyDescent="0.2">
      <c r="A29" s="707" t="s">
        <v>300</v>
      </c>
      <c r="B29" s="707"/>
      <c r="C29" s="707"/>
      <c r="D29" s="707"/>
      <c r="E29" s="707"/>
      <c r="F29" s="707"/>
      <c r="G29" s="707"/>
      <c r="H29" s="707"/>
      <c r="I29" s="707"/>
      <c r="J29" s="707"/>
      <c r="K29" s="707"/>
      <c r="L29" s="707"/>
      <c r="M29" s="256"/>
    </row>
    <row r="30" spans="1:13" x14ac:dyDescent="0.2">
      <c r="A30" s="644"/>
      <c r="B30" s="644"/>
      <c r="C30" s="644"/>
      <c r="D30" s="644"/>
      <c r="E30" s="644"/>
      <c r="F30" s="644"/>
      <c r="G30" s="644"/>
      <c r="H30" s="644"/>
      <c r="I30" s="644"/>
      <c r="J30" s="644"/>
      <c r="K30" s="644"/>
      <c r="L30" s="644"/>
      <c r="M30" s="256"/>
    </row>
    <row r="31" spans="1:13" x14ac:dyDescent="0.2">
      <c r="A31" s="255" t="s">
        <v>118</v>
      </c>
      <c r="B31" s="261"/>
      <c r="C31" s="261"/>
      <c r="D31" s="261"/>
      <c r="E31" s="261"/>
      <c r="F31" s="261"/>
      <c r="G31" s="261"/>
      <c r="H31" s="261"/>
      <c r="I31" s="262"/>
      <c r="J31" s="262"/>
      <c r="K31" s="262"/>
      <c r="L31" s="262"/>
      <c r="M31" s="256"/>
    </row>
    <row r="32" spans="1:13" ht="33" customHeight="1" x14ac:dyDescent="0.2">
      <c r="A32" s="707" t="s">
        <v>496</v>
      </c>
      <c r="B32" s="707"/>
      <c r="C32" s="707"/>
      <c r="D32" s="707"/>
      <c r="E32" s="707"/>
      <c r="F32" s="707"/>
      <c r="G32" s="707"/>
      <c r="H32" s="707"/>
      <c r="I32" s="707"/>
      <c r="J32" s="707"/>
      <c r="K32" s="707"/>
      <c r="L32" s="707"/>
      <c r="M32" s="256"/>
    </row>
    <row r="33" spans="1:13" ht="15" customHeight="1" x14ac:dyDescent="0.2">
      <c r="A33" s="708" t="s">
        <v>218</v>
      </c>
      <c r="B33" s="708"/>
      <c r="C33" s="708"/>
      <c r="D33" s="708"/>
      <c r="E33" s="708"/>
      <c r="F33" s="708"/>
      <c r="G33" s="708"/>
      <c r="H33" s="708"/>
      <c r="I33" s="708"/>
      <c r="J33" s="708"/>
      <c r="K33" s="708"/>
      <c r="L33" s="708"/>
      <c r="M33" s="256"/>
    </row>
    <row r="34" spans="1:13" ht="48" customHeight="1" x14ac:dyDescent="0.2">
      <c r="A34" s="709" t="s">
        <v>521</v>
      </c>
      <c r="B34" s="709"/>
      <c r="C34" s="709"/>
      <c r="D34" s="709"/>
      <c r="E34" s="709"/>
      <c r="F34" s="709"/>
      <c r="G34" s="709"/>
      <c r="H34" s="709"/>
      <c r="I34" s="709"/>
      <c r="J34" s="709"/>
      <c r="K34" s="709"/>
      <c r="L34" s="709"/>
      <c r="M34" s="256"/>
    </row>
    <row r="35" spans="1:13" x14ac:dyDescent="0.2">
      <c r="A35" s="710" t="s">
        <v>516</v>
      </c>
      <c r="B35" s="710"/>
      <c r="C35" s="710"/>
      <c r="D35" s="710"/>
      <c r="E35" s="710"/>
      <c r="F35" s="710"/>
      <c r="G35" s="710"/>
      <c r="H35" s="710"/>
      <c r="I35" s="710"/>
      <c r="J35" s="710"/>
      <c r="K35" s="710"/>
      <c r="L35" s="710"/>
      <c r="M35" s="256"/>
    </row>
  </sheetData>
  <sheetProtection password="B0BE" sheet="1" objects="1" scenarios="1"/>
  <mergeCells count="25">
    <mergeCell ref="A19:L19"/>
    <mergeCell ref="A12:K12"/>
    <mergeCell ref="A20:K20"/>
    <mergeCell ref="A11:K11"/>
    <mergeCell ref="A14:L14"/>
    <mergeCell ref="A15:L15"/>
    <mergeCell ref="A16:L16"/>
    <mergeCell ref="A17:L17"/>
    <mergeCell ref="A18:L18"/>
    <mergeCell ref="A7:K7"/>
    <mergeCell ref="A32:L32"/>
    <mergeCell ref="A33:L33"/>
    <mergeCell ref="A34:L34"/>
    <mergeCell ref="A35:L35"/>
    <mergeCell ref="A23:L23"/>
    <mergeCell ref="A24:L24"/>
    <mergeCell ref="A25:L25"/>
    <mergeCell ref="A26:L26"/>
    <mergeCell ref="A28:L28"/>
    <mergeCell ref="A29:L29"/>
    <mergeCell ref="A21:L21"/>
    <mergeCell ref="A8:L8"/>
    <mergeCell ref="A9:L9"/>
    <mergeCell ref="A10:L10"/>
    <mergeCell ref="A13:L13"/>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53"/>
  <sheetViews>
    <sheetView workbookViewId="0">
      <selection activeCell="E21" sqref="E21"/>
    </sheetView>
  </sheetViews>
  <sheetFormatPr defaultColWidth="9.140625" defaultRowHeight="12.75" x14ac:dyDescent="0.2"/>
  <cols>
    <col min="1" max="2" width="2.7109375" style="193" customWidth="1"/>
    <col min="3" max="3" width="29.85546875" style="193" customWidth="1"/>
    <col min="4" max="4" width="18.140625" style="193" customWidth="1"/>
    <col min="5" max="5" width="14.42578125" style="193" customWidth="1"/>
    <col min="6" max="6" width="12.85546875" style="193" customWidth="1"/>
    <col min="7" max="7" width="9.140625" style="193"/>
    <col min="8" max="8" width="3.28515625" style="193" customWidth="1"/>
    <col min="9" max="9" width="9.140625" style="193" hidden="1" customWidth="1"/>
    <col min="10" max="10" width="0.140625" style="193" hidden="1" customWidth="1"/>
    <col min="11" max="12" width="9.140625" style="193" hidden="1" customWidth="1"/>
    <col min="13" max="13" width="2.28515625" style="193" customWidth="1"/>
    <col min="14" max="14" width="1.42578125" style="193" customWidth="1"/>
    <col min="15" max="16384" width="9.140625" style="193"/>
  </cols>
  <sheetData>
    <row r="1" spans="2:7" ht="11.25" customHeight="1" x14ac:dyDescent="0.2"/>
    <row r="2" spans="2:7" ht="36" customHeight="1" x14ac:dyDescent="0.2"/>
    <row r="3" spans="2:7" ht="24" customHeight="1" x14ac:dyDescent="0.2"/>
    <row r="4" spans="2:7" ht="37.5" customHeight="1" x14ac:dyDescent="0.3">
      <c r="B4" s="329" t="s">
        <v>497</v>
      </c>
      <c r="C4" s="330"/>
      <c r="D4" s="330"/>
      <c r="E4" s="194"/>
      <c r="F4" s="194"/>
      <c r="G4" s="194"/>
    </row>
    <row r="5" spans="2:7" x14ac:dyDescent="0.2">
      <c r="B5" s="194"/>
      <c r="C5" s="194"/>
      <c r="D5" s="194"/>
      <c r="E5" s="194"/>
      <c r="F5" s="194"/>
      <c r="G5" s="194"/>
    </row>
    <row r="6" spans="2:7" ht="12.75" customHeight="1" x14ac:dyDescent="0.2">
      <c r="B6" s="717" t="s">
        <v>279</v>
      </c>
      <c r="C6" s="717"/>
      <c r="D6" s="717"/>
      <c r="E6" s="717"/>
      <c r="F6" s="717"/>
      <c r="G6" s="717"/>
    </row>
    <row r="7" spans="2:7" x14ac:dyDescent="0.2">
      <c r="B7" s="717"/>
      <c r="C7" s="717"/>
      <c r="D7" s="717"/>
      <c r="E7" s="717"/>
      <c r="F7" s="717"/>
      <c r="G7" s="717"/>
    </row>
    <row r="8" spans="2:7" x14ac:dyDescent="0.2">
      <c r="B8" s="717"/>
      <c r="C8" s="717"/>
      <c r="D8" s="717"/>
      <c r="E8" s="717"/>
      <c r="F8" s="717"/>
      <c r="G8" s="717"/>
    </row>
    <row r="9" spans="2:7" x14ac:dyDescent="0.2">
      <c r="B9" s="647"/>
      <c r="C9" s="647"/>
      <c r="D9" s="647"/>
      <c r="E9" s="647"/>
      <c r="F9" s="647"/>
      <c r="G9" s="647"/>
    </row>
    <row r="10" spans="2:7" x14ac:dyDescent="0.2">
      <c r="B10" s="214" t="s">
        <v>280</v>
      </c>
      <c r="C10" s="647"/>
      <c r="D10" s="647"/>
      <c r="E10" s="647"/>
      <c r="F10" s="647"/>
      <c r="G10" s="647"/>
    </row>
    <row r="11" spans="2:7" ht="13.5" thickBot="1" x14ac:dyDescent="0.25">
      <c r="B11" s="194"/>
      <c r="C11" s="194"/>
      <c r="D11" s="194"/>
      <c r="E11" s="194"/>
      <c r="F11" s="194"/>
      <c r="G11" s="194"/>
    </row>
    <row r="12" spans="2:7" x14ac:dyDescent="0.2">
      <c r="B12" s="195"/>
      <c r="C12" s="196"/>
      <c r="D12" s="196"/>
      <c r="E12" s="196"/>
      <c r="F12" s="196"/>
      <c r="G12" s="197"/>
    </row>
    <row r="13" spans="2:7" ht="15" x14ac:dyDescent="0.2">
      <c r="B13" s="198"/>
      <c r="C13" s="199" t="s">
        <v>271</v>
      </c>
      <c r="D13" s="199"/>
      <c r="E13" s="651">
        <f>DoR</f>
        <v>0</v>
      </c>
      <c r="F13" s="650"/>
      <c r="G13" s="200"/>
    </row>
    <row r="14" spans="2:7" ht="15" x14ac:dyDescent="0.2">
      <c r="B14" s="198"/>
      <c r="C14" s="199"/>
      <c r="D14" s="199"/>
      <c r="E14" s="652"/>
      <c r="F14" s="650"/>
      <c r="G14" s="200"/>
    </row>
    <row r="15" spans="2:7" ht="15" x14ac:dyDescent="0.2">
      <c r="B15" s="198"/>
      <c r="C15" s="199" t="s">
        <v>272</v>
      </c>
      <c r="D15" s="199"/>
      <c r="E15" s="718">
        <f>Calculator!J27</f>
        <v>0</v>
      </c>
      <c r="F15" s="719"/>
      <c r="G15" s="201"/>
    </row>
    <row r="16" spans="2:7" ht="15" x14ac:dyDescent="0.2">
      <c r="B16" s="198"/>
      <c r="C16" s="199"/>
      <c r="D16" s="199"/>
      <c r="E16" s="653"/>
      <c r="F16" s="653"/>
      <c r="G16" s="200"/>
    </row>
    <row r="17" spans="2:7" ht="15" x14ac:dyDescent="0.2">
      <c r="B17" s="198"/>
      <c r="C17" s="199" t="s">
        <v>59</v>
      </c>
      <c r="D17" s="199"/>
      <c r="E17" s="651" t="str">
        <f>IF(DoB="","",DoB)</f>
        <v/>
      </c>
      <c r="F17" s="650"/>
      <c r="G17" s="200"/>
    </row>
    <row r="18" spans="2:7" ht="15" x14ac:dyDescent="0.2">
      <c r="B18" s="198"/>
      <c r="C18" s="199"/>
      <c r="D18" s="199"/>
      <c r="E18" s="652"/>
      <c r="F18" s="650"/>
      <c r="G18" s="200"/>
    </row>
    <row r="19" spans="2:7" ht="15" x14ac:dyDescent="0.2">
      <c r="B19" s="198"/>
      <c r="C19" s="199" t="s">
        <v>273</v>
      </c>
      <c r="D19" s="199"/>
      <c r="E19" s="651" t="str">
        <f>IF(DJS="","",DJS)</f>
        <v/>
      </c>
      <c r="F19" s="650"/>
      <c r="G19" s="200"/>
    </row>
    <row r="20" spans="2:7" ht="15" x14ac:dyDescent="0.2">
      <c r="B20" s="198"/>
      <c r="C20" s="199"/>
      <c r="D20" s="199"/>
      <c r="E20" s="650"/>
      <c r="F20" s="650"/>
      <c r="G20" s="200"/>
    </row>
    <row r="21" spans="2:7" ht="15" x14ac:dyDescent="0.2">
      <c r="B21" s="198"/>
      <c r="C21" s="199" t="s">
        <v>274</v>
      </c>
      <c r="D21" s="199"/>
      <c r="E21" s="648" t="str">
        <f>IF(CurrentSal="","",CurrentSal)</f>
        <v/>
      </c>
      <c r="F21" s="650"/>
      <c r="G21" s="200"/>
    </row>
    <row r="22" spans="2:7" ht="15.75" thickBot="1" x14ac:dyDescent="0.25">
      <c r="B22" s="202"/>
      <c r="C22" s="203"/>
      <c r="D22" s="203"/>
      <c r="E22" s="204"/>
      <c r="F22" s="203"/>
      <c r="G22" s="205"/>
    </row>
    <row r="23" spans="2:7" ht="13.5" customHeight="1" x14ac:dyDescent="0.2">
      <c r="B23" s="194"/>
      <c r="C23" s="199"/>
      <c r="D23" s="199"/>
      <c r="E23" s="206"/>
      <c r="F23" s="199"/>
      <c r="G23" s="207"/>
    </row>
    <row r="24" spans="2:7" ht="31.5" customHeight="1" x14ac:dyDescent="0.2">
      <c r="B24" s="720" t="s">
        <v>275</v>
      </c>
      <c r="C24" s="720"/>
      <c r="D24" s="720"/>
      <c r="E24" s="720"/>
      <c r="F24" s="208"/>
      <c r="G24" s="194"/>
    </row>
    <row r="25" spans="2:7" ht="14.25" customHeight="1" x14ac:dyDescent="0.2">
      <c r="B25" s="194" t="s">
        <v>278</v>
      </c>
      <c r="C25" s="225"/>
      <c r="D25" s="217"/>
      <c r="E25" s="218"/>
      <c r="F25" s="208"/>
      <c r="G25" s="194"/>
    </row>
    <row r="26" spans="2:7" ht="14.25" customHeight="1" thickBot="1" x14ac:dyDescent="0.3">
      <c r="B26" s="226" t="str">
        <f>IF(Form_Check=TRUE,"","Insufficient data supplied, please fill in rest of form")</f>
        <v>Insufficient data supplied, please fill in rest of form</v>
      </c>
      <c r="C26" s="216"/>
      <c r="D26" s="217"/>
      <c r="E26" s="208"/>
      <c r="F26" s="208"/>
      <c r="G26" s="194"/>
    </row>
    <row r="27" spans="2:7" ht="15" x14ac:dyDescent="0.2">
      <c r="B27" s="195"/>
      <c r="C27" s="209"/>
      <c r="D27" s="210"/>
      <c r="E27" s="210"/>
      <c r="F27" s="210"/>
      <c r="G27" s="197"/>
    </row>
    <row r="28" spans="2:7" ht="15.75" x14ac:dyDescent="0.25">
      <c r="B28" s="198"/>
      <c r="C28" s="211" t="str">
        <f>"Projected pension at "&amp;IF(DoR="","",TEXT(DoR,"d mmmm yyy")) &amp;":"</f>
        <v>Projected pension at :</v>
      </c>
      <c r="D28" s="199"/>
      <c r="E28" s="649" t="str">
        <f>IF(Form_Check=TRUE,IF(ChosenRA&gt;=55,Calculator!I86,Calculator!I81),"")</f>
        <v/>
      </c>
      <c r="F28" s="199"/>
      <c r="G28" s="200"/>
    </row>
    <row r="29" spans="2:7" ht="15" x14ac:dyDescent="0.2">
      <c r="B29" s="198"/>
      <c r="C29" s="199"/>
      <c r="D29" s="199"/>
      <c r="E29" s="199"/>
      <c r="F29" s="199"/>
      <c r="G29" s="200"/>
    </row>
    <row r="30" spans="2:7" ht="15.75" x14ac:dyDescent="0.25">
      <c r="B30" s="198"/>
      <c r="C30" s="211" t="str">
        <f>IF(Scheme_Full=Scheme_60,"Automatic Lump sum","")</f>
        <v/>
      </c>
      <c r="D30" s="199"/>
      <c r="E30" s="215" t="str">
        <f>IF(Form_Check=TRUE,IF(Scheme_Full=Scheme_60,Calculator!I82,""),"")</f>
        <v/>
      </c>
      <c r="F30" s="199"/>
      <c r="G30" s="200"/>
    </row>
    <row r="31" spans="2:7" ht="45.75" customHeight="1" x14ac:dyDescent="0.2">
      <c r="B31" s="198"/>
      <c r="C31" s="721" t="str">
        <f>IF(Scheme_Full=Scheme_60,"The Teachers' Pension Scheme allows for part of your pension to be exchanged for a lump sum at retirement. This is called commutation.","")</f>
        <v/>
      </c>
      <c r="D31" s="722"/>
      <c r="E31" s="723"/>
      <c r="F31" s="199"/>
      <c r="G31" s="200"/>
    </row>
    <row r="32" spans="2:7" ht="15" x14ac:dyDescent="0.2">
      <c r="B32" s="198"/>
      <c r="C32" s="199"/>
      <c r="D32" s="199"/>
      <c r="E32" s="199"/>
      <c r="F32" s="199"/>
      <c r="G32" s="200"/>
    </row>
    <row r="33" spans="2:7" ht="15" x14ac:dyDescent="0.2">
      <c r="B33" s="198"/>
      <c r="C33" s="199" t="s">
        <v>276</v>
      </c>
      <c r="D33" s="199"/>
      <c r="E33" s="199"/>
      <c r="F33" s="199"/>
      <c r="G33" s="200"/>
    </row>
    <row r="34" spans="2:7" ht="15" x14ac:dyDescent="0.2">
      <c r="B34" s="198"/>
      <c r="C34" s="199"/>
      <c r="D34" s="199"/>
      <c r="E34" s="199"/>
      <c r="F34" s="199"/>
      <c r="G34" s="200"/>
    </row>
    <row r="35" spans="2:7" ht="15.75" x14ac:dyDescent="0.25">
      <c r="B35" s="198"/>
      <c r="C35" s="211" t="s">
        <v>281</v>
      </c>
      <c r="D35" s="199"/>
      <c r="E35" s="649" t="str">
        <f>IF(Form_Check=TRUE,IF(ChosenRA&gt;=55,Calculator!I76,Calculator!I70),"")</f>
        <v/>
      </c>
      <c r="F35" s="199"/>
      <c r="G35" s="200"/>
    </row>
    <row r="36" spans="2:7" ht="15" x14ac:dyDescent="0.2">
      <c r="B36" s="198"/>
      <c r="C36" s="199"/>
      <c r="D36" s="199"/>
      <c r="E36" s="220"/>
      <c r="F36" s="199"/>
      <c r="G36" s="200"/>
    </row>
    <row r="37" spans="2:7" ht="15.75" x14ac:dyDescent="0.25">
      <c r="B37" s="198"/>
      <c r="C37" s="211" t="s">
        <v>277</v>
      </c>
      <c r="D37" s="199"/>
      <c r="E37" s="648" t="str">
        <f>IF(Form_Check=TRUE,IF(ChosenRA&gt;=55,Calculator!I77,Calculator!I71),"")</f>
        <v/>
      </c>
      <c r="F37" s="199"/>
      <c r="G37" s="200"/>
    </row>
    <row r="38" spans="2:7" ht="16.5" thickBot="1" x14ac:dyDescent="0.3">
      <c r="B38" s="202"/>
      <c r="C38" s="223"/>
      <c r="D38" s="203"/>
      <c r="E38" s="224"/>
      <c r="F38" s="203"/>
      <c r="G38" s="205"/>
    </row>
    <row r="39" spans="2:7" ht="15.75" customHeight="1" x14ac:dyDescent="0.2">
      <c r="B39" s="198"/>
      <c r="C39" s="724" t="str">
        <f>IF(ChosenRA&gt;=55,"","Please note, as you have selected a retirement data that is before Normal Pension Age in the 2015 Scheme, entitlement is deferred until you reach your state pension age (SPA). **")</f>
        <v>Please note, as you have selected a retirement data that is before Normal Pension Age in the 2015 Scheme, entitlement is deferred until you reach your state pension age (SPA). **</v>
      </c>
      <c r="D39" s="724"/>
      <c r="E39" s="724"/>
      <c r="F39" s="724"/>
      <c r="G39" s="200"/>
    </row>
    <row r="40" spans="2:7" ht="15.75" customHeight="1" x14ac:dyDescent="0.2">
      <c r="B40" s="198"/>
      <c r="C40" s="724"/>
      <c r="D40" s="724"/>
      <c r="E40" s="724"/>
      <c r="F40" s="724"/>
      <c r="G40" s="200"/>
    </row>
    <row r="41" spans="2:7" ht="15.75" customHeight="1" x14ac:dyDescent="0.2">
      <c r="B41" s="198"/>
      <c r="C41" s="724"/>
      <c r="D41" s="724"/>
      <c r="E41" s="724"/>
      <c r="F41" s="724"/>
      <c r="G41" s="200"/>
    </row>
    <row r="42" spans="2:7" ht="15.75" customHeight="1" x14ac:dyDescent="0.25">
      <c r="B42" s="198"/>
      <c r="C42" s="222"/>
      <c r="D42" s="222"/>
      <c r="E42" s="222"/>
      <c r="F42" s="222"/>
      <c r="G42" s="200"/>
    </row>
    <row r="43" spans="2:7" ht="15.75" x14ac:dyDescent="0.25">
      <c r="B43" s="198"/>
      <c r="C43" s="211" t="str">
        <f>IF(ChosenRA&gt;=55,"","Deferred 2015 pension payable at SPA")</f>
        <v>Deferred 2015 pension payable at SPA</v>
      </c>
      <c r="D43" s="199"/>
      <c r="E43" s="219" t="str">
        <f>IF(Form_Check=TRUE,IF(ChosenRA&gt;=55,"",Calculator!I84),"")</f>
        <v/>
      </c>
      <c r="F43" s="199"/>
      <c r="G43" s="200"/>
    </row>
    <row r="44" spans="2:7" ht="15.75" x14ac:dyDescent="0.25">
      <c r="B44" s="198"/>
      <c r="C44" s="211"/>
      <c r="D44" s="199"/>
      <c r="E44" s="221"/>
      <c r="F44" s="199"/>
      <c r="G44" s="200"/>
    </row>
    <row r="45" spans="2:7" ht="15.75" x14ac:dyDescent="0.25">
      <c r="B45" s="198"/>
      <c r="C45" s="211" t="str">
        <f>IF(ChosenRA&gt;=55,"","After maximum commutation:")</f>
        <v>After maximum commutation:</v>
      </c>
      <c r="D45" s="199"/>
      <c r="E45" s="221"/>
      <c r="F45" s="199"/>
      <c r="G45" s="200"/>
    </row>
    <row r="46" spans="2:7" ht="15.75" x14ac:dyDescent="0.25">
      <c r="B46" s="198"/>
      <c r="C46" s="211" t="str">
        <f>IF(ChosenRA&gt;=55,"","Pension")</f>
        <v>Pension</v>
      </c>
      <c r="D46" s="199"/>
      <c r="E46" s="219" t="str">
        <f>IF(Form_Check=TRUE,IF(ChosenRA&gt;=55,"",Calculator!I73),"")</f>
        <v/>
      </c>
      <c r="F46" s="199"/>
      <c r="G46" s="200"/>
    </row>
    <row r="47" spans="2:7" ht="15.75" x14ac:dyDescent="0.25">
      <c r="B47" s="198"/>
      <c r="C47" s="211"/>
      <c r="D47" s="199"/>
      <c r="E47" s="220"/>
      <c r="F47" s="199"/>
      <c r="G47" s="200"/>
    </row>
    <row r="48" spans="2:7" ht="15.75" x14ac:dyDescent="0.25">
      <c r="B48" s="198"/>
      <c r="C48" s="211" t="str">
        <f>IF(ChosenRA&gt;=55,"","Lump sum")</f>
        <v>Lump sum</v>
      </c>
      <c r="D48" s="199"/>
      <c r="E48" s="215" t="str">
        <f>IF(Form_Check=TRUE,IF(ChosenRA&gt;=55,"",Calculator!I74),"")</f>
        <v/>
      </c>
      <c r="F48" s="199"/>
      <c r="G48" s="200"/>
    </row>
    <row r="49" spans="2:7" ht="13.5" thickBot="1" x14ac:dyDescent="0.25">
      <c r="B49" s="202"/>
      <c r="C49" s="212"/>
      <c r="D49" s="212"/>
      <c r="E49" s="212"/>
      <c r="F49" s="212"/>
      <c r="G49" s="205"/>
    </row>
    <row r="50" spans="2:7" x14ac:dyDescent="0.2">
      <c r="B50" s="194"/>
      <c r="C50" s="207"/>
      <c r="D50" s="207"/>
      <c r="E50" s="207"/>
      <c r="F50" s="207"/>
      <c r="G50" s="207"/>
    </row>
    <row r="51" spans="2:7" x14ac:dyDescent="0.2">
      <c r="B51" s="194" t="str">
        <f>IF(ChosenRA&gt;=55,"","** The deferred pension is payable at a reduced rate from age 55")</f>
        <v>** The deferred pension is payable at a reduced rate from age 55</v>
      </c>
      <c r="D51" s="194"/>
      <c r="E51" s="194"/>
      <c r="F51" s="194"/>
      <c r="G51" s="194"/>
    </row>
    <row r="52" spans="2:7" x14ac:dyDescent="0.2">
      <c r="B52" s="194"/>
      <c r="D52" s="194"/>
      <c r="E52" s="194"/>
      <c r="F52" s="194"/>
      <c r="G52" s="194"/>
    </row>
    <row r="53" spans="2:7" x14ac:dyDescent="0.2">
      <c r="C53" s="194" t="s">
        <v>282</v>
      </c>
      <c r="D53" s="213">
        <f ca="1">Date_curr</f>
        <v>43308</v>
      </c>
    </row>
  </sheetData>
  <sheetProtection password="B0BE" sheet="1" objects="1" scenarios="1"/>
  <mergeCells count="5">
    <mergeCell ref="B6:G8"/>
    <mergeCell ref="E15:F15"/>
    <mergeCell ref="B24:E24"/>
    <mergeCell ref="C31:E31"/>
    <mergeCell ref="C39:F41"/>
  </mergeCells>
  <conditionalFormatting sqref="B38:G38">
    <cfRule type="expression" dxfId="15" priority="3">
      <formula>ChosenRA&lt;55</formula>
    </cfRule>
  </conditionalFormatting>
  <conditionalFormatting sqref="C43:F48">
    <cfRule type="expression" dxfId="14" priority="4">
      <formula>ChosenRA&gt;=55</formula>
    </cfRule>
  </conditionalFormatting>
  <conditionalFormatting sqref="B39:G49">
    <cfRule type="expression" dxfId="13" priority="2">
      <formula>ChosenRA&gt;=55</formula>
    </cfRule>
  </conditionalFormatting>
  <conditionalFormatting sqref="E30">
    <cfRule type="expression" dxfId="12" priority="1">
      <formula>Scheme_Full&lt;&gt;Scheme_60</formula>
    </cfRule>
  </conditionalFormatting>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71"/>
  <sheetViews>
    <sheetView workbookViewId="0"/>
  </sheetViews>
  <sheetFormatPr defaultColWidth="9.140625" defaultRowHeight="12.75" x14ac:dyDescent="0.2"/>
  <cols>
    <col min="1" max="1" width="6.7109375" style="481" customWidth="1"/>
    <col min="2" max="2" width="14.7109375" style="525" customWidth="1"/>
    <col min="3" max="3" width="12.140625" style="525" customWidth="1"/>
    <col min="4" max="4" width="13.28515625" style="525" customWidth="1"/>
    <col min="5" max="6" width="10.140625" style="525" bestFit="1" customWidth="1"/>
    <col min="7" max="7" width="13.140625" style="525" customWidth="1"/>
    <col min="8" max="13" width="15" style="525" customWidth="1"/>
    <col min="14" max="14" width="10.140625" style="525" bestFit="1" customWidth="1"/>
    <col min="15" max="21" width="9.140625" style="481"/>
    <col min="22" max="16384" width="9.140625" style="525"/>
  </cols>
  <sheetData>
    <row r="1" spans="1:14" s="481" customFormat="1" x14ac:dyDescent="0.2"/>
    <row r="2" spans="1:14" s="481" customFormat="1" ht="24.75" customHeight="1" x14ac:dyDescent="0.35">
      <c r="B2" s="482" t="s">
        <v>399</v>
      </c>
      <c r="C2" s="483"/>
      <c r="D2" s="483"/>
      <c r="E2" s="483"/>
      <c r="F2" s="483"/>
      <c r="G2" s="483"/>
      <c r="H2" s="483"/>
      <c r="I2" s="484"/>
      <c r="J2" s="484"/>
      <c r="K2" s="484"/>
      <c r="L2" s="484"/>
      <c r="M2" s="484"/>
      <c r="N2" s="485"/>
    </row>
    <row r="3" spans="1:14" s="481" customFormat="1" ht="23.25" x14ac:dyDescent="0.35">
      <c r="B3" s="486"/>
      <c r="C3" s="487"/>
      <c r="D3" s="487"/>
      <c r="E3" s="487"/>
      <c r="F3" s="487"/>
      <c r="G3" s="487"/>
      <c r="H3" s="487"/>
      <c r="I3" s="252"/>
      <c r="J3" s="252"/>
      <c r="K3" s="252"/>
      <c r="L3" s="252"/>
      <c r="M3" s="252"/>
      <c r="N3" s="488"/>
    </row>
    <row r="4" spans="1:14" s="481" customFormat="1" ht="16.5" customHeight="1" x14ac:dyDescent="0.25">
      <c r="A4" s="489"/>
      <c r="B4" s="490" t="str">
        <f>IF(Form_Check=TRUE,IF('FS Calcs'!F25="Tapered","Date of entering the 2015 scheme: ","")&amp;IF('FS Calcs'!F25="Tapered",IF(DJS&gt;=NewSchDate,TEXT(DJS,"d mmmm yyyy"),IF('FS Calcs'!F30=0,D113,VLOOKUP('FS Calcs'!F25,$B$111:$D$113,3,FALSE))),""),"Insufficient data supplied, please fill in rest of form")</f>
        <v>Insufficient data supplied, please fill in rest of form</v>
      </c>
      <c r="C4" s="487"/>
      <c r="D4" s="487"/>
      <c r="E4" s="487"/>
      <c r="F4" s="487"/>
      <c r="G4" s="487"/>
      <c r="H4" s="487"/>
      <c r="I4" s="252"/>
      <c r="J4" s="252"/>
      <c r="K4" s="252"/>
      <c r="L4" s="252"/>
      <c r="M4" s="252"/>
      <c r="N4" s="488"/>
    </row>
    <row r="5" spans="1:14" s="481" customFormat="1" ht="19.149999999999999" customHeight="1" x14ac:dyDescent="0.35">
      <c r="A5" s="489"/>
      <c r="B5" s="486"/>
      <c r="C5" s="487"/>
      <c r="D5" s="487"/>
      <c r="E5" s="487"/>
      <c r="F5" s="487"/>
      <c r="G5" s="487"/>
      <c r="H5" s="487"/>
      <c r="I5" s="252"/>
      <c r="J5" s="252"/>
      <c r="K5" s="252"/>
      <c r="L5" s="252"/>
      <c r="M5" s="252"/>
      <c r="N5" s="488"/>
    </row>
    <row r="6" spans="1:14" s="481" customFormat="1" ht="18.75" customHeight="1" x14ac:dyDescent="0.25">
      <c r="A6" s="489"/>
      <c r="B6" s="491" t="s">
        <v>114</v>
      </c>
      <c r="C6" s="492"/>
      <c r="D6" s="492"/>
      <c r="E6" s="492"/>
      <c r="F6" s="492"/>
      <c r="G6" s="492"/>
      <c r="H6" s="251"/>
      <c r="I6" s="251"/>
      <c r="J6" s="251"/>
      <c r="K6" s="251"/>
      <c r="L6" s="251"/>
      <c r="M6" s="493"/>
      <c r="N6" s="494"/>
    </row>
    <row r="7" spans="1:14" s="481" customFormat="1" ht="21.6" customHeight="1" x14ac:dyDescent="0.25">
      <c r="A7" s="489"/>
      <c r="B7" s="495"/>
      <c r="C7" s="492"/>
      <c r="D7" s="492"/>
      <c r="E7" s="492"/>
      <c r="F7" s="492"/>
      <c r="G7" s="492"/>
      <c r="H7" s="251"/>
      <c r="I7" s="251"/>
      <c r="J7" s="251"/>
      <c r="K7" s="251"/>
      <c r="L7" s="251"/>
      <c r="M7" s="493"/>
      <c r="N7" s="488"/>
    </row>
    <row r="8" spans="1:14" s="481" customFormat="1" ht="21.6" customHeight="1" x14ac:dyDescent="0.25">
      <c r="A8" s="489"/>
      <c r="B8" s="495" t="s">
        <v>179</v>
      </c>
      <c r="C8" s="492"/>
      <c r="D8" s="492"/>
      <c r="E8" s="492"/>
      <c r="F8" s="492"/>
      <c r="G8" s="492"/>
      <c r="H8" s="496">
        <f>Summary!D38</f>
        <v>0</v>
      </c>
      <c r="I8" s="492"/>
      <c r="J8" s="492"/>
      <c r="K8" s="492"/>
      <c r="L8" s="492"/>
      <c r="M8" s="493"/>
      <c r="N8" s="488"/>
    </row>
    <row r="9" spans="1:14" s="481" customFormat="1" ht="15" x14ac:dyDescent="0.25">
      <c r="B9" s="495" t="s">
        <v>311</v>
      </c>
      <c r="C9" s="492"/>
      <c r="D9" s="492"/>
      <c r="E9" s="492"/>
      <c r="F9" s="492"/>
      <c r="G9" s="492"/>
      <c r="H9" s="497" t="e">
        <f>'FS Calcs'!F70</f>
        <v>#N/A</v>
      </c>
      <c r="I9" s="492"/>
      <c r="J9" s="492"/>
      <c r="K9" s="492"/>
      <c r="L9" s="492"/>
      <c r="M9" s="493"/>
      <c r="N9" s="488"/>
    </row>
    <row r="10" spans="1:14" s="481" customFormat="1" ht="14.25" x14ac:dyDescent="0.2">
      <c r="B10" s="495"/>
      <c r="C10" s="492"/>
      <c r="D10" s="492"/>
      <c r="E10" s="492"/>
      <c r="F10" s="492"/>
      <c r="G10" s="492"/>
      <c r="H10" s="492"/>
      <c r="I10" s="492"/>
      <c r="J10" s="492"/>
      <c r="K10" s="492"/>
      <c r="L10" s="492"/>
      <c r="M10" s="493"/>
      <c r="N10" s="488"/>
    </row>
    <row r="11" spans="1:14" s="481" customFormat="1" ht="14.25" x14ac:dyDescent="0.2">
      <c r="B11" s="495"/>
      <c r="C11" s="492"/>
      <c r="D11" s="492"/>
      <c r="E11" s="492"/>
      <c r="F11" s="492"/>
      <c r="G11" s="492"/>
      <c r="H11" s="725" t="s">
        <v>230</v>
      </c>
      <c r="I11" s="725"/>
      <c r="J11" s="725"/>
      <c r="K11" s="725"/>
      <c r="L11" s="725"/>
      <c r="M11" s="493"/>
      <c r="N11" s="488"/>
    </row>
    <row r="12" spans="1:14" s="481" customFormat="1" ht="14.25" x14ac:dyDescent="0.2">
      <c r="B12" s="495"/>
      <c r="C12" s="492"/>
      <c r="D12" s="492"/>
      <c r="E12" s="492"/>
      <c r="F12" s="492"/>
      <c r="G12" s="492"/>
      <c r="H12" s="298" t="s">
        <v>229</v>
      </c>
      <c r="I12" s="499"/>
      <c r="J12" s="498" t="s">
        <v>231</v>
      </c>
      <c r="K12" s="499"/>
      <c r="L12" s="498" t="s">
        <v>232</v>
      </c>
      <c r="M12" s="493"/>
      <c r="N12" s="488"/>
    </row>
    <row r="13" spans="1:14" s="481" customFormat="1" ht="24.6" customHeight="1" x14ac:dyDescent="0.2">
      <c r="B13" s="500" t="s">
        <v>400</v>
      </c>
      <c r="C13" s="492"/>
      <c r="D13" s="492"/>
      <c r="E13" s="492"/>
      <c r="F13" s="492"/>
      <c r="G13" s="492"/>
      <c r="H13" s="501"/>
      <c r="I13" s="502"/>
      <c r="J13" s="501"/>
      <c r="K13" s="502"/>
      <c r="L13" s="501"/>
      <c r="M13" s="493"/>
      <c r="N13" s="488"/>
    </row>
    <row r="14" spans="1:14" s="481" customFormat="1" ht="16.5" x14ac:dyDescent="0.25">
      <c r="B14" s="503" t="s">
        <v>237</v>
      </c>
      <c r="C14" s="492"/>
      <c r="D14" s="492"/>
      <c r="E14" s="492"/>
      <c r="F14" s="492"/>
      <c r="G14" s="492"/>
      <c r="H14" s="492"/>
      <c r="I14" s="492"/>
      <c r="J14" s="492"/>
      <c r="K14" s="492"/>
      <c r="L14" s="492"/>
      <c r="M14" s="493"/>
      <c r="N14" s="488"/>
    </row>
    <row r="15" spans="1:14" s="481" customFormat="1" ht="33" customHeight="1" x14ac:dyDescent="0.25">
      <c r="B15" s="495" t="str">
        <f>Scheme_Full&amp;" pension"</f>
        <v xml:space="preserve"> pension</v>
      </c>
      <c r="C15" s="492"/>
      <c r="D15" s="492"/>
      <c r="E15" s="492"/>
      <c r="F15" s="492"/>
      <c r="G15" s="492"/>
      <c r="H15" s="496" t="e">
        <f>IF(Summary!D55="input error",Summary!D55,TEXT(Summary!D55,"£#,##0")&amp;" pa")</f>
        <v>#REF!</v>
      </c>
      <c r="I15" s="504"/>
      <c r="J15" s="496" t="e">
        <f>IF(Summary!E55="input error",Summary!E55,TEXT(Summary!E55,"£#,##0")&amp;" pa")</f>
        <v>#REF!</v>
      </c>
      <c r="K15" s="505"/>
      <c r="L15" s="496" t="e">
        <f>IF(Summary!F55="input error",Summary!F55,TEXT(Summary!F55,"£#,##0")&amp;" pa")</f>
        <v>#REF!</v>
      </c>
      <c r="M15" s="493"/>
      <c r="N15" s="488"/>
    </row>
    <row r="16" spans="1:14" s="481" customFormat="1" ht="15" x14ac:dyDescent="0.25">
      <c r="A16" s="252"/>
      <c r="B16" s="495" t="str">
        <f>Scheme_Full&amp;" lump sum"</f>
        <v xml:space="preserve"> lump sum</v>
      </c>
      <c r="C16" s="492"/>
      <c r="D16" s="492"/>
      <c r="E16" s="492"/>
      <c r="F16" s="492"/>
      <c r="G16" s="492"/>
      <c r="H16" s="496" t="e">
        <f>Summary!D56</f>
        <v>#REF!</v>
      </c>
      <c r="J16" s="496" t="e">
        <f>Summary!E56</f>
        <v>#REF!</v>
      </c>
      <c r="K16" s="505"/>
      <c r="L16" s="496" t="e">
        <f>Summary!F56</f>
        <v>#REF!</v>
      </c>
      <c r="M16" s="493"/>
      <c r="N16" s="488"/>
    </row>
    <row r="17" spans="1:14" s="481" customFormat="1" ht="15" x14ac:dyDescent="0.25">
      <c r="A17" s="252"/>
      <c r="B17" s="495"/>
      <c r="C17" s="492"/>
      <c r="D17" s="492"/>
      <c r="E17" s="492"/>
      <c r="F17" s="492"/>
      <c r="G17" s="492"/>
      <c r="H17" s="496" t="s">
        <v>134</v>
      </c>
      <c r="J17" s="496" t="s">
        <v>134</v>
      </c>
      <c r="K17" s="505"/>
      <c r="L17" s="496" t="s">
        <v>134</v>
      </c>
      <c r="M17" s="493"/>
      <c r="N17" s="488"/>
    </row>
    <row r="18" spans="1:14" s="481" customFormat="1" ht="15" x14ac:dyDescent="0.25">
      <c r="A18" s="252"/>
      <c r="B18" s="495" t="str">
        <f>"2015 Scheme pension" &amp; IF(ChosenRA&gt;=55,""," deferred until SPA")</f>
        <v>2015 Scheme pension deferred until SPA</v>
      </c>
      <c r="C18" s="492"/>
      <c r="D18" s="492"/>
      <c r="E18" s="492"/>
      <c r="F18" s="492"/>
      <c r="G18" s="492"/>
      <c r="H18" s="496" t="e">
        <f>IF(Summary!D57="Input Error",Summary!D57,TEXT(Summary!D57,"£#,##0")&amp;" pa")</f>
        <v>#REF!</v>
      </c>
      <c r="J18" s="496" t="e">
        <f>IF(Summary!E57="Input Error",Summary!E57,TEXT(Summary!E57,"£#,##0")&amp;" pa")</f>
        <v>#REF!</v>
      </c>
      <c r="K18" s="505"/>
      <c r="L18" s="496" t="e">
        <f>IF(Summary!F57="Input Error",Summary!F57,TEXT(Summary!F57,"£#,##0")&amp;" pa")</f>
        <v>#REF!</v>
      </c>
      <c r="M18" s="493"/>
      <c r="N18" s="488"/>
    </row>
    <row r="19" spans="1:14" s="481" customFormat="1" ht="15" x14ac:dyDescent="0.25">
      <c r="A19" s="252"/>
      <c r="B19" s="495" t="str">
        <f>"2015 Scheme lump sum" &amp; IF(ChosenRA&gt;=55,""," deferred until SPA")</f>
        <v>2015 Scheme lump sum deferred until SPA</v>
      </c>
      <c r="C19" s="492"/>
      <c r="D19" s="492"/>
      <c r="E19" s="492"/>
      <c r="F19" s="492"/>
      <c r="G19" s="492"/>
      <c r="H19" s="496" t="e">
        <f>Summary!D58</f>
        <v>#REF!</v>
      </c>
      <c r="J19" s="496" t="e">
        <f>Summary!E58</f>
        <v>#REF!</v>
      </c>
      <c r="K19" s="505"/>
      <c r="L19" s="496" t="e">
        <f>Summary!F58</f>
        <v>#REF!</v>
      </c>
      <c r="M19" s="493"/>
      <c r="N19" s="488"/>
    </row>
    <row r="20" spans="1:14" s="481" customFormat="1" ht="15" x14ac:dyDescent="0.25">
      <c r="A20" s="252"/>
      <c r="B20" s="495"/>
      <c r="C20" s="492"/>
      <c r="D20" s="492"/>
      <c r="E20" s="492"/>
      <c r="F20" s="492"/>
      <c r="G20" s="492"/>
      <c r="H20" s="505"/>
      <c r="J20" s="505"/>
      <c r="K20" s="505"/>
      <c r="L20" s="505"/>
      <c r="M20" s="493"/>
      <c r="N20" s="488"/>
    </row>
    <row r="21" spans="1:14" s="481" customFormat="1" ht="15" x14ac:dyDescent="0.25">
      <c r="A21" s="252"/>
      <c r="B21" s="495" t="str">
        <f>IF(ChosenRA&gt;=55,"Total pension","")</f>
        <v/>
      </c>
      <c r="C21" s="492"/>
      <c r="D21" s="492"/>
      <c r="E21" s="492"/>
      <c r="F21" s="492"/>
      <c r="G21" s="492"/>
      <c r="H21" s="496" t="str">
        <f>IF(ChosenRA&lt;55,"",IF(OR('Lump Sum'!#REF!&lt;0,'Lump Sum'!#REF!&lt;0),"input error",TEXT(Summary!D59,"£#,##0")&amp;" pa"))</f>
        <v/>
      </c>
      <c r="J21" s="496" t="str">
        <f>IF(ChosenRA&lt;55,"",IF(OR('Lump Sum'!#REF!&lt;0,'Lump Sum'!#REF!&lt;0),"input error",TEXT(Summary!E59,"£#,##0")&amp;" pa"))</f>
        <v/>
      </c>
      <c r="K21" s="505"/>
      <c r="L21" s="496" t="str">
        <f>IF(ChosenRA&lt;55,"",IF(OR('Lump Sum'!#REF!&lt;0,'Lump Sum'!#REF!&lt;0),"input error",TEXT(Summary!F59,"£#,##0")&amp;" pa"))</f>
        <v/>
      </c>
      <c r="M21" s="493"/>
      <c r="N21" s="488"/>
    </row>
    <row r="22" spans="1:14" s="481" customFormat="1" ht="15" x14ac:dyDescent="0.25">
      <c r="A22" s="252"/>
      <c r="B22" s="495" t="str">
        <f>IF(ChosenRA&gt;=55,"Total lump sum","")</f>
        <v/>
      </c>
      <c r="C22" s="492"/>
      <c r="D22" s="492"/>
      <c r="E22" s="492"/>
      <c r="F22" s="492"/>
      <c r="G22" s="492"/>
      <c r="H22" s="496" t="str">
        <f>IF(ChosenRA&lt;55,"",Summary!D60)</f>
        <v/>
      </c>
      <c r="J22" s="496" t="str">
        <f>IF(ChosenRA&lt;55,"",Summary!E60)</f>
        <v/>
      </c>
      <c r="K22" s="505"/>
      <c r="L22" s="496" t="str">
        <f>IF(ChosenRA&lt;55,"",Summary!F60)</f>
        <v/>
      </c>
      <c r="M22" s="493"/>
      <c r="N22" s="488"/>
    </row>
    <row r="23" spans="1:14" s="481" customFormat="1" ht="14.25" x14ac:dyDescent="0.2">
      <c r="A23" s="252"/>
      <c r="B23" s="495"/>
      <c r="C23" s="492"/>
      <c r="D23" s="492"/>
      <c r="E23" s="492"/>
      <c r="F23" s="492"/>
      <c r="G23" s="492"/>
      <c r="H23" s="501"/>
      <c r="I23" s="492"/>
      <c r="J23" s="501"/>
      <c r="K23" s="492"/>
      <c r="L23" s="501"/>
      <c r="M23" s="493"/>
      <c r="N23" s="488"/>
    </row>
    <row r="24" spans="1:14" s="481" customFormat="1" ht="22.9" customHeight="1" x14ac:dyDescent="0.2">
      <c r="A24" s="252"/>
      <c r="B24" s="500" t="s">
        <v>401</v>
      </c>
      <c r="C24" s="492"/>
      <c r="D24" s="492"/>
      <c r="E24" s="492"/>
      <c r="F24" s="492"/>
      <c r="G24" s="492"/>
      <c r="H24" s="492"/>
      <c r="I24" s="492"/>
      <c r="J24" s="492"/>
      <c r="K24" s="492"/>
      <c r="L24" s="492"/>
      <c r="M24" s="493"/>
      <c r="N24" s="488"/>
    </row>
    <row r="25" spans="1:14" s="481" customFormat="1" ht="16.5" x14ac:dyDescent="0.25">
      <c r="A25" s="252"/>
      <c r="B25" s="503" t="s">
        <v>238</v>
      </c>
      <c r="C25" s="492"/>
      <c r="D25" s="492"/>
      <c r="E25" s="492"/>
      <c r="F25" s="492"/>
      <c r="G25" s="492"/>
      <c r="H25" s="492"/>
      <c r="I25" s="492"/>
      <c r="J25" s="492"/>
      <c r="K25" s="492"/>
      <c r="L25" s="492"/>
      <c r="M25" s="493"/>
      <c r="N25" s="488"/>
    </row>
    <row r="26" spans="1:14" s="481" customFormat="1" ht="29.25" customHeight="1" x14ac:dyDescent="0.25">
      <c r="B26" s="495" t="str">
        <f>Scheme_Full&amp;" pension"</f>
        <v xml:space="preserve"> pension</v>
      </c>
      <c r="C26" s="492"/>
      <c r="D26" s="492"/>
      <c r="E26" s="492"/>
      <c r="F26" s="492"/>
      <c r="G26" s="492"/>
      <c r="H26" s="496" t="e">
        <f>IF(Summary!D61="input error",Summary!D61,TEXT(Summary!D61,"£#,##0")&amp;" pa")</f>
        <v>#REF!</v>
      </c>
      <c r="J26" s="496" t="e">
        <f>IF(Summary!E61="input error",Summary!E61,TEXT(Summary!E61,"£#,##0")&amp;" pa")</f>
        <v>#REF!</v>
      </c>
      <c r="K26" s="505"/>
      <c r="L26" s="496" t="e">
        <f>IF(Summary!F61="input error",Summary!F61,TEXT(Summary!F61,"£#,##0")&amp;" pa")</f>
        <v>#REF!</v>
      </c>
      <c r="M26" s="493"/>
      <c r="N26" s="488"/>
    </row>
    <row r="27" spans="1:14" s="481" customFormat="1" ht="15" x14ac:dyDescent="0.25">
      <c r="B27" s="495" t="str">
        <f>Scheme_Full&amp;" lump sum"</f>
        <v xml:space="preserve"> lump sum</v>
      </c>
      <c r="C27" s="492"/>
      <c r="D27" s="492"/>
      <c r="E27" s="492"/>
      <c r="F27" s="492"/>
      <c r="G27" s="492"/>
      <c r="H27" s="496" t="e">
        <f>Summary!D62</f>
        <v>#REF!</v>
      </c>
      <c r="J27" s="496" t="e">
        <f>Summary!E62</f>
        <v>#REF!</v>
      </c>
      <c r="K27" s="505"/>
      <c r="L27" s="496" t="e">
        <f>Summary!F62</f>
        <v>#REF!</v>
      </c>
      <c r="M27" s="493"/>
      <c r="N27" s="488"/>
    </row>
    <row r="28" spans="1:14" s="481" customFormat="1" ht="15" x14ac:dyDescent="0.25">
      <c r="B28" s="495"/>
      <c r="C28" s="492"/>
      <c r="D28" s="492"/>
      <c r="E28" s="492"/>
      <c r="F28" s="492"/>
      <c r="G28" s="492"/>
      <c r="H28" s="496" t="s">
        <v>134</v>
      </c>
      <c r="J28" s="496" t="s">
        <v>134</v>
      </c>
      <c r="K28" s="505"/>
      <c r="L28" s="496" t="s">
        <v>134</v>
      </c>
      <c r="M28" s="493"/>
      <c r="N28" s="488"/>
    </row>
    <row r="29" spans="1:14" s="481" customFormat="1" ht="15" x14ac:dyDescent="0.25">
      <c r="B29" s="495" t="str">
        <f>"2015 Scheme pension" &amp; IF(ChosenRA&gt;=55,""," deferred until SPA")</f>
        <v>2015 Scheme pension deferred until SPA</v>
      </c>
      <c r="C29" s="492"/>
      <c r="D29" s="492"/>
      <c r="E29" s="492"/>
      <c r="F29" s="492"/>
      <c r="G29" s="492"/>
      <c r="H29" s="496" t="e">
        <f>IF(Summary!D63="input error",Summary!D63,TEXT(Summary!D63,"£#,##0")&amp;" pa")</f>
        <v>#REF!</v>
      </c>
      <c r="J29" s="496" t="e">
        <f>IF(Summary!E63="input error",Summary!E63,TEXT(Summary!E63,"£#,##0")&amp;" pa")</f>
        <v>#REF!</v>
      </c>
      <c r="K29" s="505"/>
      <c r="L29" s="496" t="e">
        <f>IF(Summary!F63="input error",Summary!F63,TEXT(Summary!F63,"£#,##0")&amp;" pa")</f>
        <v>#REF!</v>
      </c>
      <c r="M29" s="493"/>
      <c r="N29" s="488"/>
    </row>
    <row r="30" spans="1:14" s="481" customFormat="1" ht="15" x14ac:dyDescent="0.25">
      <c r="B30" s="495"/>
      <c r="C30" s="492"/>
      <c r="D30" s="492"/>
      <c r="E30" s="492"/>
      <c r="F30" s="492"/>
      <c r="G30" s="492"/>
      <c r="H30" s="496"/>
      <c r="J30" s="496"/>
      <c r="K30" s="505"/>
      <c r="L30" s="496"/>
      <c r="M30" s="493"/>
      <c r="N30" s="488"/>
    </row>
    <row r="31" spans="1:14" s="481" customFormat="1" ht="15" x14ac:dyDescent="0.25">
      <c r="B31" s="495" t="str">
        <f>IF(ChosenRA&gt;=55,"Total pension","")</f>
        <v/>
      </c>
      <c r="C31" s="492"/>
      <c r="D31" s="492"/>
      <c r="E31" s="492"/>
      <c r="F31" s="492"/>
      <c r="G31" s="492"/>
      <c r="H31" s="496" t="str">
        <f>IF(ChosenRA&lt;55,"",IF(Summary!D64="input error",Summary!D64,TEXT(Summary!D64,"£#,##0")&amp;" pa"))</f>
        <v/>
      </c>
      <c r="J31" s="496" t="str">
        <f>IF(ChosenRA&lt;55,"",IF(Summary!E64="input error",Summary!E64,TEXT(Summary!E64,"£#,##0")&amp;" pa"))</f>
        <v/>
      </c>
      <c r="K31" s="505"/>
      <c r="L31" s="496" t="str">
        <f>IF(ChosenRA&lt;55,"",IF(Summary!F64="input error",Summary!F64,TEXT(Summary!F64,"£#,##0")&amp;" pa"))</f>
        <v/>
      </c>
      <c r="M31" s="493"/>
      <c r="N31" s="488"/>
    </row>
    <row r="32" spans="1:14" s="481" customFormat="1" ht="15" x14ac:dyDescent="0.25">
      <c r="B32" s="495" t="str">
        <f>IF(ChosenRA&gt;=55,"Total lump sum","")</f>
        <v/>
      </c>
      <c r="C32" s="492"/>
      <c r="D32" s="492"/>
      <c r="E32" s="492"/>
      <c r="F32" s="492"/>
      <c r="G32" s="492"/>
      <c r="H32" s="496" t="str">
        <f>IF(ChosenRA&gt;=55,H27,"")</f>
        <v/>
      </c>
      <c r="J32" s="496" t="str">
        <f>IF(ChosenRA&gt;=55,J27,"")</f>
        <v/>
      </c>
      <c r="K32" s="505"/>
      <c r="L32" s="496" t="str">
        <f>IF(ChosenRA&gt;=55,L27,"")</f>
        <v/>
      </c>
      <c r="M32" s="493"/>
      <c r="N32" s="488"/>
    </row>
    <row r="33" spans="1:14" s="481" customFormat="1" ht="15" x14ac:dyDescent="0.25">
      <c r="B33" s="506"/>
      <c r="C33" s="507"/>
      <c r="D33" s="507"/>
      <c r="E33" s="507"/>
      <c r="F33" s="507"/>
      <c r="G33" s="507"/>
      <c r="H33" s="508"/>
      <c r="I33" s="508"/>
      <c r="J33" s="508"/>
      <c r="K33" s="508"/>
      <c r="L33" s="508"/>
      <c r="M33" s="509"/>
      <c r="N33" s="510"/>
    </row>
    <row r="34" spans="1:14" s="481" customFormat="1" ht="13.5" thickBot="1" x14ac:dyDescent="0.25"/>
    <row r="35" spans="1:14" s="481" customFormat="1" ht="12.75" customHeight="1" x14ac:dyDescent="0.2">
      <c r="B35" s="726" t="s">
        <v>308</v>
      </c>
      <c r="C35" s="727"/>
      <c r="D35" s="728"/>
      <c r="F35" s="732" t="s">
        <v>309</v>
      </c>
      <c r="G35" s="733"/>
      <c r="H35" s="734"/>
      <c r="J35" s="732" t="s">
        <v>310</v>
      </c>
      <c r="K35" s="733"/>
      <c r="L35" s="734"/>
    </row>
    <row r="36" spans="1:14" s="481" customFormat="1" ht="23.45" customHeight="1" thickBot="1" x14ac:dyDescent="0.25">
      <c r="B36" s="729"/>
      <c r="C36" s="730"/>
      <c r="D36" s="731"/>
      <c r="F36" s="735"/>
      <c r="G36" s="736"/>
      <c r="H36" s="737"/>
      <c r="J36" s="735"/>
      <c r="K36" s="736"/>
      <c r="L36" s="737"/>
    </row>
    <row r="37" spans="1:14" s="481" customFormat="1" ht="31.15" customHeight="1" x14ac:dyDescent="0.2"/>
    <row r="38" spans="1:14" s="481" customFormat="1" ht="19.149999999999999" customHeight="1" x14ac:dyDescent="0.2"/>
    <row r="39" spans="1:14" s="481" customFormat="1" ht="18" customHeight="1" x14ac:dyDescent="0.2"/>
    <row r="40" spans="1:14" s="481" customFormat="1" ht="40.15" customHeight="1" x14ac:dyDescent="0.2"/>
    <row r="41" spans="1:14" s="481" customFormat="1" ht="43.9" customHeight="1" x14ac:dyDescent="0.2"/>
    <row r="42" spans="1:14" s="481" customFormat="1" ht="28.15" customHeight="1" x14ac:dyDescent="0.2"/>
    <row r="43" spans="1:14" s="481" customFormat="1" ht="53.45" customHeight="1" x14ac:dyDescent="0.2"/>
    <row r="44" spans="1:14" s="481" customFormat="1" ht="28.9" customHeight="1" x14ac:dyDescent="0.2"/>
    <row r="45" spans="1:14" s="481" customFormat="1" ht="50.45" customHeight="1" x14ac:dyDescent="0.2"/>
    <row r="46" spans="1:14" s="481" customFormat="1" ht="18" customHeight="1" x14ac:dyDescent="0.2">
      <c r="A46" s="511"/>
    </row>
    <row r="47" spans="1:14" s="481" customFormat="1" ht="45" customHeight="1" x14ac:dyDescent="0.2">
      <c r="A47" s="511"/>
    </row>
    <row r="48" spans="1:14" s="481" customFormat="1" ht="30" customHeight="1" x14ac:dyDescent="0.2">
      <c r="A48" s="511"/>
    </row>
    <row r="49" spans="1:1" s="481" customFormat="1" ht="36" customHeight="1" x14ac:dyDescent="0.2">
      <c r="A49" s="511"/>
    </row>
    <row r="50" spans="1:1" s="481" customFormat="1" ht="18.75" customHeight="1" x14ac:dyDescent="0.2"/>
    <row r="51" spans="1:1" s="481" customFormat="1" ht="22.5" customHeight="1" x14ac:dyDescent="0.2"/>
    <row r="52" spans="1:1" s="481" customFormat="1" ht="20.25" customHeight="1" x14ac:dyDescent="0.2">
      <c r="A52" s="511"/>
    </row>
    <row r="53" spans="1:1" s="481" customFormat="1" ht="15.75" customHeight="1" x14ac:dyDescent="0.2">
      <c r="A53" s="511"/>
    </row>
    <row r="54" spans="1:1" s="481" customFormat="1" ht="21" customHeight="1" x14ac:dyDescent="0.2">
      <c r="A54" s="511"/>
    </row>
    <row r="55" spans="1:1" s="481" customFormat="1" ht="34.5" customHeight="1" x14ac:dyDescent="0.2">
      <c r="A55" s="511"/>
    </row>
    <row r="56" spans="1:1" s="481" customFormat="1" ht="14.25" customHeight="1" x14ac:dyDescent="0.2">
      <c r="A56" s="511"/>
    </row>
    <row r="57" spans="1:1" s="481" customFormat="1" ht="19.5" customHeight="1" x14ac:dyDescent="0.2">
      <c r="A57" s="511"/>
    </row>
    <row r="58" spans="1:1" s="481" customFormat="1" ht="29.25" customHeight="1" x14ac:dyDescent="0.2">
      <c r="A58" s="511"/>
    </row>
    <row r="59" spans="1:1" s="481" customFormat="1" ht="12.75" customHeight="1" x14ac:dyDescent="0.2">
      <c r="A59" s="511"/>
    </row>
    <row r="60" spans="1:1" s="481" customFormat="1" ht="13.5" customHeight="1" x14ac:dyDescent="0.2">
      <c r="A60" s="511"/>
    </row>
    <row r="61" spans="1:1" s="481" customFormat="1" ht="27.6" customHeight="1" x14ac:dyDescent="0.2">
      <c r="A61" s="511"/>
    </row>
    <row r="62" spans="1:1" s="481" customFormat="1" ht="19.5" customHeight="1" x14ac:dyDescent="0.2">
      <c r="A62" s="511"/>
    </row>
    <row r="63" spans="1:1" s="481" customFormat="1" ht="31.5" customHeight="1" x14ac:dyDescent="0.2">
      <c r="A63" s="511"/>
    </row>
    <row r="64" spans="1:1" s="481" customFormat="1" ht="21.75" customHeight="1" x14ac:dyDescent="0.2">
      <c r="A64" s="511"/>
    </row>
    <row r="65" spans="1:14" s="481" customFormat="1" ht="12.75" customHeight="1" x14ac:dyDescent="0.2">
      <c r="A65" s="511"/>
    </row>
    <row r="66" spans="1:14" s="481" customFormat="1" ht="12.75" customHeight="1" x14ac:dyDescent="0.2">
      <c r="A66" s="511"/>
    </row>
    <row r="67" spans="1:14" s="481" customFormat="1" ht="12.75" customHeight="1" x14ac:dyDescent="0.2">
      <c r="A67" s="511"/>
    </row>
    <row r="68" spans="1:14" s="481" customFormat="1" x14ac:dyDescent="0.2"/>
    <row r="69" spans="1:14" s="481" customFormat="1" x14ac:dyDescent="0.2"/>
    <row r="70" spans="1:14" s="481" customFormat="1" x14ac:dyDescent="0.2"/>
    <row r="71" spans="1:14" s="481" customFormat="1" x14ac:dyDescent="0.2">
      <c r="F71" s="489"/>
    </row>
    <row r="72" spans="1:14" s="481" customFormat="1" x14ac:dyDescent="0.2">
      <c r="K72" s="512"/>
    </row>
    <row r="73" spans="1:14" s="481" customFormat="1" x14ac:dyDescent="0.2">
      <c r="K73" s="512"/>
    </row>
    <row r="74" spans="1:14" s="481" customFormat="1" x14ac:dyDescent="0.2">
      <c r="N74" s="513"/>
    </row>
    <row r="75" spans="1:14" s="481" customFormat="1" x14ac:dyDescent="0.2">
      <c r="A75" s="489" t="s">
        <v>109</v>
      </c>
      <c r="B75" s="514">
        <f ca="1">DATE(YEAR(Date_curr)-18,MONTH(Date_curr),DAY(Date_curr))</f>
        <v>36734</v>
      </c>
      <c r="C75" s="514"/>
      <c r="D75" s="489" t="s">
        <v>125</v>
      </c>
      <c r="E75" s="489"/>
      <c r="F75" s="489"/>
      <c r="G75" s="489"/>
      <c r="H75" s="489"/>
      <c r="I75" s="489"/>
      <c r="J75" s="489"/>
      <c r="K75" s="489"/>
      <c r="L75" s="489"/>
      <c r="M75" s="489"/>
      <c r="N75" s="513"/>
    </row>
    <row r="76" spans="1:14" s="481" customFormat="1" x14ac:dyDescent="0.2">
      <c r="B76" s="514">
        <f>DATE(YEAR(DJS)-18,MONTH(DJS),DAY(DJS))</f>
        <v>687388</v>
      </c>
      <c r="C76" s="489"/>
      <c r="D76" s="489" t="s">
        <v>402</v>
      </c>
      <c r="E76" s="489"/>
      <c r="F76" s="489"/>
      <c r="G76" s="489"/>
      <c r="H76" s="489"/>
      <c r="I76" s="489"/>
      <c r="J76" s="489"/>
      <c r="K76" s="489"/>
      <c r="L76" s="489"/>
      <c r="M76" s="489"/>
    </row>
    <row r="77" spans="1:14" s="481" customFormat="1" x14ac:dyDescent="0.2">
      <c r="A77" s="489" t="s">
        <v>92</v>
      </c>
      <c r="B77" s="514">
        <f ca="1">MIN(B75:B76)</f>
        <v>36734</v>
      </c>
      <c r="C77" s="489"/>
      <c r="D77" s="489" t="s">
        <v>126</v>
      </c>
      <c r="E77" s="489"/>
      <c r="F77" s="489"/>
      <c r="G77" s="489"/>
      <c r="H77" s="489"/>
      <c r="I77" s="489"/>
      <c r="J77" s="489"/>
      <c r="K77" s="489"/>
      <c r="L77" s="489"/>
      <c r="M77" s="489"/>
    </row>
    <row r="78" spans="1:14" s="481" customFormat="1" x14ac:dyDescent="0.2">
      <c r="A78" s="514"/>
      <c r="B78" s="514">
        <f>DATE(YEAR(Parameters!D85)-65,MONTH(Parameters!D85),DAY(Parameters!D85))</f>
        <v>670221</v>
      </c>
      <c r="C78" s="489"/>
      <c r="D78" s="489" t="s">
        <v>127</v>
      </c>
      <c r="E78" s="489"/>
      <c r="F78" s="489"/>
      <c r="G78" s="489"/>
      <c r="H78" s="489"/>
      <c r="I78" s="489"/>
      <c r="J78" s="489"/>
      <c r="K78" s="489"/>
      <c r="L78" s="489"/>
      <c r="M78" s="489"/>
    </row>
    <row r="79" spans="1:14" s="481" customFormat="1" x14ac:dyDescent="0.2">
      <c r="A79" s="514"/>
      <c r="B79" s="514"/>
      <c r="C79" s="489"/>
      <c r="D79" s="489"/>
      <c r="E79" s="489"/>
      <c r="F79" s="489"/>
      <c r="G79" s="489"/>
      <c r="H79" s="489"/>
      <c r="I79" s="489"/>
      <c r="J79" s="489"/>
      <c r="K79" s="489"/>
      <c r="L79" s="489"/>
      <c r="M79" s="489"/>
    </row>
    <row r="80" spans="1:14" s="481" customFormat="1" x14ac:dyDescent="0.2">
      <c r="A80" s="514"/>
      <c r="B80" s="489" t="str">
        <f>+IF(DJS&gt;=NewSchDate,"2015 Scheme",IF(D80&gt;=18,IF(DJS&gt;F80,"2006 Scheme","1987 Scheme"),"2006 Scheme"))</f>
        <v>1987 Scheme</v>
      </c>
      <c r="C80" s="489"/>
      <c r="D80" s="515">
        <f>+(F80-DoB)/365.25</f>
        <v>106.26420260095824</v>
      </c>
      <c r="E80" s="516" t="s">
        <v>110</v>
      </c>
      <c r="F80" s="514">
        <v>38813</v>
      </c>
      <c r="G80" s="489"/>
      <c r="H80" s="489"/>
      <c r="I80" s="489"/>
      <c r="J80" s="489"/>
      <c r="K80" s="489"/>
      <c r="L80" s="489"/>
      <c r="M80" s="489"/>
    </row>
    <row r="81" spans="1:13" s="481" customFormat="1" x14ac:dyDescent="0.2">
      <c r="A81" s="489" t="s">
        <v>56</v>
      </c>
      <c r="B81" s="489" t="str">
        <f>IF(DJS&gt;=NewSchDate,"",IF(B80="2006 Scheme","","2006 Scheme"))</f>
        <v>2006 Scheme</v>
      </c>
      <c r="C81" s="489" t="str">
        <f>""</f>
        <v/>
      </c>
      <c r="D81" s="489" t="s">
        <v>100</v>
      </c>
      <c r="E81" s="489"/>
      <c r="F81" s="489"/>
      <c r="G81" s="489"/>
      <c r="H81" s="489"/>
      <c r="I81" s="489"/>
      <c r="J81" s="489"/>
      <c r="K81" s="489"/>
      <c r="L81" s="489"/>
      <c r="M81" s="489"/>
    </row>
    <row r="82" spans="1:13" s="481" customFormat="1" x14ac:dyDescent="0.2">
      <c r="A82" s="489"/>
      <c r="B82" s="489"/>
      <c r="C82" s="489"/>
      <c r="D82" s="489"/>
      <c r="E82" s="489"/>
      <c r="F82" s="489"/>
      <c r="G82" s="489"/>
      <c r="H82" s="489"/>
      <c r="I82" s="489"/>
      <c r="J82" s="489"/>
      <c r="K82" s="489"/>
      <c r="L82" s="489"/>
      <c r="M82" s="489"/>
    </row>
    <row r="83" spans="1:13" s="481" customFormat="1" x14ac:dyDescent="0.2">
      <c r="A83" s="489"/>
      <c r="B83" s="489" t="s">
        <v>104</v>
      </c>
      <c r="C83" s="514">
        <f ca="1">Date_curr</f>
        <v>43308</v>
      </c>
      <c r="D83" s="514"/>
      <c r="E83" s="489"/>
      <c r="F83" s="489"/>
      <c r="G83" s="489"/>
      <c r="H83" s="489"/>
      <c r="I83" s="489"/>
      <c r="J83" s="489"/>
      <c r="K83" s="489"/>
      <c r="L83" s="489"/>
      <c r="M83" s="489"/>
    </row>
    <row r="84" spans="1:13" s="481" customFormat="1" x14ac:dyDescent="0.2">
      <c r="A84" s="489"/>
      <c r="B84" s="489" t="s">
        <v>103</v>
      </c>
      <c r="C84" s="514">
        <f>+DATE(YEAR(DoB)+18,MONTH(DoB),DAY(DoB))</f>
        <v>6575</v>
      </c>
      <c r="D84" s="514"/>
      <c r="E84" s="489" t="s">
        <v>95</v>
      </c>
      <c r="F84" s="489"/>
      <c r="G84" s="489"/>
      <c r="H84" s="489"/>
      <c r="I84" s="489"/>
      <c r="J84" s="489"/>
      <c r="K84" s="489"/>
      <c r="L84" s="489"/>
      <c r="M84" s="489"/>
    </row>
    <row r="85" spans="1:13" s="481" customFormat="1" x14ac:dyDescent="0.2">
      <c r="A85" s="489" t="s">
        <v>94</v>
      </c>
      <c r="B85" s="489"/>
      <c r="C85" s="514"/>
      <c r="D85" s="514">
        <v>38813</v>
      </c>
      <c r="E85" s="489" t="s">
        <v>100</v>
      </c>
      <c r="F85" s="489"/>
      <c r="G85" s="489"/>
      <c r="H85" s="489"/>
      <c r="I85" s="489"/>
      <c r="J85" s="489"/>
      <c r="K85" s="489"/>
      <c r="L85" s="489"/>
      <c r="M85" s="489"/>
    </row>
    <row r="86" spans="1:13" s="481" customFormat="1" x14ac:dyDescent="0.2">
      <c r="A86" s="489"/>
      <c r="B86" s="514"/>
      <c r="C86" s="514"/>
      <c r="E86" s="489"/>
      <c r="F86" s="489"/>
      <c r="G86" s="489"/>
      <c r="H86" s="489"/>
      <c r="I86" s="489"/>
      <c r="J86" s="489"/>
      <c r="K86" s="489"/>
      <c r="L86" s="489"/>
      <c r="M86" s="489"/>
    </row>
    <row r="87" spans="1:13" s="481" customFormat="1" x14ac:dyDescent="0.2">
      <c r="A87" s="489"/>
      <c r="B87" s="489">
        <v>23000</v>
      </c>
      <c r="D87" s="489"/>
      <c r="E87" s="489"/>
      <c r="F87" s="489"/>
      <c r="G87" s="489"/>
      <c r="H87" s="489"/>
      <c r="I87" s="489"/>
      <c r="J87" s="489"/>
      <c r="K87" s="489"/>
      <c r="L87" s="489"/>
      <c r="M87" s="489"/>
    </row>
    <row r="88" spans="1:13" s="481" customFormat="1" x14ac:dyDescent="0.2">
      <c r="A88" s="489" t="s">
        <v>97</v>
      </c>
      <c r="B88" s="489">
        <v>140000</v>
      </c>
      <c r="D88" s="489"/>
      <c r="E88" s="489"/>
      <c r="F88" s="489"/>
      <c r="G88" s="489"/>
      <c r="H88" s="489"/>
      <c r="I88" s="489"/>
      <c r="J88" s="489"/>
      <c r="K88" s="489"/>
      <c r="L88" s="489"/>
      <c r="M88" s="489"/>
    </row>
    <row r="89" spans="1:13" s="481" customFormat="1" x14ac:dyDescent="0.2">
      <c r="A89" s="489" t="s">
        <v>103</v>
      </c>
      <c r="B89" s="489"/>
      <c r="C89" s="489"/>
      <c r="D89" s="489"/>
      <c r="E89" s="489"/>
      <c r="F89" s="489"/>
      <c r="G89" s="489"/>
      <c r="H89" s="489"/>
      <c r="I89" s="489"/>
      <c r="J89" s="489"/>
      <c r="K89" s="489"/>
      <c r="L89" s="489"/>
      <c r="M89" s="489"/>
    </row>
    <row r="90" spans="1:13" s="481" customFormat="1" x14ac:dyDescent="0.2">
      <c r="A90" s="489" t="s">
        <v>104</v>
      </c>
      <c r="B90" s="517">
        <f>INT((DJS-DATE(YEAR(DoB)+16,MONTH(DoB),DAY(DoB)))/365.25)</f>
        <v>-16</v>
      </c>
      <c r="C90" s="515">
        <f>+IF(TVinYears&gt;=B90,D90,D91)</f>
        <v>0</v>
      </c>
      <c r="D90" s="489">
        <f>+INT(((DJS-DATE(YEAR(DoB)+16,MONTH(DoB),DAY(DoB)))/365.25-INT((DJS-DATE(YEAR(DoB)+16,MONTH(DoB),DAY(DoB)))/365.25))*365.25)</f>
        <v>0</v>
      </c>
      <c r="E90" s="489" t="s">
        <v>102</v>
      </c>
      <c r="F90" s="489"/>
      <c r="G90" s="489"/>
      <c r="H90" s="489"/>
      <c r="I90" s="489"/>
      <c r="J90" s="489"/>
      <c r="K90" s="489"/>
      <c r="L90" s="489"/>
      <c r="M90" s="489"/>
    </row>
    <row r="91" spans="1:13" s="481" customFormat="1" x14ac:dyDescent="0.2">
      <c r="A91" s="489" t="s">
        <v>101</v>
      </c>
      <c r="B91" s="489"/>
      <c r="C91" s="489"/>
      <c r="D91" s="489">
        <v>365</v>
      </c>
      <c r="E91" s="489"/>
      <c r="F91" s="489"/>
      <c r="G91" s="489"/>
      <c r="H91" s="489"/>
      <c r="I91" s="489"/>
      <c r="J91" s="489"/>
      <c r="K91" s="489"/>
      <c r="L91" s="489"/>
      <c r="M91" s="489"/>
    </row>
    <row r="92" spans="1:13" s="481" customFormat="1" x14ac:dyDescent="0.2">
      <c r="A92" s="489" t="s">
        <v>104</v>
      </c>
      <c r="B92" s="489"/>
      <c r="D92" s="489"/>
      <c r="E92" s="489"/>
      <c r="F92" s="489"/>
      <c r="G92" s="489"/>
      <c r="H92" s="489"/>
      <c r="I92" s="489"/>
      <c r="J92" s="489"/>
      <c r="K92" s="489"/>
      <c r="L92" s="489"/>
      <c r="M92" s="489"/>
    </row>
    <row r="93" spans="1:13" s="481" customFormat="1" x14ac:dyDescent="0.2">
      <c r="A93" s="489"/>
      <c r="B93" s="517">
        <v>48</v>
      </c>
      <c r="C93" s="514">
        <f>DATE(YEAR(DoB)+B93,MONTH(DoB),DAY(DoB))</f>
        <v>17532</v>
      </c>
      <c r="D93" s="489"/>
      <c r="E93" s="489"/>
      <c r="F93" s="489"/>
      <c r="G93" s="489"/>
      <c r="I93" s="489"/>
      <c r="J93" s="489"/>
      <c r="K93" s="489"/>
      <c r="L93" s="489"/>
      <c r="M93" s="489"/>
    </row>
    <row r="94" spans="1:13" s="481" customFormat="1" x14ac:dyDescent="0.2">
      <c r="A94" s="489" t="s">
        <v>105</v>
      </c>
      <c r="B94" s="517">
        <v>68</v>
      </c>
      <c r="C94" s="514">
        <f>DATE(YEAR(DoB)+B94,MONTH(DoB),DAY(DoB))</f>
        <v>24837</v>
      </c>
      <c r="D94" s="489"/>
      <c r="E94" s="489"/>
      <c r="F94" s="489"/>
      <c r="G94" s="489"/>
      <c r="I94" s="489"/>
      <c r="J94" s="489"/>
      <c r="K94" s="489"/>
      <c r="L94" s="489"/>
      <c r="M94" s="489"/>
    </row>
    <row r="95" spans="1:13" s="481" customFormat="1" x14ac:dyDescent="0.2">
      <c r="A95" s="489" t="s">
        <v>103</v>
      </c>
      <c r="B95" s="489"/>
      <c r="C95" s="489" t="s">
        <v>403</v>
      </c>
      <c r="D95" s="489"/>
      <c r="E95" s="489"/>
      <c r="F95" s="489"/>
      <c r="G95" s="489"/>
      <c r="I95" s="489"/>
      <c r="J95" s="489"/>
      <c r="K95" s="489"/>
      <c r="L95" s="489"/>
      <c r="M95" s="489"/>
    </row>
    <row r="96" spans="1:13" s="481" customFormat="1" x14ac:dyDescent="0.2">
      <c r="A96" s="489" t="s">
        <v>104</v>
      </c>
      <c r="B96" s="517">
        <f>+MAX(55,C99)</f>
        <v>55</v>
      </c>
      <c r="C96" s="489" t="s">
        <v>103</v>
      </c>
      <c r="D96" s="517">
        <f>MAX(ROUND((C104-DoB)/365.25,2),C99)</f>
        <v>30</v>
      </c>
      <c r="E96" s="515"/>
      <c r="F96" s="515"/>
      <c r="G96" s="489"/>
      <c r="I96" s="489"/>
      <c r="J96" s="489"/>
      <c r="K96" s="489"/>
      <c r="L96" s="489"/>
      <c r="M96" s="489"/>
    </row>
    <row r="97" spans="1:13" s="481" customFormat="1" x14ac:dyDescent="0.2">
      <c r="A97" s="489" t="s">
        <v>404</v>
      </c>
      <c r="B97" s="517">
        <v>65</v>
      </c>
      <c r="C97" s="489" t="s">
        <v>104</v>
      </c>
      <c r="D97" s="517">
        <v>65</v>
      </c>
      <c r="E97" s="489"/>
      <c r="F97" s="514"/>
      <c r="G97" s="489"/>
      <c r="I97" s="489"/>
      <c r="J97" s="489"/>
      <c r="K97" s="489"/>
      <c r="L97" s="489"/>
      <c r="M97" s="489"/>
    </row>
    <row r="98" spans="1:13" s="481" customFormat="1" x14ac:dyDescent="0.2">
      <c r="A98" s="489" t="s">
        <v>103</v>
      </c>
      <c r="B98" s="517"/>
      <c r="C98" s="489"/>
      <c r="D98" s="514">
        <f>+DATE(YEAR(DJS)-TVinYears,MONTH(DJS),DAY(DJS))-TVinDays</f>
        <v>0</v>
      </c>
      <c r="E98" s="489"/>
      <c r="F98" s="514"/>
      <c r="G98" s="489"/>
      <c r="I98" s="489"/>
      <c r="J98" s="489"/>
      <c r="K98" s="489"/>
      <c r="L98" s="489"/>
      <c r="M98" s="489"/>
    </row>
    <row r="99" spans="1:13" s="481" customFormat="1" x14ac:dyDescent="0.2">
      <c r="A99" s="489" t="s">
        <v>104</v>
      </c>
      <c r="B99" s="517"/>
      <c r="C99" s="515">
        <f>+ROUNDUP((Parameters!D85-DoB)/365.25,0)</f>
        <v>0</v>
      </c>
      <c r="D99" s="514" t="s">
        <v>115</v>
      </c>
      <c r="E99" s="489"/>
      <c r="F99" s="514"/>
      <c r="G99" s="489"/>
      <c r="I99" s="489"/>
      <c r="J99" s="489"/>
      <c r="K99" s="489"/>
      <c r="L99" s="489"/>
      <c r="M99" s="489"/>
    </row>
    <row r="100" spans="1:13" s="481" customFormat="1" x14ac:dyDescent="0.2">
      <c r="A100" s="489" t="s">
        <v>111</v>
      </c>
      <c r="B100" s="514"/>
      <c r="C100" s="514">
        <f>+DATE(YEAR(D98)+30,MONTH(D98),DAY(D98))</f>
        <v>10958</v>
      </c>
      <c r="D100" s="489" t="s">
        <v>405</v>
      </c>
      <c r="E100" s="489"/>
      <c r="F100" s="489"/>
      <c r="G100" s="489"/>
      <c r="I100" s="489"/>
      <c r="J100" s="489"/>
      <c r="K100" s="489"/>
      <c r="L100" s="489"/>
      <c r="M100" s="489"/>
    </row>
    <row r="101" spans="1:13" s="481" customFormat="1" x14ac:dyDescent="0.2">
      <c r="A101" s="489"/>
      <c r="B101" s="489"/>
      <c r="C101" s="514">
        <f>+DATE(YEAR(DoB)+55,MONTH(DoB),DAY(DoB))</f>
        <v>20089</v>
      </c>
      <c r="D101" s="489" t="s">
        <v>106</v>
      </c>
      <c r="E101" s="489"/>
      <c r="F101" s="489"/>
      <c r="G101" s="489"/>
      <c r="I101" s="489"/>
      <c r="J101" s="489"/>
      <c r="K101" s="489"/>
      <c r="L101" s="489"/>
      <c r="M101" s="489"/>
    </row>
    <row r="102" spans="1:13" s="481" customFormat="1" x14ac:dyDescent="0.2">
      <c r="A102" s="489"/>
      <c r="B102" s="489"/>
      <c r="C102" s="514">
        <f>+DATE(YEAR(D98)+25,MONTH(D98),DAY(D98))</f>
        <v>9132</v>
      </c>
      <c r="D102" s="489" t="s">
        <v>406</v>
      </c>
      <c r="E102" s="489"/>
      <c r="F102" s="489"/>
      <c r="G102" s="489"/>
      <c r="I102" s="489"/>
      <c r="J102" s="489"/>
      <c r="K102" s="489"/>
      <c r="L102" s="489"/>
      <c r="M102" s="489"/>
    </row>
    <row r="103" spans="1:13" s="481" customFormat="1" x14ac:dyDescent="0.2">
      <c r="A103" s="489"/>
      <c r="B103" s="514"/>
      <c r="C103" s="514">
        <f>+DATE(YEAR(DoB)+50,MONTH(DoB),DAY(DoB))</f>
        <v>18263</v>
      </c>
      <c r="D103" s="489" t="s">
        <v>107</v>
      </c>
      <c r="E103" s="489"/>
      <c r="F103" s="489"/>
      <c r="G103" s="489"/>
      <c r="I103" s="489"/>
      <c r="J103" s="489"/>
      <c r="K103" s="489"/>
      <c r="L103" s="489"/>
      <c r="M103" s="489"/>
    </row>
    <row r="104" spans="1:13" s="481" customFormat="1" x14ac:dyDescent="0.2">
      <c r="A104" s="489"/>
      <c r="B104" s="489"/>
      <c r="C104" s="514">
        <f>+MIN(C100,C101,MAX(C102,C103))</f>
        <v>10958</v>
      </c>
      <c r="D104" s="489" t="s">
        <v>407</v>
      </c>
      <c r="F104" s="489"/>
      <c r="G104" s="489"/>
      <c r="H104" s="489"/>
      <c r="I104" s="489"/>
      <c r="J104" s="489"/>
      <c r="K104" s="489"/>
      <c r="L104" s="489"/>
      <c r="M104" s="489"/>
    </row>
    <row r="105" spans="1:13" s="481" customFormat="1" x14ac:dyDescent="0.2">
      <c r="A105" s="489"/>
      <c r="K105" s="489"/>
      <c r="L105" s="489"/>
      <c r="M105" s="489"/>
    </row>
    <row r="106" spans="1:13" s="481" customFormat="1" x14ac:dyDescent="0.2">
      <c r="A106" s="512" t="s">
        <v>108</v>
      </c>
      <c r="B106" s="512" t="s">
        <v>69</v>
      </c>
      <c r="D106" s="526" t="e">
        <f>'FS Calcs'!F25</f>
        <v>#N/A</v>
      </c>
      <c r="K106" s="489"/>
      <c r="L106" s="489"/>
      <c r="M106" s="489"/>
    </row>
    <row r="107" spans="1:13" s="481" customFormat="1" x14ac:dyDescent="0.2">
      <c r="B107" s="512" t="s">
        <v>77</v>
      </c>
      <c r="D107" s="518" t="e">
        <f>'FS Calcs'!F31</f>
        <v>#N/A</v>
      </c>
      <c r="E107" s="481" t="e">
        <f>TEXT(D107,"d mmmm yyyy")</f>
        <v>#N/A</v>
      </c>
      <c r="K107" s="489"/>
      <c r="L107" s="489"/>
      <c r="M107" s="489"/>
    </row>
    <row r="108" spans="1:13" s="481" customFormat="1" x14ac:dyDescent="0.2">
      <c r="B108" s="512" t="s">
        <v>67</v>
      </c>
      <c r="D108" s="518" t="e">
        <f>D107+1</f>
        <v>#N/A</v>
      </c>
      <c r="E108" s="481" t="e">
        <f>TEXT(D108,"d mmmm yyyy")</f>
        <v>#N/A</v>
      </c>
      <c r="K108" s="489"/>
      <c r="L108" s="489"/>
      <c r="M108" s="489"/>
    </row>
    <row r="109" spans="1:13" s="481" customFormat="1" x14ac:dyDescent="0.2">
      <c r="B109" s="512"/>
      <c r="K109" s="489"/>
      <c r="L109" s="489"/>
      <c r="M109" s="489"/>
    </row>
    <row r="110" spans="1:13" s="481" customFormat="1" x14ac:dyDescent="0.2">
      <c r="B110" s="519" t="s">
        <v>132</v>
      </c>
      <c r="C110" s="520"/>
      <c r="D110" s="519" t="s">
        <v>133</v>
      </c>
      <c r="I110" s="489"/>
      <c r="J110" s="489"/>
      <c r="K110" s="489"/>
    </row>
    <row r="111" spans="1:13" s="481" customFormat="1" x14ac:dyDescent="0.2">
      <c r="B111" s="481" t="s">
        <v>129</v>
      </c>
      <c r="C111" s="489"/>
      <c r="D111" s="489" t="s">
        <v>135</v>
      </c>
      <c r="I111" s="489"/>
      <c r="J111" s="489"/>
      <c r="K111" s="489"/>
    </row>
    <row r="112" spans="1:13" s="481" customFormat="1" ht="12.75" customHeight="1" x14ac:dyDescent="0.2">
      <c r="A112" s="512"/>
      <c r="B112" s="489" t="s">
        <v>130</v>
      </c>
      <c r="C112" s="489"/>
      <c r="D112" s="489" t="e">
        <f>E108</f>
        <v>#N/A</v>
      </c>
      <c r="E112" s="489"/>
      <c r="F112" s="489"/>
      <c r="G112" s="489"/>
      <c r="H112" s="489"/>
      <c r="I112" s="489"/>
      <c r="J112" s="489"/>
      <c r="K112" s="489"/>
    </row>
    <row r="113" spans="1:10" s="481" customFormat="1" x14ac:dyDescent="0.2">
      <c r="B113" s="481" t="s">
        <v>131</v>
      </c>
      <c r="C113" s="489"/>
      <c r="D113" s="521" t="s">
        <v>192</v>
      </c>
    </row>
    <row r="114" spans="1:10" s="481" customFormat="1" x14ac:dyDescent="0.2">
      <c r="A114" s="489"/>
      <c r="C114" s="489"/>
      <c r="D114" s="489"/>
    </row>
    <row r="115" spans="1:10" s="481" customFormat="1" x14ac:dyDescent="0.2">
      <c r="B115" s="489" t="s">
        <v>138</v>
      </c>
      <c r="C115" s="489"/>
      <c r="D115" s="489">
        <f ca="1">YEARFRAC(DJS,DoStartSchYear)</f>
        <v>118.25277777777778</v>
      </c>
    </row>
    <row r="116" spans="1:10" s="481" customFormat="1" x14ac:dyDescent="0.2">
      <c r="B116" s="489" t="s">
        <v>141</v>
      </c>
      <c r="C116" s="489"/>
      <c r="D116" s="514">
        <f ca="1">DoStartSchYear</f>
        <v>43191</v>
      </c>
    </row>
    <row r="117" spans="1:10" s="481" customFormat="1" x14ac:dyDescent="0.2">
      <c r="B117" s="489"/>
      <c r="C117" s="489"/>
      <c r="D117" s="514" t="str">
        <f>basis1</f>
        <v>CPI + 0%</v>
      </c>
      <c r="E117" s="481" t="str">
        <f>basis2</f>
        <v>CPI + 1%</v>
      </c>
      <c r="F117" s="481" t="str">
        <f>basis3</f>
        <v>CPI + 2%</v>
      </c>
    </row>
    <row r="118" spans="1:10" s="481" customFormat="1" x14ac:dyDescent="0.2">
      <c r="B118" s="489" t="s">
        <v>142</v>
      </c>
      <c r="C118" s="489"/>
      <c r="D118" s="522" t="e">
        <f>ROUND(IF(CurrentScheme="NPPS",0.5*CurrentSal,2/3*CurrentSal),-2)</f>
        <v>#N/A</v>
      </c>
    </row>
    <row r="119" spans="1:10" s="481" customFormat="1" x14ac:dyDescent="0.2">
      <c r="B119" s="489" t="s">
        <v>143</v>
      </c>
      <c r="C119" s="489"/>
      <c r="D119" s="522">
        <f>ROUND(4*0.5*CurrentSal,-2)</f>
        <v>0</v>
      </c>
    </row>
    <row r="120" spans="1:10" s="481" customFormat="1" x14ac:dyDescent="0.2">
      <c r="B120" s="489" t="s">
        <v>144</v>
      </c>
      <c r="C120" s="489"/>
      <c r="D120" s="522"/>
      <c r="H120" s="514"/>
    </row>
    <row r="121" spans="1:10" s="481" customFormat="1" x14ac:dyDescent="0.2">
      <c r="B121" s="489"/>
      <c r="C121" s="489"/>
      <c r="D121" s="522"/>
    </row>
    <row r="122" spans="1:10" s="481" customFormat="1" x14ac:dyDescent="0.2"/>
    <row r="123" spans="1:10" s="481" customFormat="1" x14ac:dyDescent="0.2">
      <c r="B123" s="523"/>
      <c r="C123" s="523"/>
      <c r="D123" s="523"/>
      <c r="E123" s="523"/>
      <c r="F123" s="523"/>
      <c r="G123" s="523"/>
      <c r="H123" s="523"/>
      <c r="I123" s="523"/>
      <c r="J123" s="523"/>
    </row>
    <row r="124" spans="1:10" s="481" customFormat="1" x14ac:dyDescent="0.2">
      <c r="B124" s="523"/>
      <c r="C124" s="523"/>
      <c r="D124" s="523"/>
      <c r="E124" s="523"/>
      <c r="F124" s="523"/>
      <c r="G124" s="523"/>
      <c r="H124" s="523"/>
      <c r="I124" s="523"/>
      <c r="J124" s="523"/>
    </row>
    <row r="125" spans="1:10" s="481" customFormat="1" x14ac:dyDescent="0.2">
      <c r="A125" s="524" t="s">
        <v>91</v>
      </c>
      <c r="B125" s="523" t="s">
        <v>93</v>
      </c>
      <c r="C125" s="523"/>
      <c r="D125" s="523"/>
      <c r="E125" s="523"/>
      <c r="F125" s="523"/>
      <c r="G125" s="523"/>
      <c r="H125" s="523"/>
      <c r="I125" s="523"/>
      <c r="J125" s="523"/>
    </row>
    <row r="126" spans="1:10" s="481" customFormat="1" x14ac:dyDescent="0.2">
      <c r="A126" s="523"/>
      <c r="B126" s="523" t="s">
        <v>95</v>
      </c>
      <c r="C126" s="523"/>
      <c r="D126" s="523"/>
      <c r="E126" s="523"/>
      <c r="F126" s="523"/>
      <c r="G126" s="523"/>
      <c r="H126" s="523"/>
      <c r="I126" s="523"/>
      <c r="J126" s="523"/>
    </row>
    <row r="127" spans="1:10" s="481" customFormat="1" x14ac:dyDescent="0.2">
      <c r="A127" s="523" t="s">
        <v>92</v>
      </c>
      <c r="B127" s="523" t="s">
        <v>96</v>
      </c>
      <c r="C127" s="523"/>
      <c r="D127" s="523"/>
      <c r="E127" s="523"/>
      <c r="F127" s="523"/>
      <c r="G127" s="523"/>
      <c r="H127" s="523"/>
      <c r="I127" s="523"/>
      <c r="J127" s="523"/>
    </row>
    <row r="128" spans="1:10" s="481" customFormat="1" x14ac:dyDescent="0.2">
      <c r="A128" s="523" t="s">
        <v>94</v>
      </c>
      <c r="B128" s="523" t="s">
        <v>98</v>
      </c>
      <c r="C128" s="523"/>
      <c r="D128" s="523"/>
      <c r="E128" s="523"/>
      <c r="F128" s="523"/>
      <c r="G128" s="523"/>
      <c r="H128" s="523"/>
      <c r="I128" s="523"/>
      <c r="J128" s="523"/>
    </row>
    <row r="129" spans="1:10" s="481" customFormat="1" x14ac:dyDescent="0.2">
      <c r="A129" s="523"/>
      <c r="B129" s="523" t="s">
        <v>408</v>
      </c>
      <c r="C129" s="523"/>
      <c r="D129" s="523"/>
      <c r="E129" s="523"/>
      <c r="F129" s="523"/>
      <c r="G129" s="523"/>
      <c r="H129" s="523"/>
      <c r="I129" s="523"/>
      <c r="J129" s="523"/>
    </row>
    <row r="130" spans="1:10" s="481" customFormat="1" x14ac:dyDescent="0.2">
      <c r="A130" s="523" t="s">
        <v>97</v>
      </c>
      <c r="B130" s="523" t="s">
        <v>409</v>
      </c>
      <c r="C130" s="523"/>
      <c r="D130" s="523"/>
      <c r="E130" s="523"/>
      <c r="F130" s="523"/>
      <c r="G130" s="523"/>
      <c r="H130" s="523"/>
      <c r="I130" s="523"/>
      <c r="J130" s="523"/>
    </row>
    <row r="131" spans="1:10" s="481" customFormat="1" x14ac:dyDescent="0.2">
      <c r="A131" s="523" t="s">
        <v>99</v>
      </c>
      <c r="B131" s="523" t="s">
        <v>100</v>
      </c>
      <c r="C131" s="523"/>
      <c r="D131" s="523"/>
      <c r="E131" s="523"/>
      <c r="F131" s="523"/>
      <c r="G131" s="523"/>
      <c r="H131" s="523"/>
      <c r="I131" s="523"/>
      <c r="J131" s="523"/>
    </row>
    <row r="132" spans="1:10" s="481" customFormat="1" x14ac:dyDescent="0.2">
      <c r="A132" s="523"/>
      <c r="B132" s="523" t="s">
        <v>102</v>
      </c>
      <c r="C132" s="523"/>
      <c r="D132" s="523"/>
      <c r="E132" s="523"/>
      <c r="F132" s="523"/>
      <c r="G132" s="523"/>
      <c r="H132" s="523"/>
      <c r="I132" s="523"/>
      <c r="J132" s="523"/>
    </row>
    <row r="133" spans="1:10" s="481" customFormat="1" x14ac:dyDescent="0.2">
      <c r="A133" s="523" t="s">
        <v>78</v>
      </c>
      <c r="B133" s="523"/>
      <c r="C133" s="523"/>
      <c r="D133" s="523"/>
      <c r="E133" s="523"/>
      <c r="F133" s="523"/>
      <c r="G133" s="523"/>
      <c r="H133" s="523"/>
      <c r="I133" s="523"/>
      <c r="J133" s="523"/>
    </row>
    <row r="134" spans="1:10" s="481" customFormat="1" x14ac:dyDescent="0.2">
      <c r="A134" s="523" t="s">
        <v>101</v>
      </c>
      <c r="B134" s="523"/>
      <c r="C134" s="523"/>
      <c r="D134" s="523"/>
      <c r="E134" s="523"/>
      <c r="F134" s="523"/>
      <c r="G134" s="523"/>
      <c r="H134" s="523"/>
      <c r="I134" s="523"/>
      <c r="J134" s="523"/>
    </row>
    <row r="135" spans="1:10" s="481" customFormat="1" x14ac:dyDescent="0.2">
      <c r="A135" s="523" t="s">
        <v>139</v>
      </c>
    </row>
    <row r="136" spans="1:10" s="481" customFormat="1" x14ac:dyDescent="0.2">
      <c r="A136" s="523" t="s">
        <v>140</v>
      </c>
    </row>
    <row r="137" spans="1:10" s="481" customFormat="1" x14ac:dyDescent="0.2"/>
    <row r="138" spans="1:10" s="481" customFormat="1" x14ac:dyDescent="0.2">
      <c r="A138" s="489" t="s">
        <v>136</v>
      </c>
      <c r="D138" s="518"/>
      <c r="F138" s="518"/>
    </row>
    <row r="139" spans="1:10" s="481" customFormat="1" x14ac:dyDescent="0.2">
      <c r="A139" s="489" t="s">
        <v>137</v>
      </c>
    </row>
    <row r="140" spans="1:10" s="481" customFormat="1" x14ac:dyDescent="0.2"/>
    <row r="141" spans="1:10" s="481" customFormat="1" x14ac:dyDescent="0.2"/>
    <row r="142" spans="1:10" s="481" customFormat="1" x14ac:dyDescent="0.2"/>
    <row r="143" spans="1:10" s="481" customFormat="1" x14ac:dyDescent="0.2"/>
    <row r="144" spans="1:10" s="481" customFormat="1" x14ac:dyDescent="0.2"/>
    <row r="145" s="481" customFormat="1" x14ac:dyDescent="0.2"/>
    <row r="146" s="481" customFormat="1" x14ac:dyDescent="0.2"/>
    <row r="147" s="481" customFormat="1" x14ac:dyDescent="0.2"/>
    <row r="148" s="481" customFormat="1" x14ac:dyDescent="0.2"/>
    <row r="149" s="481" customFormat="1" x14ac:dyDescent="0.2"/>
    <row r="150" s="481" customFormat="1" x14ac:dyDescent="0.2"/>
    <row r="151" s="481" customFormat="1" x14ac:dyDescent="0.2"/>
    <row r="152" s="481" customFormat="1" x14ac:dyDescent="0.2"/>
    <row r="153" s="481" customFormat="1" x14ac:dyDescent="0.2"/>
    <row r="154" s="481" customFormat="1" x14ac:dyDescent="0.2"/>
    <row r="155" s="481" customFormat="1" x14ac:dyDescent="0.2"/>
    <row r="156" s="481" customFormat="1" x14ac:dyDescent="0.2"/>
    <row r="157" s="481" customFormat="1" x14ac:dyDescent="0.2"/>
    <row r="158" s="481" customFormat="1" x14ac:dyDescent="0.2"/>
    <row r="159" s="481" customFormat="1" x14ac:dyDescent="0.2"/>
    <row r="160" s="481" customFormat="1" x14ac:dyDescent="0.2"/>
    <row r="161" spans="2:13" s="481" customFormat="1" x14ac:dyDescent="0.2"/>
    <row r="162" spans="2:13" s="481" customFormat="1" x14ac:dyDescent="0.2"/>
    <row r="163" spans="2:13" s="481" customFormat="1" x14ac:dyDescent="0.2"/>
    <row r="164" spans="2:13" s="481" customFormat="1" x14ac:dyDescent="0.2"/>
    <row r="165" spans="2:13" s="481" customFormat="1" x14ac:dyDescent="0.2"/>
    <row r="166" spans="2:13" s="481" customFormat="1" x14ac:dyDescent="0.2"/>
    <row r="167" spans="2:13" s="481" customFormat="1" x14ac:dyDescent="0.2"/>
    <row r="168" spans="2:13" s="481" customFormat="1" x14ac:dyDescent="0.2"/>
    <row r="169" spans="2:13" s="481" customFormat="1" x14ac:dyDescent="0.2"/>
    <row r="170" spans="2:13" s="481" customFormat="1" x14ac:dyDescent="0.2"/>
    <row r="171" spans="2:13" x14ac:dyDescent="0.2">
      <c r="B171" s="481"/>
      <c r="C171" s="481"/>
      <c r="D171" s="481"/>
      <c r="E171" s="481"/>
      <c r="F171" s="481"/>
      <c r="G171" s="481"/>
      <c r="H171" s="481"/>
      <c r="I171" s="481"/>
      <c r="J171" s="481"/>
      <c r="K171" s="481"/>
      <c r="L171" s="481"/>
      <c r="M171" s="481"/>
    </row>
  </sheetData>
  <dataConsolidate/>
  <mergeCells count="4">
    <mergeCell ref="H11:L11"/>
    <mergeCell ref="B35:D36"/>
    <mergeCell ref="F35:H36"/>
    <mergeCell ref="J35:L36"/>
  </mergeCells>
  <conditionalFormatting sqref="B26:H28 K26:M28 B15:H17 K15:M17">
    <cfRule type="expression" dxfId="11" priority="12">
      <formula>DJS&gt;=NewSchDate</formula>
    </cfRule>
  </conditionalFormatting>
  <conditionalFormatting sqref="B21:H22 K21:M22">
    <cfRule type="expression" dxfId="10" priority="11">
      <formula>ChosenRA&lt;55</formula>
    </cfRule>
  </conditionalFormatting>
  <conditionalFormatting sqref="B31:H32 K31:M32">
    <cfRule type="expression" dxfId="9" priority="10">
      <formula>ChosenRA&lt;55</formula>
    </cfRule>
  </conditionalFormatting>
  <conditionalFormatting sqref="B4">
    <cfRule type="expression" dxfId="8" priority="9">
      <formula>Form_Check=FALSE</formula>
    </cfRule>
  </conditionalFormatting>
  <conditionalFormatting sqref="B15:B17 B26:B28">
    <cfRule type="expression" dxfId="7" priority="8">
      <formula>DJS&gt;=NewSchDate</formula>
    </cfRule>
  </conditionalFormatting>
  <conditionalFormatting sqref="M26:M28">
    <cfRule type="expression" dxfId="6" priority="7">
      <formula>DJS&gt;=NewSchDate</formula>
    </cfRule>
  </conditionalFormatting>
  <conditionalFormatting sqref="B26:B28">
    <cfRule type="expression" dxfId="5" priority="6">
      <formula>DJS&gt;=NewSchDate</formula>
    </cfRule>
  </conditionalFormatting>
  <conditionalFormatting sqref="B21:B22 B31:B32">
    <cfRule type="expression" dxfId="4" priority="5">
      <formula>ChosenRA&lt;55</formula>
    </cfRule>
  </conditionalFormatting>
  <conditionalFormatting sqref="J26:J28">
    <cfRule type="expression" dxfId="3" priority="4">
      <formula>DJS&gt;=NewSchDate</formula>
    </cfRule>
  </conditionalFormatting>
  <conditionalFormatting sqref="J31:J32">
    <cfRule type="expression" dxfId="2" priority="3">
      <formula>ChosenRA&lt;55</formula>
    </cfRule>
  </conditionalFormatting>
  <conditionalFormatting sqref="J15:J17">
    <cfRule type="expression" dxfId="1" priority="2">
      <formula>DJS&gt;=NewSchDate</formula>
    </cfRule>
  </conditionalFormatting>
  <conditionalFormatting sqref="J21:J22">
    <cfRule type="expression" dxfId="0" priority="1">
      <formula>ChosenRA&lt;55</formula>
    </cfRule>
  </conditionalFormatting>
  <hyperlinks>
    <hyperlink ref="F35:H36" r:id="rId1" display="2015 Microsite"/>
    <hyperlink ref="J35:L36" r:id="rId2" display="Scheme Guides"/>
  </hyperlinks>
  <pageMargins left="0.74803149606299213" right="0.74803149606299213" top="0.98425196850393704" bottom="0.98425196850393704" header="0.51181102362204722" footer="0.51181102362204722"/>
  <pageSetup paperSize="9" scale="53" fitToHeight="0" orientation="portrait" r:id="rId3"/>
  <headerFooter alignWithMargins="0">
    <oddFooter>&amp;LPage &amp;P of &amp;N&amp;R&amp;T &amp;D</oddFooter>
  </headerFooter>
  <rowBreaks count="1" manualBreakCount="1">
    <brk id="36" max="16383"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L146"/>
  <sheetViews>
    <sheetView topLeftCell="A12" workbookViewId="0">
      <selection activeCell="H27" sqref="H27"/>
    </sheetView>
  </sheetViews>
  <sheetFormatPr defaultRowHeight="12.75" x14ac:dyDescent="0.2"/>
  <cols>
    <col min="2" max="2" width="9.85546875" style="1" customWidth="1"/>
    <col min="3" max="3" width="10.140625" bestFit="1" customWidth="1"/>
    <col min="4" max="5" width="10.28515625" bestFit="1" customWidth="1"/>
    <col min="6" max="6" width="21.42578125" bestFit="1" customWidth="1"/>
    <col min="7" max="8" width="27.42578125" customWidth="1"/>
    <col min="11" max="11" width="11.5703125" bestFit="1" customWidth="1"/>
    <col min="12" max="12" width="10.5703125" bestFit="1" customWidth="1"/>
  </cols>
  <sheetData>
    <row r="1" spans="1:9" ht="20.25" x14ac:dyDescent="0.3">
      <c r="A1" s="13" t="s">
        <v>18</v>
      </c>
      <c r="B1" s="30"/>
      <c r="C1" s="12"/>
      <c r="D1" s="12"/>
      <c r="E1" s="12"/>
      <c r="F1" s="12"/>
      <c r="G1" s="12"/>
      <c r="H1" s="12"/>
      <c r="I1" s="12"/>
    </row>
    <row r="2" spans="1:9" ht="15.75" x14ac:dyDescent="0.25">
      <c r="A2" s="27" t="str">
        <f>IF(title="&gt; Enter workbook title here","Enter workbook title in Cover sheet",title)</f>
        <v>Scottish Fire pension  projection calculator</v>
      </c>
      <c r="B2" s="31"/>
      <c r="C2" s="11"/>
      <c r="D2" s="11"/>
      <c r="E2" s="11"/>
      <c r="F2" s="11"/>
      <c r="G2" s="11"/>
      <c r="H2" s="11"/>
      <c r="I2" s="11"/>
    </row>
    <row r="3" spans="1:9" ht="15.75" x14ac:dyDescent="0.25">
      <c r="A3" s="64" t="s">
        <v>74</v>
      </c>
      <c r="B3" s="31"/>
      <c r="C3" s="11"/>
      <c r="D3" s="11"/>
      <c r="E3" s="11"/>
      <c r="F3" s="11"/>
      <c r="G3" s="11"/>
      <c r="H3" s="11"/>
      <c r="I3" s="11"/>
    </row>
    <row r="4" spans="1:9" x14ac:dyDescent="0.2">
      <c r="A4" s="7" t="str">
        <f ca="1">CELL("filename",A1)</f>
        <v>C:\Users\U209873\AppData\Local\Microsoft\Windows\INetCache\Content.Outlook\QF7PK4UP\[180515PenCalcSTSSv2 1.xlsx]Parameters</v>
      </c>
    </row>
    <row r="6" spans="1:9" x14ac:dyDescent="0.2">
      <c r="E6" s="28"/>
      <c r="G6" s="28"/>
    </row>
    <row r="7" spans="1:9" x14ac:dyDescent="0.2">
      <c r="B7" s="1" t="s">
        <v>56</v>
      </c>
      <c r="E7" s="67" t="s">
        <v>316</v>
      </c>
      <c r="F7" s="67" t="s">
        <v>320</v>
      </c>
      <c r="G7" s="61"/>
    </row>
    <row r="8" spans="1:9" x14ac:dyDescent="0.2">
      <c r="E8" s="227" t="s">
        <v>317</v>
      </c>
      <c r="F8" s="67" t="s">
        <v>321</v>
      </c>
      <c r="G8" s="61"/>
    </row>
    <row r="9" spans="1:9" x14ac:dyDescent="0.2">
      <c r="E9" s="227" t="s">
        <v>58</v>
      </c>
      <c r="F9" s="67" t="s">
        <v>233</v>
      </c>
      <c r="G9" s="61"/>
    </row>
    <row r="10" spans="1:9" x14ac:dyDescent="0.2">
      <c r="E10" s="227" t="s">
        <v>324</v>
      </c>
      <c r="F10" s="67" t="s">
        <v>322</v>
      </c>
    </row>
    <row r="12" spans="1:9" x14ac:dyDescent="0.2">
      <c r="B12" s="1" t="s">
        <v>73</v>
      </c>
      <c r="E12" s="33">
        <v>41000</v>
      </c>
    </row>
    <row r="13" spans="1:9" x14ac:dyDescent="0.2">
      <c r="E13" s="32"/>
    </row>
    <row r="14" spans="1:9" x14ac:dyDescent="0.2">
      <c r="B14" s="1" t="s">
        <v>67</v>
      </c>
      <c r="D14" s="28"/>
      <c r="E14" s="33">
        <v>42095</v>
      </c>
    </row>
    <row r="15" spans="1:9" x14ac:dyDescent="0.2">
      <c r="D15" s="28"/>
      <c r="E15" s="33"/>
    </row>
    <row r="16" spans="1:9" x14ac:dyDescent="0.2">
      <c r="B16" s="1" t="s">
        <v>65</v>
      </c>
      <c r="D16" s="28"/>
      <c r="E16" s="35">
        <v>365.25</v>
      </c>
    </row>
    <row r="17" spans="2:7" x14ac:dyDescent="0.2">
      <c r="D17" s="28"/>
    </row>
    <row r="18" spans="2:7" x14ac:dyDescent="0.2">
      <c r="B18" s="233" t="s">
        <v>113</v>
      </c>
      <c r="C18" s="324"/>
      <c r="D18" s="234"/>
      <c r="E18" s="234" t="str">
        <f>Sch_60</f>
        <v>NPA60</v>
      </c>
      <c r="F18" s="437">
        <v>45</v>
      </c>
    </row>
    <row r="19" spans="2:7" x14ac:dyDescent="0.2">
      <c r="B19" s="233"/>
      <c r="C19" s="324"/>
      <c r="D19" s="234"/>
      <c r="E19" s="234" t="str">
        <f>Sch_65</f>
        <v>NPA65</v>
      </c>
      <c r="F19" s="437">
        <v>45</v>
      </c>
    </row>
    <row r="20" spans="2:7" x14ac:dyDescent="0.2">
      <c r="D20" s="28"/>
    </row>
    <row r="21" spans="2:7" x14ac:dyDescent="0.2">
      <c r="B21" s="1" t="s">
        <v>57</v>
      </c>
      <c r="E21" s="28" t="s">
        <v>285</v>
      </c>
      <c r="F21" s="32">
        <f>1/80</f>
        <v>1.2500000000000001E-2</v>
      </c>
      <c r="G21" s="28" t="s">
        <v>441</v>
      </c>
    </row>
    <row r="22" spans="2:7" x14ac:dyDescent="0.2">
      <c r="E22" s="28" t="s">
        <v>284</v>
      </c>
      <c r="F22" s="32">
        <f>1/60</f>
        <v>1.6666666666666666E-2</v>
      </c>
      <c r="G22" s="28" t="s">
        <v>441</v>
      </c>
    </row>
    <row r="23" spans="2:7" x14ac:dyDescent="0.2">
      <c r="E23" s="28" t="s">
        <v>58</v>
      </c>
      <c r="F23" s="227">
        <f>1/57</f>
        <v>1.7543859649122806E-2</v>
      </c>
      <c r="G23" s="28" t="s">
        <v>441</v>
      </c>
    </row>
    <row r="24" spans="2:7" x14ac:dyDescent="0.2">
      <c r="F24" s="32"/>
    </row>
    <row r="25" spans="2:7" x14ac:dyDescent="0.2">
      <c r="B25" s="1" t="s">
        <v>431</v>
      </c>
      <c r="E25" s="551">
        <v>0.03</v>
      </c>
      <c r="F25" s="28" t="s">
        <v>432</v>
      </c>
    </row>
    <row r="27" spans="2:7" x14ac:dyDescent="0.2">
      <c r="B27" s="1" t="s">
        <v>71</v>
      </c>
    </row>
    <row r="28" spans="2:7" x14ac:dyDescent="0.2">
      <c r="D28" s="738" t="s">
        <v>72</v>
      </c>
      <c r="E28" s="738"/>
    </row>
    <row r="29" spans="2:7" x14ac:dyDescent="0.2">
      <c r="D29" s="29" t="s">
        <v>61</v>
      </c>
      <c r="E29" s="29" t="s">
        <v>62</v>
      </c>
    </row>
    <row r="30" spans="2:7" x14ac:dyDescent="0.2">
      <c r="D30" s="38">
        <v>14707</v>
      </c>
      <c r="E30" s="41">
        <v>19788</v>
      </c>
      <c r="F30" s="32">
        <v>65</v>
      </c>
    </row>
    <row r="31" spans="2:7" x14ac:dyDescent="0.2">
      <c r="D31" s="39">
        <v>19789</v>
      </c>
      <c r="E31" s="42">
        <v>22164</v>
      </c>
      <c r="F31" s="32">
        <v>66</v>
      </c>
    </row>
    <row r="32" spans="2:7" x14ac:dyDescent="0.2">
      <c r="D32" s="39">
        <v>22165</v>
      </c>
      <c r="E32" s="42">
        <v>28373</v>
      </c>
      <c r="F32" s="32">
        <v>67</v>
      </c>
    </row>
    <row r="33" spans="2:8" x14ac:dyDescent="0.2">
      <c r="D33" s="40">
        <v>28374</v>
      </c>
      <c r="E33" s="43"/>
      <c r="F33" s="32">
        <v>68</v>
      </c>
    </row>
    <row r="37" spans="2:8" x14ac:dyDescent="0.2">
      <c r="B37" s="1" t="s">
        <v>318</v>
      </c>
      <c r="E37" s="61">
        <v>39173</v>
      </c>
      <c r="F37" s="28" t="s">
        <v>442</v>
      </c>
    </row>
    <row r="38" spans="2:8" x14ac:dyDescent="0.2">
      <c r="E38" s="33"/>
    </row>
    <row r="39" spans="2:8" x14ac:dyDescent="0.2">
      <c r="B39" s="233" t="s">
        <v>319</v>
      </c>
      <c r="C39" s="324"/>
      <c r="D39" s="324"/>
      <c r="E39" s="468"/>
      <c r="F39" s="324"/>
      <c r="G39" s="469">
        <f>(ProtectDate-start_Sch65)/DoY</f>
        <v>5.0020533880903493</v>
      </c>
      <c r="H39" s="28" t="s">
        <v>442</v>
      </c>
    </row>
    <row r="41" spans="2:8" x14ac:dyDescent="0.2">
      <c r="B41" s="230"/>
      <c r="C41" s="231"/>
      <c r="D41" s="231"/>
      <c r="E41" s="231"/>
      <c r="F41" s="231"/>
      <c r="G41" s="231"/>
      <c r="H41" s="231"/>
    </row>
    <row r="42" spans="2:8" ht="13.5" thickBot="1" x14ac:dyDescent="0.25">
      <c r="B42" s="230"/>
      <c r="C42" s="231"/>
      <c r="D42" s="231"/>
      <c r="E42" s="231"/>
      <c r="F42" s="231"/>
      <c r="G42" s="231"/>
      <c r="H42" s="231"/>
    </row>
    <row r="43" spans="2:8" ht="13.5" thickBot="1" x14ac:dyDescent="0.25">
      <c r="B43" s="337"/>
      <c r="C43" s="739"/>
      <c r="D43" s="740"/>
      <c r="E43" s="740"/>
      <c r="F43" s="740"/>
      <c r="G43" s="740"/>
      <c r="H43" s="741"/>
    </row>
    <row r="44" spans="2:8" ht="13.5" thickBot="1" x14ac:dyDescent="0.25">
      <c r="B44" s="338"/>
      <c r="C44" s="339"/>
      <c r="D44" s="340"/>
      <c r="E44" s="340"/>
      <c r="F44" s="340"/>
      <c r="G44" s="340"/>
      <c r="H44" s="341"/>
    </row>
    <row r="45" spans="2:8" x14ac:dyDescent="0.2">
      <c r="B45" s="342"/>
      <c r="C45" s="343"/>
      <c r="D45" s="344"/>
      <c r="E45" s="344"/>
      <c r="F45" s="344"/>
      <c r="G45" s="344"/>
      <c r="H45" s="345"/>
    </row>
    <row r="46" spans="2:8" x14ac:dyDescent="0.2">
      <c r="B46" s="346"/>
      <c r="C46" s="343"/>
      <c r="D46" s="344"/>
      <c r="E46" s="344"/>
      <c r="F46" s="344"/>
      <c r="G46" s="344"/>
      <c r="H46" s="345"/>
    </row>
    <row r="47" spans="2:8" x14ac:dyDescent="0.2">
      <c r="B47" s="342"/>
      <c r="C47" s="343"/>
      <c r="D47" s="344"/>
      <c r="E47" s="344"/>
      <c r="F47" s="344"/>
      <c r="G47" s="344"/>
      <c r="H47" s="345"/>
    </row>
    <row r="48" spans="2:8" x14ac:dyDescent="0.2">
      <c r="B48" s="346"/>
      <c r="C48" s="343"/>
      <c r="D48" s="344"/>
      <c r="E48" s="344"/>
      <c r="F48" s="344"/>
      <c r="G48" s="344"/>
      <c r="H48" s="345"/>
    </row>
    <row r="49" spans="2:8" x14ac:dyDescent="0.2">
      <c r="B49" s="342"/>
      <c r="C49" s="343"/>
      <c r="D49" s="344"/>
      <c r="E49" s="344"/>
      <c r="F49" s="344"/>
      <c r="G49" s="344"/>
      <c r="H49" s="345"/>
    </row>
    <row r="50" spans="2:8" x14ac:dyDescent="0.2">
      <c r="B50" s="346"/>
      <c r="C50" s="343"/>
      <c r="D50" s="344"/>
      <c r="E50" s="344"/>
      <c r="F50" s="344"/>
      <c r="G50" s="344"/>
      <c r="H50" s="345"/>
    </row>
    <row r="51" spans="2:8" x14ac:dyDescent="0.2">
      <c r="B51" s="342"/>
      <c r="C51" s="343"/>
      <c r="D51" s="344"/>
      <c r="E51" s="344"/>
      <c r="F51" s="344"/>
      <c r="G51" s="344"/>
      <c r="H51" s="345"/>
    </row>
    <row r="52" spans="2:8" x14ac:dyDescent="0.2">
      <c r="B52" s="346"/>
      <c r="C52" s="343"/>
      <c r="D52" s="344"/>
      <c r="E52" s="344"/>
      <c r="F52" s="344"/>
      <c r="G52" s="344"/>
      <c r="H52" s="345"/>
    </row>
    <row r="53" spans="2:8" x14ac:dyDescent="0.2">
      <c r="B53" s="342"/>
      <c r="C53" s="343"/>
      <c r="D53" s="344"/>
      <c r="E53" s="344"/>
      <c r="F53" s="344"/>
      <c r="G53" s="344"/>
      <c r="H53" s="345"/>
    </row>
    <row r="54" spans="2:8" x14ac:dyDescent="0.2">
      <c r="B54" s="346"/>
      <c r="C54" s="343"/>
      <c r="D54" s="344"/>
      <c r="E54" s="344"/>
      <c r="F54" s="344"/>
      <c r="G54" s="344"/>
      <c r="H54" s="345"/>
    </row>
    <row r="55" spans="2:8" x14ac:dyDescent="0.2">
      <c r="B55" s="346"/>
      <c r="C55" s="343"/>
      <c r="D55" s="344"/>
      <c r="E55" s="344"/>
      <c r="F55" s="344"/>
      <c r="G55" s="344"/>
      <c r="H55" s="345"/>
    </row>
    <row r="56" spans="2:8" x14ac:dyDescent="0.2">
      <c r="B56" s="346"/>
      <c r="C56" s="343"/>
      <c r="D56" s="344"/>
      <c r="E56" s="344"/>
      <c r="F56" s="344"/>
      <c r="G56" s="344"/>
      <c r="H56" s="345"/>
    </row>
    <row r="57" spans="2:8" x14ac:dyDescent="0.2">
      <c r="B57" s="346"/>
      <c r="C57" s="343"/>
      <c r="D57" s="344"/>
      <c r="E57" s="344"/>
      <c r="F57" s="344"/>
      <c r="G57" s="344"/>
      <c r="H57" s="345"/>
    </row>
    <row r="58" spans="2:8" x14ac:dyDescent="0.2">
      <c r="B58" s="346"/>
      <c r="C58" s="343"/>
      <c r="D58" s="344"/>
      <c r="E58" s="344"/>
      <c r="F58" s="344"/>
      <c r="G58" s="344"/>
      <c r="H58" s="345"/>
    </row>
    <row r="59" spans="2:8" x14ac:dyDescent="0.2">
      <c r="B59" s="346"/>
      <c r="C59" s="343"/>
      <c r="D59" s="344"/>
      <c r="E59" s="344"/>
      <c r="F59" s="344"/>
      <c r="G59" s="344"/>
      <c r="H59" s="345"/>
    </row>
    <row r="60" spans="2:8" x14ac:dyDescent="0.2">
      <c r="B60" s="346"/>
      <c r="C60" s="343"/>
      <c r="D60" s="344"/>
      <c r="E60" s="344"/>
      <c r="F60" s="344"/>
      <c r="G60" s="344"/>
      <c r="H60" s="345"/>
    </row>
    <row r="61" spans="2:8" x14ac:dyDescent="0.2">
      <c r="B61" s="346"/>
      <c r="C61" s="343"/>
      <c r="D61" s="344"/>
      <c r="E61" s="344"/>
      <c r="F61" s="344"/>
      <c r="G61" s="344"/>
      <c r="H61" s="345"/>
    </row>
    <row r="62" spans="2:8" x14ac:dyDescent="0.2">
      <c r="B62" s="346"/>
      <c r="C62" s="343"/>
      <c r="D62" s="344"/>
      <c r="E62" s="344"/>
      <c r="F62" s="344"/>
      <c r="G62" s="344"/>
      <c r="H62" s="345"/>
    </row>
    <row r="63" spans="2:8" x14ac:dyDescent="0.2">
      <c r="B63" s="346"/>
      <c r="C63" s="343"/>
      <c r="D63" s="344"/>
      <c r="E63" s="344"/>
      <c r="F63" s="344"/>
      <c r="G63" s="344"/>
      <c r="H63" s="345"/>
    </row>
    <row r="64" spans="2:8" x14ac:dyDescent="0.2">
      <c r="B64" s="346"/>
      <c r="C64" s="343"/>
      <c r="D64" s="344"/>
      <c r="E64" s="344"/>
      <c r="F64" s="344"/>
      <c r="G64" s="344"/>
      <c r="H64" s="345"/>
    </row>
    <row r="65" spans="2:8" x14ac:dyDescent="0.2">
      <c r="B65" s="346"/>
      <c r="C65" s="343"/>
      <c r="D65" s="344"/>
      <c r="E65" s="344"/>
      <c r="F65" s="344"/>
      <c r="G65" s="344"/>
      <c r="H65" s="345"/>
    </row>
    <row r="66" spans="2:8" x14ac:dyDescent="0.2">
      <c r="B66" s="346"/>
      <c r="C66" s="343"/>
      <c r="D66" s="344"/>
      <c r="E66" s="344"/>
      <c r="F66" s="344"/>
      <c r="G66" s="344"/>
      <c r="H66" s="345"/>
    </row>
    <row r="67" spans="2:8" x14ac:dyDescent="0.2">
      <c r="B67" s="346"/>
      <c r="C67" s="343"/>
      <c r="D67" s="344"/>
      <c r="E67" s="344"/>
      <c r="F67" s="344"/>
      <c r="G67" s="344"/>
      <c r="H67" s="345"/>
    </row>
    <row r="68" spans="2:8" x14ac:dyDescent="0.2">
      <c r="B68" s="346"/>
      <c r="C68" s="343"/>
      <c r="D68" s="344"/>
      <c r="E68" s="344"/>
      <c r="F68" s="344"/>
      <c r="G68" s="344"/>
      <c r="H68" s="345"/>
    </row>
    <row r="69" spans="2:8" x14ac:dyDescent="0.2">
      <c r="B69" s="346"/>
      <c r="C69" s="343"/>
      <c r="D69" s="344"/>
      <c r="E69" s="344"/>
      <c r="F69" s="344"/>
      <c r="G69" s="344"/>
      <c r="H69" s="345"/>
    </row>
    <row r="70" spans="2:8" x14ac:dyDescent="0.2">
      <c r="B70" s="346"/>
      <c r="C70" s="343"/>
      <c r="D70" s="344"/>
      <c r="E70" s="344"/>
      <c r="F70" s="344"/>
      <c r="G70" s="344"/>
      <c r="H70" s="345"/>
    </row>
    <row r="71" spans="2:8" x14ac:dyDescent="0.2">
      <c r="B71" s="346"/>
      <c r="C71" s="343"/>
      <c r="D71" s="344"/>
      <c r="E71" s="344"/>
      <c r="F71" s="344"/>
      <c r="G71" s="344"/>
      <c r="H71" s="345"/>
    </row>
    <row r="72" spans="2:8" x14ac:dyDescent="0.2">
      <c r="B72" s="346"/>
      <c r="C72" s="343"/>
      <c r="D72" s="344"/>
      <c r="E72" s="344"/>
      <c r="F72" s="344"/>
      <c r="G72" s="344"/>
      <c r="H72" s="345"/>
    </row>
    <row r="73" spans="2:8" x14ac:dyDescent="0.2">
      <c r="B73" s="346"/>
      <c r="C73" s="343"/>
      <c r="D73" s="344"/>
      <c r="E73" s="344"/>
      <c r="F73" s="344"/>
      <c r="G73" s="344"/>
      <c r="H73" s="345"/>
    </row>
    <row r="74" spans="2:8" x14ac:dyDescent="0.2">
      <c r="B74" s="346"/>
      <c r="C74" s="343"/>
      <c r="D74" s="344"/>
      <c r="E74" s="344"/>
      <c r="F74" s="344"/>
      <c r="G74" s="344"/>
      <c r="H74" s="345"/>
    </row>
    <row r="75" spans="2:8" x14ac:dyDescent="0.2">
      <c r="B75" s="346"/>
      <c r="C75" s="343"/>
      <c r="D75" s="344"/>
      <c r="E75" s="344"/>
      <c r="F75" s="344"/>
      <c r="G75" s="344"/>
      <c r="H75" s="345"/>
    </row>
    <row r="76" spans="2:8" x14ac:dyDescent="0.2">
      <c r="B76" s="346"/>
      <c r="C76" s="343"/>
      <c r="D76" s="344"/>
      <c r="E76" s="344"/>
      <c r="F76" s="344"/>
      <c r="G76" s="344"/>
      <c r="H76" s="345"/>
    </row>
    <row r="77" spans="2:8" x14ac:dyDescent="0.2">
      <c r="B77" s="346"/>
      <c r="C77" s="343"/>
      <c r="D77" s="344"/>
      <c r="E77" s="344"/>
      <c r="F77" s="344"/>
      <c r="G77" s="344"/>
      <c r="H77" s="345"/>
    </row>
    <row r="78" spans="2:8" x14ac:dyDescent="0.2">
      <c r="B78" s="346"/>
      <c r="C78" s="343"/>
      <c r="D78" s="344"/>
      <c r="E78" s="344"/>
      <c r="F78" s="344"/>
      <c r="G78" s="344"/>
      <c r="H78" s="345"/>
    </row>
    <row r="79" spans="2:8" x14ac:dyDescent="0.2">
      <c r="B79" s="346"/>
      <c r="C79" s="343"/>
      <c r="D79" s="344"/>
      <c r="E79" s="344"/>
      <c r="F79" s="344"/>
      <c r="G79" s="344"/>
      <c r="H79" s="345"/>
    </row>
    <row r="80" spans="2:8" x14ac:dyDescent="0.2">
      <c r="B80" s="346"/>
      <c r="C80" s="343"/>
      <c r="D80" s="344"/>
      <c r="E80" s="344"/>
      <c r="F80" s="344"/>
      <c r="G80" s="344"/>
      <c r="H80" s="345"/>
    </row>
    <row r="81" spans="1:8" x14ac:dyDescent="0.2">
      <c r="B81" s="346"/>
      <c r="C81" s="343"/>
      <c r="D81" s="344"/>
      <c r="E81" s="344"/>
      <c r="F81" s="344"/>
      <c r="G81" s="344"/>
      <c r="H81" s="345"/>
    </row>
    <row r="82" spans="1:8" x14ac:dyDescent="0.2">
      <c r="B82" s="346"/>
      <c r="C82" s="343"/>
      <c r="D82" s="344"/>
      <c r="E82" s="344"/>
      <c r="F82" s="344"/>
      <c r="G82" s="344"/>
      <c r="H82" s="345"/>
    </row>
    <row r="83" spans="1:8" x14ac:dyDescent="0.2">
      <c r="B83" s="346"/>
      <c r="C83" s="343"/>
      <c r="D83" s="344"/>
      <c r="E83" s="344"/>
      <c r="F83" s="344"/>
      <c r="G83" s="344"/>
      <c r="H83" s="345"/>
    </row>
    <row r="84" spans="1:8" x14ac:dyDescent="0.2">
      <c r="B84" s="346"/>
      <c r="C84" s="343"/>
      <c r="D84" s="344"/>
      <c r="E84" s="344"/>
      <c r="F84" s="344"/>
      <c r="G84" s="344"/>
      <c r="H84" s="345"/>
    </row>
    <row r="85" spans="1:8" x14ac:dyDescent="0.2">
      <c r="B85" s="346"/>
      <c r="C85" s="343"/>
      <c r="D85" s="344"/>
      <c r="E85" s="344"/>
      <c r="F85" s="344"/>
      <c r="G85" s="344"/>
      <c r="H85" s="345"/>
    </row>
    <row r="86" spans="1:8" x14ac:dyDescent="0.2">
      <c r="B86" s="346"/>
      <c r="C86" s="343"/>
      <c r="D86" s="344"/>
      <c r="E86" s="344"/>
      <c r="F86" s="344"/>
      <c r="G86" s="344"/>
      <c r="H86" s="345"/>
    </row>
    <row r="87" spans="1:8" x14ac:dyDescent="0.2">
      <c r="B87" s="346"/>
      <c r="C87" s="343"/>
      <c r="D87" s="344"/>
      <c r="E87" s="344"/>
      <c r="F87" s="344"/>
      <c r="G87" s="344"/>
      <c r="H87" s="345"/>
    </row>
    <row r="88" spans="1:8" ht="13.5" thickBot="1" x14ac:dyDescent="0.25">
      <c r="B88" s="347"/>
      <c r="C88" s="348"/>
      <c r="D88" s="349"/>
      <c r="E88" s="349"/>
      <c r="F88" s="349"/>
      <c r="G88" s="349"/>
      <c r="H88" s="350"/>
    </row>
    <row r="90" spans="1:8" x14ac:dyDescent="0.2">
      <c r="C90" s="1" t="s">
        <v>161</v>
      </c>
      <c r="G90" s="106">
        <v>0.02</v>
      </c>
      <c r="H90" t="s">
        <v>314</v>
      </c>
    </row>
    <row r="91" spans="1:8" x14ac:dyDescent="0.2">
      <c r="A91" s="28" t="s">
        <v>194</v>
      </c>
      <c r="B91" s="1" t="s">
        <v>170</v>
      </c>
      <c r="C91" s="1" t="s">
        <v>173</v>
      </c>
      <c r="G91" s="106">
        <f>cpi+H91</f>
        <v>0.01</v>
      </c>
      <c r="H91" s="70">
        <f>IF(DoR&lt;DATE(2020,4,1),-1%,0%)</f>
        <v>-0.01</v>
      </c>
    </row>
    <row r="92" spans="1:8" x14ac:dyDescent="0.2">
      <c r="A92" s="28" t="s">
        <v>194</v>
      </c>
      <c r="B92" s="1" t="s">
        <v>171</v>
      </c>
      <c r="C92" s="1" t="s">
        <v>174</v>
      </c>
      <c r="G92" s="106">
        <f>cpi+1%</f>
        <v>0.03</v>
      </c>
    </row>
    <row r="93" spans="1:8" x14ac:dyDescent="0.2">
      <c r="A93" s="28" t="s">
        <v>194</v>
      </c>
      <c r="B93" s="1" t="s">
        <v>172</v>
      </c>
      <c r="C93" s="1" t="s">
        <v>175</v>
      </c>
      <c r="G93" s="106">
        <f>cpi+2%</f>
        <v>0.04</v>
      </c>
    </row>
    <row r="94" spans="1:8" x14ac:dyDescent="0.2">
      <c r="C94" s="1" t="s">
        <v>315</v>
      </c>
      <c r="G94" s="534">
        <f>G90+1.6%</f>
        <v>3.6000000000000004E-2</v>
      </c>
      <c r="H94" s="71" t="s">
        <v>440</v>
      </c>
    </row>
    <row r="95" spans="1:8" x14ac:dyDescent="0.2">
      <c r="C95" s="1"/>
      <c r="G95" s="105"/>
    </row>
    <row r="96" spans="1:8" x14ac:dyDescent="0.2">
      <c r="C96" s="1" t="s">
        <v>112</v>
      </c>
      <c r="G96" s="37">
        <f>cpi</f>
        <v>0.02</v>
      </c>
      <c r="H96" s="71" t="s">
        <v>162</v>
      </c>
    </row>
    <row r="98" spans="2:12" x14ac:dyDescent="0.2">
      <c r="C98" s="28"/>
      <c r="D98" s="28"/>
      <c r="E98" s="28"/>
    </row>
    <row r="99" spans="2:12" x14ac:dyDescent="0.2">
      <c r="B99" s="28" t="s">
        <v>147</v>
      </c>
      <c r="D99" s="168">
        <f ca="1">TODAY()</f>
        <v>43308</v>
      </c>
      <c r="F99" s="44"/>
      <c r="G99" s="45"/>
    </row>
    <row r="100" spans="2:12" x14ac:dyDescent="0.2">
      <c r="B100" s="58">
        <f ca="1">DATE(YEAR(Date_curr)-1,4,1)</f>
        <v>42826</v>
      </c>
      <c r="C100" s="51">
        <f ca="1">DATE(YEAR(Date_curr),4,1)</f>
        <v>43191</v>
      </c>
      <c r="D100" s="51">
        <f ca="1">DATE(YEAR(Date_curr)+1,4,1)</f>
        <v>43556</v>
      </c>
      <c r="E100" s="51"/>
      <c r="F100" s="45"/>
      <c r="G100" s="55"/>
    </row>
    <row r="101" spans="2:12" x14ac:dyDescent="0.2">
      <c r="B101" s="45" t="s">
        <v>209</v>
      </c>
      <c r="D101" s="168">
        <f ca="1">IF(Parameters!B103=TRUE,DATE(ABSEndDate1,4,1),IF(PT_Status="some Part-time",DATE(ABSEndDate,4,1),IF(AND(Date_curr&lt;C100,Date_curr&gt;=B100),B100,IF(AND(Date_curr&lt;D100,Date_curr&gt;=C100),C100,D100))))</f>
        <v>43191</v>
      </c>
      <c r="E101" s="167"/>
    </row>
    <row r="102" spans="2:12" x14ac:dyDescent="0.2">
      <c r="B102" s="1" t="s">
        <v>452</v>
      </c>
      <c r="D102" s="8"/>
    </row>
    <row r="103" spans="2:12" x14ac:dyDescent="0.2">
      <c r="B103" s="1" t="b">
        <v>0</v>
      </c>
      <c r="C103" t="b">
        <f>B103</f>
        <v>0</v>
      </c>
      <c r="K103" s="8"/>
    </row>
    <row r="104" spans="2:12" x14ac:dyDescent="0.2">
      <c r="B104" s="230"/>
      <c r="C104" s="231"/>
      <c r="D104" s="231"/>
      <c r="E104" s="231"/>
      <c r="F104" s="231"/>
      <c r="G104" s="231"/>
      <c r="K104" s="8"/>
    </row>
    <row r="105" spans="2:12" x14ac:dyDescent="0.2">
      <c r="B105" s="351"/>
      <c r="C105" s="351"/>
      <c r="D105" s="351"/>
      <c r="E105" s="352"/>
      <c r="F105" s="351"/>
      <c r="G105" s="351"/>
      <c r="H105" s="45"/>
      <c r="I105" s="45"/>
      <c r="J105" s="45"/>
      <c r="K105" s="190"/>
      <c r="L105" s="189"/>
    </row>
    <row r="106" spans="2:12" x14ac:dyDescent="0.2">
      <c r="B106" s="351"/>
      <c r="C106" s="353"/>
      <c r="D106" s="353"/>
      <c r="E106" s="353"/>
      <c r="F106" s="353"/>
      <c r="G106" s="353"/>
      <c r="H106" s="72"/>
      <c r="I106" s="72"/>
      <c r="J106" s="72"/>
      <c r="K106" s="72"/>
      <c r="L106" s="72"/>
    </row>
    <row r="108" spans="2:12" x14ac:dyDescent="0.2">
      <c r="B108" s="1" t="s">
        <v>234</v>
      </c>
    </row>
    <row r="109" spans="2:12" x14ac:dyDescent="0.2">
      <c r="B109" s="181" t="s">
        <v>320</v>
      </c>
      <c r="C109" s="182" t="s">
        <v>316</v>
      </c>
    </row>
    <row r="110" spans="2:12" x14ac:dyDescent="0.2">
      <c r="B110" s="181" t="s">
        <v>321</v>
      </c>
      <c r="C110" s="182" t="s">
        <v>317</v>
      </c>
    </row>
    <row r="111" spans="2:12" x14ac:dyDescent="0.2">
      <c r="B111" s="181" t="s">
        <v>233</v>
      </c>
      <c r="C111" s="182" t="s">
        <v>58</v>
      </c>
    </row>
    <row r="112" spans="2:12" x14ac:dyDescent="0.2">
      <c r="B112" s="181" t="s">
        <v>322</v>
      </c>
      <c r="C112" s="182" t="s">
        <v>324</v>
      </c>
    </row>
    <row r="114" spans="2:9" x14ac:dyDescent="0.2">
      <c r="B114" s="1" t="s">
        <v>78</v>
      </c>
    </row>
    <row r="115" spans="2:9" x14ac:dyDescent="0.2">
      <c r="B115" s="45" t="e">
        <f>INDEX(Parameters!$C$109:$C$112,MATCH(Calculator!J31,Parameters!$B$109:$B$112,0),1)</f>
        <v>#N/A</v>
      </c>
    </row>
    <row r="116" spans="2:9" x14ac:dyDescent="0.2">
      <c r="B116" s="45"/>
    </row>
    <row r="117" spans="2:9" x14ac:dyDescent="0.2">
      <c r="B117" s="183" t="s">
        <v>235</v>
      </c>
      <c r="G117" s="174"/>
    </row>
    <row r="118" spans="2:9" x14ac:dyDescent="0.2">
      <c r="B118" s="51">
        <f>DoR</f>
        <v>0</v>
      </c>
      <c r="F118" t="s">
        <v>251</v>
      </c>
    </row>
    <row r="119" spans="2:9" x14ac:dyDescent="0.2">
      <c r="B119" s="51" t="s">
        <v>156</v>
      </c>
      <c r="C119" s="28" t="s">
        <v>247</v>
      </c>
      <c r="D119" s="28" t="s">
        <v>248</v>
      </c>
      <c r="F119" t="s">
        <v>253</v>
      </c>
      <c r="G119" t="s">
        <v>254</v>
      </c>
      <c r="H119" t="s">
        <v>255</v>
      </c>
      <c r="I119" t="s">
        <v>252</v>
      </c>
    </row>
    <row r="120" spans="2:9" x14ac:dyDescent="0.2">
      <c r="B120">
        <f>DATEDIF(DoB,DoR,"y")</f>
        <v>0</v>
      </c>
      <c r="C120">
        <f>(DATEDIF(DoB,DoR,"m")/12-B120)*12</f>
        <v>0</v>
      </c>
      <c r="D120" s="174">
        <f>DoR-DATE(YEAR(DoB)+RA_Year,MONTH(DoB),DAY(DoB))</f>
        <v>0</v>
      </c>
      <c r="F120">
        <f>YEARFRAC(DoB,DoR)</f>
        <v>0</v>
      </c>
      <c r="G120">
        <f>INT(F120)</f>
        <v>0</v>
      </c>
      <c r="H120">
        <v>0.25</v>
      </c>
      <c r="I120">
        <f>ROUNDUP(H120*12,0)</f>
        <v>3</v>
      </c>
    </row>
    <row r="121" spans="2:9" x14ac:dyDescent="0.2">
      <c r="B121" s="1" t="s">
        <v>236</v>
      </c>
      <c r="G121">
        <f>60-G120-RA_month_roundup/12</f>
        <v>59.75</v>
      </c>
      <c r="H121">
        <f>INT(G121)</f>
        <v>59</v>
      </c>
      <c r="I121">
        <f>G121*12-12</f>
        <v>705</v>
      </c>
    </row>
    <row r="122" spans="2:9" x14ac:dyDescent="0.2">
      <c r="B122" s="55">
        <f>B120+D120/DoY</f>
        <v>0</v>
      </c>
    </row>
    <row r="123" spans="2:9" x14ac:dyDescent="0.2">
      <c r="B123" s="1" t="s">
        <v>256</v>
      </c>
      <c r="C123" s="28"/>
    </row>
    <row r="124" spans="2:9" x14ac:dyDescent="0.2">
      <c r="B124" s="58">
        <f>DATE(YEAR(DoB)+60,MONTH(DoB),DAY(DoB))</f>
        <v>21915</v>
      </c>
      <c r="E124" s="8"/>
      <c r="F124" s="62"/>
    </row>
    <row r="126" spans="2:9" x14ac:dyDescent="0.2">
      <c r="B126" s="230"/>
      <c r="C126" s="231"/>
    </row>
    <row r="127" spans="2:9" x14ac:dyDescent="0.2">
      <c r="B127" s="354"/>
      <c r="C127" s="231"/>
    </row>
    <row r="129" spans="2:2" x14ac:dyDescent="0.2">
      <c r="B129" s="1" t="s">
        <v>267</v>
      </c>
    </row>
    <row r="130" spans="2:2" x14ac:dyDescent="0.2">
      <c r="B130" s="1" t="b">
        <v>1</v>
      </c>
    </row>
    <row r="133" spans="2:2" x14ac:dyDescent="0.2">
      <c r="B133" s="1" t="s">
        <v>270</v>
      </c>
    </row>
    <row r="134" spans="2:2" x14ac:dyDescent="0.2">
      <c r="B134" s="28" t="b">
        <f>AND(DoB&lt;&gt;"",DJS&lt;&gt;"",Scheme_Full&lt;&gt;"",CurrentSal&lt;&gt;"",DoR&lt;&gt;"")</f>
        <v>0</v>
      </c>
    </row>
    <row r="136" spans="2:2" x14ac:dyDescent="0.2">
      <c r="B136" s="1" t="s">
        <v>302</v>
      </c>
    </row>
    <row r="137" spans="2:2" x14ac:dyDescent="0.2">
      <c r="B137" s="28">
        <v>2016</v>
      </c>
    </row>
    <row r="138" spans="2:2" x14ac:dyDescent="0.2">
      <c r="B138" s="28">
        <v>2017</v>
      </c>
    </row>
    <row r="139" spans="2:2" x14ac:dyDescent="0.2">
      <c r="B139" s="28">
        <v>2018</v>
      </c>
    </row>
    <row r="140" spans="2:2" x14ac:dyDescent="0.2">
      <c r="B140" s="28">
        <v>2019</v>
      </c>
    </row>
    <row r="141" spans="2:2" x14ac:dyDescent="0.2">
      <c r="B141" s="28">
        <v>2020</v>
      </c>
    </row>
    <row r="142" spans="2:2" x14ac:dyDescent="0.2">
      <c r="B142" s="28">
        <v>2021</v>
      </c>
    </row>
    <row r="143" spans="2:2" x14ac:dyDescent="0.2">
      <c r="B143" s="28">
        <v>2022</v>
      </c>
    </row>
    <row r="144" spans="2:2" x14ac:dyDescent="0.2">
      <c r="B144" s="28">
        <v>2023</v>
      </c>
    </row>
    <row r="145" spans="2:2" x14ac:dyDescent="0.2">
      <c r="B145" s="28">
        <v>2024</v>
      </c>
    </row>
    <row r="146" spans="2:2" x14ac:dyDescent="0.2">
      <c r="B146" s="28">
        <v>2025</v>
      </c>
    </row>
  </sheetData>
  <mergeCells count="2">
    <mergeCell ref="D28:E28"/>
    <mergeCell ref="C43:H43"/>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J63"/>
  <sheetViews>
    <sheetView workbookViewId="0">
      <selection activeCell="E12" sqref="E12"/>
    </sheetView>
  </sheetViews>
  <sheetFormatPr defaultRowHeight="12.75" x14ac:dyDescent="0.2"/>
  <cols>
    <col min="1" max="3" width="10.140625" bestFit="1" customWidth="1"/>
    <col min="6" max="6" width="9.140625" customWidth="1"/>
    <col min="10" max="10" width="14.140625" bestFit="1" customWidth="1"/>
    <col min="16" max="16" width="11.140625" bestFit="1" customWidth="1"/>
  </cols>
  <sheetData>
    <row r="1" spans="1:10" ht="20.25" x14ac:dyDescent="0.3">
      <c r="A1" s="13" t="s">
        <v>18</v>
      </c>
      <c r="B1" s="12"/>
      <c r="C1" s="12"/>
      <c r="D1" s="12"/>
      <c r="E1" s="12"/>
      <c r="F1" s="12"/>
      <c r="G1" s="12"/>
      <c r="H1" s="12"/>
      <c r="I1" s="12"/>
    </row>
    <row r="2" spans="1:10" ht="15.75" x14ac:dyDescent="0.25">
      <c r="A2" s="27" t="str">
        <f>IF(title="&gt; Enter workbook title here","Enter workbook title in Cover sheet",title)</f>
        <v>Scottish Fire pension  projection calculator</v>
      </c>
      <c r="B2" s="11"/>
      <c r="C2" s="11"/>
      <c r="D2" s="11"/>
      <c r="E2" s="11"/>
      <c r="F2" s="11"/>
      <c r="G2" s="11"/>
      <c r="H2" s="11"/>
      <c r="I2" s="11"/>
    </row>
    <row r="3" spans="1:10" ht="15.75" x14ac:dyDescent="0.25">
      <c r="A3" s="64" t="s">
        <v>75</v>
      </c>
      <c r="B3" s="11"/>
      <c r="C3" s="11"/>
      <c r="D3" s="11"/>
      <c r="E3" s="11"/>
      <c r="F3" s="11"/>
      <c r="G3" s="11"/>
      <c r="H3" s="11"/>
      <c r="I3" s="11"/>
    </row>
    <row r="4" spans="1:10" x14ac:dyDescent="0.2">
      <c r="A4" s="7" t="str">
        <f ca="1">CELL("filename",A1)</f>
        <v>C:\Users\U209873\AppData\Local\Microsoft\Windows\INetCache\Content.Outlook\QF7PK4UP\[180515PenCalcSTSSv2 1.xlsx]Tapers</v>
      </c>
    </row>
    <row r="6" spans="1:10" x14ac:dyDescent="0.2">
      <c r="B6" s="1" t="s">
        <v>64</v>
      </c>
      <c r="C6" s="34"/>
      <c r="D6" s="28"/>
    </row>
    <row r="7" spans="1:10" x14ac:dyDescent="0.2">
      <c r="B7" s="28" t="s">
        <v>320</v>
      </c>
      <c r="C7" s="28"/>
      <c r="F7" s="28" t="s">
        <v>321</v>
      </c>
      <c r="J7" t="s">
        <v>443</v>
      </c>
    </row>
    <row r="8" spans="1:10" x14ac:dyDescent="0.2">
      <c r="B8" s="323"/>
      <c r="C8" s="325"/>
      <c r="D8" s="275"/>
      <c r="E8" s="275"/>
      <c r="F8" s="323"/>
      <c r="G8" s="275"/>
      <c r="H8" s="275"/>
      <c r="I8" s="275"/>
    </row>
    <row r="9" spans="1:10" x14ac:dyDescent="0.2">
      <c r="B9" s="274" t="s">
        <v>303</v>
      </c>
      <c r="F9" s="274" t="s">
        <v>304</v>
      </c>
    </row>
    <row r="10" spans="1:10" ht="13.5" thickBot="1" x14ac:dyDescent="0.25">
      <c r="B10" s="274" t="s">
        <v>320</v>
      </c>
      <c r="F10" s="274" t="s">
        <v>321</v>
      </c>
    </row>
    <row r="11" spans="1:10" ht="51.75" customHeight="1" thickBot="1" x14ac:dyDescent="0.25">
      <c r="B11" s="742" t="s">
        <v>59</v>
      </c>
      <c r="C11" s="743"/>
      <c r="D11" s="271" t="s">
        <v>60</v>
      </c>
      <c r="F11" s="742" t="s">
        <v>59</v>
      </c>
      <c r="G11" s="743"/>
      <c r="H11" s="277" t="s">
        <v>60</v>
      </c>
    </row>
    <row r="12" spans="1:10" ht="13.5" thickBot="1" x14ac:dyDescent="0.25">
      <c r="B12" s="272" t="s">
        <v>61</v>
      </c>
      <c r="C12" s="269" t="s">
        <v>62</v>
      </c>
      <c r="D12" s="273"/>
      <c r="F12" s="278" t="s">
        <v>61</v>
      </c>
      <c r="G12" s="276" t="s">
        <v>62</v>
      </c>
      <c r="H12" s="279"/>
    </row>
    <row r="13" spans="1:10" ht="13.5" thickBot="1" x14ac:dyDescent="0.25">
      <c r="A13" s="62"/>
      <c r="B13" s="390">
        <v>22737</v>
      </c>
      <c r="C13" s="270">
        <f>B14-1</f>
        <v>22766</v>
      </c>
      <c r="D13" s="391">
        <v>44593</v>
      </c>
      <c r="E13" s="62"/>
      <c r="F13" s="392">
        <v>20911</v>
      </c>
      <c r="G13" s="364">
        <f>F14-1</f>
        <v>20940</v>
      </c>
      <c r="H13" s="393">
        <v>44593</v>
      </c>
    </row>
    <row r="14" spans="1:10" ht="13.5" thickBot="1" x14ac:dyDescent="0.25">
      <c r="A14" s="62"/>
      <c r="B14" s="358">
        <f>DATE(YEAR(B13),MONTH(B13)+1,DAY(B13))</f>
        <v>22767</v>
      </c>
      <c r="C14" s="360">
        <f t="shared" ref="C14:C54" si="0">B15-1</f>
        <v>22797</v>
      </c>
      <c r="D14" s="359">
        <v>44531</v>
      </c>
      <c r="E14" s="62"/>
      <c r="F14" s="358">
        <f>DATE(YEAR(F13),MONTH(F13)+1,DAY(F13))</f>
        <v>20941</v>
      </c>
      <c r="G14" s="362">
        <f t="shared" ref="G14:G54" si="1">F15-1</f>
        <v>20971</v>
      </c>
      <c r="H14" s="359">
        <v>44531</v>
      </c>
    </row>
    <row r="15" spans="1:10" ht="13.5" thickBot="1" x14ac:dyDescent="0.25">
      <c r="A15" s="62"/>
      <c r="B15" s="358">
        <f t="shared" ref="B15:B55" si="2">DATE(YEAR(B14),MONTH(B14)+1,DAY(B14))</f>
        <v>22798</v>
      </c>
      <c r="C15" s="361">
        <f t="shared" si="0"/>
        <v>22827</v>
      </c>
      <c r="D15" s="359">
        <v>44470</v>
      </c>
      <c r="E15" s="62"/>
      <c r="F15" s="358">
        <f t="shared" ref="F15:F55" si="3">DATE(YEAR(F14),MONTH(F14)+1,DAY(F14))</f>
        <v>20972</v>
      </c>
      <c r="G15" s="362">
        <f t="shared" si="1"/>
        <v>21001</v>
      </c>
      <c r="H15" s="359">
        <v>44470</v>
      </c>
    </row>
    <row r="16" spans="1:10" ht="13.5" thickBot="1" x14ac:dyDescent="0.25">
      <c r="A16" s="62"/>
      <c r="B16" s="358">
        <f t="shared" si="2"/>
        <v>22828</v>
      </c>
      <c r="C16" s="362">
        <f t="shared" si="0"/>
        <v>22858</v>
      </c>
      <c r="D16" s="359">
        <v>44409</v>
      </c>
      <c r="E16" s="62"/>
      <c r="F16" s="358">
        <f t="shared" si="3"/>
        <v>21002</v>
      </c>
      <c r="G16" s="362">
        <f t="shared" si="1"/>
        <v>21032</v>
      </c>
      <c r="H16" s="359">
        <v>44409</v>
      </c>
    </row>
    <row r="17" spans="1:8" ht="13.5" thickBot="1" x14ac:dyDescent="0.25">
      <c r="A17" s="62"/>
      <c r="B17" s="358">
        <f t="shared" si="2"/>
        <v>22859</v>
      </c>
      <c r="C17" s="362">
        <f t="shared" si="0"/>
        <v>22889</v>
      </c>
      <c r="D17" s="359">
        <v>44348</v>
      </c>
      <c r="E17" s="62"/>
      <c r="F17" s="358">
        <f t="shared" si="3"/>
        <v>21033</v>
      </c>
      <c r="G17" s="362">
        <f t="shared" si="1"/>
        <v>21063</v>
      </c>
      <c r="H17" s="359">
        <v>44348</v>
      </c>
    </row>
    <row r="18" spans="1:8" ht="13.5" thickBot="1" x14ac:dyDescent="0.25">
      <c r="A18" s="62"/>
      <c r="B18" s="358">
        <f t="shared" si="2"/>
        <v>22890</v>
      </c>
      <c r="C18" s="362">
        <f t="shared" si="0"/>
        <v>22919</v>
      </c>
      <c r="D18" s="359">
        <v>44287</v>
      </c>
      <c r="E18" s="62"/>
      <c r="F18" s="358">
        <f t="shared" si="3"/>
        <v>21064</v>
      </c>
      <c r="G18" s="362">
        <f t="shared" si="1"/>
        <v>21093</v>
      </c>
      <c r="H18" s="359">
        <v>44287</v>
      </c>
    </row>
    <row r="19" spans="1:8" ht="13.5" thickBot="1" x14ac:dyDescent="0.25">
      <c r="A19" s="62"/>
      <c r="B19" s="358">
        <f t="shared" si="2"/>
        <v>22920</v>
      </c>
      <c r="C19" s="362">
        <f t="shared" si="0"/>
        <v>22950</v>
      </c>
      <c r="D19" s="359">
        <v>44228</v>
      </c>
      <c r="E19" s="62"/>
      <c r="F19" s="358">
        <f t="shared" si="3"/>
        <v>21094</v>
      </c>
      <c r="G19" s="362">
        <f t="shared" si="1"/>
        <v>21124</v>
      </c>
      <c r="H19" s="359">
        <v>44228</v>
      </c>
    </row>
    <row r="20" spans="1:8" ht="13.5" thickBot="1" x14ac:dyDescent="0.25">
      <c r="A20" s="62"/>
      <c r="B20" s="358">
        <f t="shared" si="2"/>
        <v>22951</v>
      </c>
      <c r="C20" s="362">
        <f t="shared" si="0"/>
        <v>22980</v>
      </c>
      <c r="D20" s="359">
        <v>44166</v>
      </c>
      <c r="E20" s="62"/>
      <c r="F20" s="358">
        <f t="shared" si="3"/>
        <v>21125</v>
      </c>
      <c r="G20" s="362">
        <f t="shared" si="1"/>
        <v>21154</v>
      </c>
      <c r="H20" s="359">
        <v>44166</v>
      </c>
    </row>
    <row r="21" spans="1:8" ht="13.5" thickBot="1" x14ac:dyDescent="0.25">
      <c r="A21" s="62"/>
      <c r="B21" s="358">
        <f t="shared" si="2"/>
        <v>22981</v>
      </c>
      <c r="C21" s="362">
        <f t="shared" si="0"/>
        <v>23011</v>
      </c>
      <c r="D21" s="359">
        <v>44105</v>
      </c>
      <c r="E21" s="62"/>
      <c r="F21" s="358">
        <f t="shared" si="3"/>
        <v>21155</v>
      </c>
      <c r="G21" s="362">
        <f t="shared" si="1"/>
        <v>21185</v>
      </c>
      <c r="H21" s="359">
        <v>44105</v>
      </c>
    </row>
    <row r="22" spans="1:8" ht="13.5" thickBot="1" x14ac:dyDescent="0.25">
      <c r="A22" s="62"/>
      <c r="B22" s="358">
        <f t="shared" si="2"/>
        <v>23012</v>
      </c>
      <c r="C22" s="362">
        <f t="shared" si="0"/>
        <v>23042</v>
      </c>
      <c r="D22" s="359">
        <v>44044</v>
      </c>
      <c r="E22" s="62"/>
      <c r="F22" s="358">
        <f t="shared" si="3"/>
        <v>21186</v>
      </c>
      <c r="G22" s="362">
        <f t="shared" si="1"/>
        <v>21216</v>
      </c>
      <c r="H22" s="359">
        <v>44044</v>
      </c>
    </row>
    <row r="23" spans="1:8" ht="13.5" thickBot="1" x14ac:dyDescent="0.25">
      <c r="A23" s="62"/>
      <c r="B23" s="358">
        <f t="shared" si="2"/>
        <v>23043</v>
      </c>
      <c r="C23" s="362">
        <f t="shared" si="0"/>
        <v>23070</v>
      </c>
      <c r="D23" s="359">
        <v>43983</v>
      </c>
      <c r="E23" s="62"/>
      <c r="F23" s="358">
        <f t="shared" si="3"/>
        <v>21217</v>
      </c>
      <c r="G23" s="362">
        <f t="shared" si="1"/>
        <v>21244</v>
      </c>
      <c r="H23" s="359">
        <v>43983</v>
      </c>
    </row>
    <row r="24" spans="1:8" ht="13.5" thickBot="1" x14ac:dyDescent="0.25">
      <c r="A24" s="62"/>
      <c r="B24" s="358">
        <f t="shared" si="2"/>
        <v>23071</v>
      </c>
      <c r="C24" s="362">
        <f t="shared" si="0"/>
        <v>23101</v>
      </c>
      <c r="D24" s="359">
        <v>43922</v>
      </c>
      <c r="E24" s="62"/>
      <c r="F24" s="358">
        <f t="shared" si="3"/>
        <v>21245</v>
      </c>
      <c r="G24" s="362">
        <f t="shared" si="1"/>
        <v>21275</v>
      </c>
      <c r="H24" s="359">
        <v>43922</v>
      </c>
    </row>
    <row r="25" spans="1:8" ht="13.5" thickBot="1" x14ac:dyDescent="0.25">
      <c r="A25" s="62"/>
      <c r="B25" s="358">
        <f t="shared" si="2"/>
        <v>23102</v>
      </c>
      <c r="C25" s="362">
        <f t="shared" si="0"/>
        <v>23131</v>
      </c>
      <c r="D25" s="359">
        <v>43862</v>
      </c>
      <c r="E25" s="62"/>
      <c r="F25" s="358">
        <f t="shared" si="3"/>
        <v>21276</v>
      </c>
      <c r="G25" s="362">
        <f t="shared" si="1"/>
        <v>21305</v>
      </c>
      <c r="H25" s="359">
        <v>43862</v>
      </c>
    </row>
    <row r="26" spans="1:8" ht="13.5" thickBot="1" x14ac:dyDescent="0.25">
      <c r="A26" s="62"/>
      <c r="B26" s="358">
        <f t="shared" si="2"/>
        <v>23132</v>
      </c>
      <c r="C26" s="362">
        <f t="shared" si="0"/>
        <v>23162</v>
      </c>
      <c r="D26" s="359">
        <v>43800</v>
      </c>
      <c r="E26" s="62"/>
      <c r="F26" s="358">
        <f t="shared" si="3"/>
        <v>21306</v>
      </c>
      <c r="G26" s="362">
        <f t="shared" si="1"/>
        <v>21336</v>
      </c>
      <c r="H26" s="359">
        <v>43800</v>
      </c>
    </row>
    <row r="27" spans="1:8" ht="13.5" thickBot="1" x14ac:dyDescent="0.25">
      <c r="A27" s="62"/>
      <c r="B27" s="358">
        <f t="shared" si="2"/>
        <v>23163</v>
      </c>
      <c r="C27" s="362">
        <f t="shared" si="0"/>
        <v>23192</v>
      </c>
      <c r="D27" s="359">
        <v>43739</v>
      </c>
      <c r="E27" s="62"/>
      <c r="F27" s="358">
        <f t="shared" si="3"/>
        <v>21337</v>
      </c>
      <c r="G27" s="362">
        <f t="shared" si="1"/>
        <v>21366</v>
      </c>
      <c r="H27" s="359">
        <v>43739</v>
      </c>
    </row>
    <row r="28" spans="1:8" ht="13.5" thickBot="1" x14ac:dyDescent="0.25">
      <c r="A28" s="62"/>
      <c r="B28" s="358">
        <f t="shared" si="2"/>
        <v>23193</v>
      </c>
      <c r="C28" s="362">
        <f t="shared" si="0"/>
        <v>23223</v>
      </c>
      <c r="D28" s="359">
        <v>43678</v>
      </c>
      <c r="E28" s="62"/>
      <c r="F28" s="358">
        <f t="shared" si="3"/>
        <v>21367</v>
      </c>
      <c r="G28" s="362">
        <f t="shared" si="1"/>
        <v>21397</v>
      </c>
      <c r="H28" s="359">
        <v>43678</v>
      </c>
    </row>
    <row r="29" spans="1:8" ht="13.5" thickBot="1" x14ac:dyDescent="0.25">
      <c r="A29" s="62"/>
      <c r="B29" s="358">
        <f t="shared" si="2"/>
        <v>23224</v>
      </c>
      <c r="C29" s="362">
        <f t="shared" si="0"/>
        <v>23254</v>
      </c>
      <c r="D29" s="359">
        <v>43617</v>
      </c>
      <c r="E29" s="62"/>
      <c r="F29" s="358">
        <f t="shared" si="3"/>
        <v>21398</v>
      </c>
      <c r="G29" s="362">
        <f t="shared" si="1"/>
        <v>21428</v>
      </c>
      <c r="H29" s="359">
        <v>43617</v>
      </c>
    </row>
    <row r="30" spans="1:8" ht="13.5" thickBot="1" x14ac:dyDescent="0.25">
      <c r="A30" s="62"/>
      <c r="B30" s="358">
        <f t="shared" si="2"/>
        <v>23255</v>
      </c>
      <c r="C30" s="362">
        <f t="shared" si="0"/>
        <v>23284</v>
      </c>
      <c r="D30" s="359">
        <v>43556</v>
      </c>
      <c r="E30" s="62"/>
      <c r="F30" s="358">
        <f t="shared" si="3"/>
        <v>21429</v>
      </c>
      <c r="G30" s="362">
        <f t="shared" si="1"/>
        <v>21458</v>
      </c>
      <c r="H30" s="359">
        <v>43556</v>
      </c>
    </row>
    <row r="31" spans="1:8" ht="13.5" thickBot="1" x14ac:dyDescent="0.25">
      <c r="A31" s="62"/>
      <c r="B31" s="358">
        <f t="shared" si="2"/>
        <v>23285</v>
      </c>
      <c r="C31" s="362">
        <f t="shared" si="0"/>
        <v>23315</v>
      </c>
      <c r="D31" s="359">
        <v>43497</v>
      </c>
      <c r="E31" s="62"/>
      <c r="F31" s="358">
        <f t="shared" si="3"/>
        <v>21459</v>
      </c>
      <c r="G31" s="362">
        <f t="shared" si="1"/>
        <v>21489</v>
      </c>
      <c r="H31" s="359">
        <v>43497</v>
      </c>
    </row>
    <row r="32" spans="1:8" ht="13.5" thickBot="1" x14ac:dyDescent="0.25">
      <c r="A32" s="62"/>
      <c r="B32" s="358">
        <f t="shared" si="2"/>
        <v>23316</v>
      </c>
      <c r="C32" s="362">
        <f t="shared" si="0"/>
        <v>23345</v>
      </c>
      <c r="D32" s="359">
        <v>43435</v>
      </c>
      <c r="E32" s="62"/>
      <c r="F32" s="358">
        <f t="shared" si="3"/>
        <v>21490</v>
      </c>
      <c r="G32" s="362">
        <f t="shared" si="1"/>
        <v>21519</v>
      </c>
      <c r="H32" s="359">
        <v>43435</v>
      </c>
    </row>
    <row r="33" spans="1:10" ht="13.5" thickBot="1" x14ac:dyDescent="0.25">
      <c r="A33" s="62"/>
      <c r="B33" s="358">
        <f t="shared" si="2"/>
        <v>23346</v>
      </c>
      <c r="C33" s="362">
        <f t="shared" si="0"/>
        <v>23376</v>
      </c>
      <c r="D33" s="359">
        <v>43374</v>
      </c>
      <c r="E33" s="62"/>
      <c r="F33" s="358">
        <f t="shared" si="3"/>
        <v>21520</v>
      </c>
      <c r="G33" s="362">
        <f t="shared" si="1"/>
        <v>21550</v>
      </c>
      <c r="H33" s="359">
        <v>43374</v>
      </c>
    </row>
    <row r="34" spans="1:10" ht="13.5" thickBot="1" x14ac:dyDescent="0.25">
      <c r="A34" s="62"/>
      <c r="B34" s="358">
        <f t="shared" si="2"/>
        <v>23377</v>
      </c>
      <c r="C34" s="362">
        <f t="shared" si="0"/>
        <v>23407</v>
      </c>
      <c r="D34" s="359">
        <v>43313</v>
      </c>
      <c r="E34" s="62"/>
      <c r="F34" s="358">
        <f t="shared" si="3"/>
        <v>21551</v>
      </c>
      <c r="G34" s="362">
        <f t="shared" si="1"/>
        <v>21581</v>
      </c>
      <c r="H34" s="359">
        <v>43313</v>
      </c>
    </row>
    <row r="35" spans="1:10" ht="13.5" thickBot="1" x14ac:dyDescent="0.25">
      <c r="A35" s="62"/>
      <c r="B35" s="358">
        <f t="shared" si="2"/>
        <v>23408</v>
      </c>
      <c r="C35" s="362">
        <f t="shared" si="0"/>
        <v>23436</v>
      </c>
      <c r="D35" s="359">
        <v>43252</v>
      </c>
      <c r="E35" s="62"/>
      <c r="F35" s="358">
        <f t="shared" si="3"/>
        <v>21582</v>
      </c>
      <c r="G35" s="362">
        <f t="shared" si="1"/>
        <v>21609</v>
      </c>
      <c r="H35" s="359">
        <v>43252</v>
      </c>
    </row>
    <row r="36" spans="1:10" ht="13.5" thickBot="1" x14ac:dyDescent="0.25">
      <c r="A36" s="62"/>
      <c r="B36" s="358">
        <f t="shared" si="2"/>
        <v>23437</v>
      </c>
      <c r="C36" s="362">
        <f t="shared" si="0"/>
        <v>23467</v>
      </c>
      <c r="D36" s="359">
        <v>43191</v>
      </c>
      <c r="E36" s="62"/>
      <c r="F36" s="358">
        <f t="shared" si="3"/>
        <v>21610</v>
      </c>
      <c r="G36" s="362">
        <f t="shared" si="1"/>
        <v>21640</v>
      </c>
      <c r="H36" s="359">
        <v>43191</v>
      </c>
    </row>
    <row r="37" spans="1:10" ht="13.5" thickBot="1" x14ac:dyDescent="0.25">
      <c r="A37" s="62"/>
      <c r="B37" s="358">
        <f t="shared" si="2"/>
        <v>23468</v>
      </c>
      <c r="C37" s="362">
        <f t="shared" si="0"/>
        <v>23497</v>
      </c>
      <c r="D37" s="359">
        <v>43132</v>
      </c>
      <c r="E37" s="62"/>
      <c r="F37" s="358">
        <f t="shared" si="3"/>
        <v>21641</v>
      </c>
      <c r="G37" s="362">
        <f t="shared" si="1"/>
        <v>21670</v>
      </c>
      <c r="H37" s="359">
        <v>43132</v>
      </c>
    </row>
    <row r="38" spans="1:10" ht="13.5" thickBot="1" x14ac:dyDescent="0.25">
      <c r="A38" s="62"/>
      <c r="B38" s="358">
        <f t="shared" si="2"/>
        <v>23498</v>
      </c>
      <c r="C38" s="362">
        <f t="shared" si="0"/>
        <v>23528</v>
      </c>
      <c r="D38" s="359">
        <v>43070</v>
      </c>
      <c r="E38" s="62"/>
      <c r="F38" s="358">
        <f t="shared" si="3"/>
        <v>21671</v>
      </c>
      <c r="G38" s="362">
        <f t="shared" si="1"/>
        <v>21701</v>
      </c>
      <c r="H38" s="359">
        <v>43070</v>
      </c>
    </row>
    <row r="39" spans="1:10" ht="13.5" thickBot="1" x14ac:dyDescent="0.25">
      <c r="A39" s="62"/>
      <c r="B39" s="358">
        <f t="shared" si="2"/>
        <v>23529</v>
      </c>
      <c r="C39" s="362">
        <f t="shared" si="0"/>
        <v>23558</v>
      </c>
      <c r="D39" s="359">
        <v>43009</v>
      </c>
      <c r="E39" s="62"/>
      <c r="F39" s="358">
        <f t="shared" si="3"/>
        <v>21702</v>
      </c>
      <c r="G39" s="362">
        <f t="shared" si="1"/>
        <v>21731</v>
      </c>
      <c r="H39" s="359">
        <v>43009</v>
      </c>
    </row>
    <row r="40" spans="1:10" ht="13.5" thickBot="1" x14ac:dyDescent="0.25">
      <c r="A40" s="62"/>
      <c r="B40" s="358">
        <f t="shared" si="2"/>
        <v>23559</v>
      </c>
      <c r="C40" s="362">
        <f t="shared" si="0"/>
        <v>23589</v>
      </c>
      <c r="D40" s="359">
        <v>42948</v>
      </c>
      <c r="E40" s="62"/>
      <c r="F40" s="358">
        <f t="shared" si="3"/>
        <v>21732</v>
      </c>
      <c r="G40" s="362">
        <f t="shared" si="1"/>
        <v>21762</v>
      </c>
      <c r="H40" s="359">
        <v>42948</v>
      </c>
      <c r="J40" s="8"/>
    </row>
    <row r="41" spans="1:10" ht="13.5" thickBot="1" x14ac:dyDescent="0.25">
      <c r="A41" s="62"/>
      <c r="B41" s="358">
        <f t="shared" si="2"/>
        <v>23590</v>
      </c>
      <c r="C41" s="362">
        <f t="shared" si="0"/>
        <v>23620</v>
      </c>
      <c r="D41" s="359">
        <v>42887</v>
      </c>
      <c r="E41" s="62"/>
      <c r="F41" s="358">
        <f t="shared" si="3"/>
        <v>21763</v>
      </c>
      <c r="G41" s="362">
        <f t="shared" si="1"/>
        <v>21793</v>
      </c>
      <c r="H41" s="359">
        <v>42887</v>
      </c>
    </row>
    <row r="42" spans="1:10" ht="13.5" thickBot="1" x14ac:dyDescent="0.25">
      <c r="A42" s="62"/>
      <c r="B42" s="358">
        <f t="shared" si="2"/>
        <v>23621</v>
      </c>
      <c r="C42" s="362">
        <f t="shared" si="0"/>
        <v>23650</v>
      </c>
      <c r="D42" s="359">
        <v>42826</v>
      </c>
      <c r="E42" s="62"/>
      <c r="F42" s="358">
        <f t="shared" si="3"/>
        <v>21794</v>
      </c>
      <c r="G42" s="362">
        <f t="shared" si="1"/>
        <v>21823</v>
      </c>
      <c r="H42" s="359">
        <v>42826</v>
      </c>
    </row>
    <row r="43" spans="1:10" ht="13.5" thickBot="1" x14ac:dyDescent="0.25">
      <c r="A43" s="62"/>
      <c r="B43" s="358">
        <f t="shared" si="2"/>
        <v>23651</v>
      </c>
      <c r="C43" s="362">
        <f t="shared" si="0"/>
        <v>23681</v>
      </c>
      <c r="D43" s="359">
        <v>42767</v>
      </c>
      <c r="E43" s="62"/>
      <c r="F43" s="358">
        <f t="shared" si="3"/>
        <v>21824</v>
      </c>
      <c r="G43" s="362">
        <f t="shared" si="1"/>
        <v>21854</v>
      </c>
      <c r="H43" s="359">
        <v>42767</v>
      </c>
    </row>
    <row r="44" spans="1:10" ht="13.5" thickBot="1" x14ac:dyDescent="0.25">
      <c r="A44" s="62"/>
      <c r="B44" s="358">
        <f t="shared" si="2"/>
        <v>23682</v>
      </c>
      <c r="C44" s="362">
        <f t="shared" si="0"/>
        <v>23711</v>
      </c>
      <c r="D44" s="359">
        <v>42705</v>
      </c>
      <c r="E44" s="62"/>
      <c r="F44" s="358">
        <f t="shared" si="3"/>
        <v>21855</v>
      </c>
      <c r="G44" s="362">
        <f t="shared" si="1"/>
        <v>21884</v>
      </c>
      <c r="H44" s="359">
        <v>42705</v>
      </c>
    </row>
    <row r="45" spans="1:10" ht="13.5" thickBot="1" x14ac:dyDescent="0.25">
      <c r="A45" s="62"/>
      <c r="B45" s="358">
        <f t="shared" si="2"/>
        <v>23712</v>
      </c>
      <c r="C45" s="362">
        <f t="shared" si="0"/>
        <v>23742</v>
      </c>
      <c r="D45" s="359">
        <v>42644</v>
      </c>
      <c r="E45" s="62"/>
      <c r="F45" s="358">
        <f t="shared" si="3"/>
        <v>21885</v>
      </c>
      <c r="G45" s="362">
        <f t="shared" si="1"/>
        <v>21915</v>
      </c>
      <c r="H45" s="359">
        <v>42644</v>
      </c>
    </row>
    <row r="46" spans="1:10" ht="13.5" thickBot="1" x14ac:dyDescent="0.25">
      <c r="A46" s="62"/>
      <c r="B46" s="358">
        <f t="shared" si="2"/>
        <v>23743</v>
      </c>
      <c r="C46" s="362">
        <f t="shared" si="0"/>
        <v>23773</v>
      </c>
      <c r="D46" s="359">
        <v>42583</v>
      </c>
      <c r="E46" s="62"/>
      <c r="F46" s="358">
        <f t="shared" si="3"/>
        <v>21916</v>
      </c>
      <c r="G46" s="362">
        <f t="shared" si="1"/>
        <v>21946</v>
      </c>
      <c r="H46" s="359">
        <v>42583</v>
      </c>
    </row>
    <row r="47" spans="1:10" ht="13.5" thickBot="1" x14ac:dyDescent="0.25">
      <c r="A47" s="62"/>
      <c r="B47" s="358">
        <f t="shared" si="2"/>
        <v>23774</v>
      </c>
      <c r="C47" s="362">
        <f t="shared" si="0"/>
        <v>23801</v>
      </c>
      <c r="D47" s="359">
        <v>42522</v>
      </c>
      <c r="E47" s="62"/>
      <c r="F47" s="358">
        <f t="shared" si="3"/>
        <v>21947</v>
      </c>
      <c r="G47" s="362">
        <f t="shared" si="1"/>
        <v>21975</v>
      </c>
      <c r="H47" s="359">
        <v>42522</v>
      </c>
    </row>
    <row r="48" spans="1:10" ht="13.5" thickBot="1" x14ac:dyDescent="0.25">
      <c r="A48" s="62"/>
      <c r="B48" s="358">
        <f t="shared" si="2"/>
        <v>23802</v>
      </c>
      <c r="C48" s="362">
        <f t="shared" si="0"/>
        <v>23832</v>
      </c>
      <c r="D48" s="359">
        <v>42461</v>
      </c>
      <c r="E48" s="62"/>
      <c r="F48" s="358">
        <f t="shared" si="3"/>
        <v>21976</v>
      </c>
      <c r="G48" s="362">
        <f t="shared" si="1"/>
        <v>22006</v>
      </c>
      <c r="H48" s="359">
        <v>42461</v>
      </c>
    </row>
    <row r="49" spans="1:9" ht="13.5" thickBot="1" x14ac:dyDescent="0.25">
      <c r="A49" s="62"/>
      <c r="B49" s="358">
        <f t="shared" si="2"/>
        <v>23833</v>
      </c>
      <c r="C49" s="362">
        <f t="shared" si="0"/>
        <v>23862</v>
      </c>
      <c r="D49" s="359">
        <v>42401</v>
      </c>
      <c r="E49" s="62"/>
      <c r="F49" s="358">
        <f t="shared" si="3"/>
        <v>22007</v>
      </c>
      <c r="G49" s="362">
        <f t="shared" si="1"/>
        <v>22036</v>
      </c>
      <c r="H49" s="359">
        <v>42401</v>
      </c>
    </row>
    <row r="50" spans="1:9" ht="13.5" thickBot="1" x14ac:dyDescent="0.25">
      <c r="A50" s="62"/>
      <c r="B50" s="358">
        <f t="shared" si="2"/>
        <v>23863</v>
      </c>
      <c r="C50" s="362">
        <f t="shared" si="0"/>
        <v>23893</v>
      </c>
      <c r="D50" s="359">
        <v>42339</v>
      </c>
      <c r="E50" s="62"/>
      <c r="F50" s="358">
        <f t="shared" si="3"/>
        <v>22037</v>
      </c>
      <c r="G50" s="362">
        <f t="shared" si="1"/>
        <v>22067</v>
      </c>
      <c r="H50" s="359">
        <v>42339</v>
      </c>
    </row>
    <row r="51" spans="1:9" ht="13.5" thickBot="1" x14ac:dyDescent="0.25">
      <c r="A51" s="62"/>
      <c r="B51" s="358">
        <f t="shared" si="2"/>
        <v>23894</v>
      </c>
      <c r="C51" s="362">
        <f t="shared" si="0"/>
        <v>23923</v>
      </c>
      <c r="D51" s="359">
        <v>42278</v>
      </c>
      <c r="E51" s="62"/>
      <c r="F51" s="358">
        <f t="shared" si="3"/>
        <v>22068</v>
      </c>
      <c r="G51" s="362">
        <f t="shared" si="1"/>
        <v>22097</v>
      </c>
      <c r="H51" s="359">
        <v>42278</v>
      </c>
    </row>
    <row r="52" spans="1:9" ht="13.5" thickBot="1" x14ac:dyDescent="0.25">
      <c r="A52" s="62"/>
      <c r="B52" s="358">
        <f t="shared" si="2"/>
        <v>23924</v>
      </c>
      <c r="C52" s="362">
        <f t="shared" si="0"/>
        <v>23954</v>
      </c>
      <c r="D52" s="359">
        <v>42217</v>
      </c>
      <c r="E52" s="62"/>
      <c r="F52" s="358">
        <f t="shared" si="3"/>
        <v>22098</v>
      </c>
      <c r="G52" s="362">
        <f t="shared" si="1"/>
        <v>22128</v>
      </c>
      <c r="H52" s="359">
        <v>42217</v>
      </c>
    </row>
    <row r="53" spans="1:9" ht="13.5" thickBot="1" x14ac:dyDescent="0.25">
      <c r="A53" s="62"/>
      <c r="B53" s="358">
        <f t="shared" si="2"/>
        <v>23955</v>
      </c>
      <c r="C53" s="362">
        <f t="shared" si="0"/>
        <v>23985</v>
      </c>
      <c r="D53" s="359">
        <v>42156</v>
      </c>
      <c r="E53" s="62"/>
      <c r="F53" s="358">
        <f t="shared" si="3"/>
        <v>22129</v>
      </c>
      <c r="G53" s="362">
        <f t="shared" si="1"/>
        <v>22159</v>
      </c>
      <c r="H53" s="359">
        <v>42156</v>
      </c>
    </row>
    <row r="54" spans="1:9" ht="13.5" thickBot="1" x14ac:dyDescent="0.25">
      <c r="A54" s="62"/>
      <c r="B54" s="358">
        <f t="shared" si="2"/>
        <v>23986</v>
      </c>
      <c r="C54" s="363">
        <f t="shared" si="0"/>
        <v>24015</v>
      </c>
      <c r="D54" s="359">
        <v>42095</v>
      </c>
      <c r="E54" s="62"/>
      <c r="F54" s="358">
        <f t="shared" si="3"/>
        <v>22160</v>
      </c>
      <c r="G54" s="362">
        <f t="shared" si="1"/>
        <v>22189</v>
      </c>
      <c r="H54" s="359">
        <v>42095</v>
      </c>
    </row>
    <row r="55" spans="1:9" ht="13.5" thickBot="1" x14ac:dyDescent="0.25">
      <c r="A55" s="62"/>
      <c r="B55" s="358">
        <f t="shared" si="2"/>
        <v>24016</v>
      </c>
      <c r="C55" s="529">
        <f ca="1">Date_curr</f>
        <v>43308</v>
      </c>
      <c r="D55" s="359">
        <v>42095</v>
      </c>
      <c r="E55" s="62"/>
      <c r="F55" s="358">
        <f t="shared" si="3"/>
        <v>22190</v>
      </c>
      <c r="G55" s="529">
        <f ca="1">Date_curr</f>
        <v>43308</v>
      </c>
      <c r="H55" s="359">
        <v>42095</v>
      </c>
    </row>
    <row r="56" spans="1:9" x14ac:dyDescent="0.2">
      <c r="A56" s="62"/>
      <c r="B56" s="395"/>
      <c r="C56" s="532"/>
      <c r="D56" s="533"/>
      <c r="E56" s="394"/>
      <c r="F56" s="395"/>
      <c r="G56" s="396"/>
      <c r="H56" s="533"/>
      <c r="I56" s="324"/>
    </row>
    <row r="57" spans="1:9" x14ac:dyDescent="0.2">
      <c r="A57" s="62"/>
      <c r="B57" s="396"/>
      <c r="C57" s="396"/>
      <c r="D57" s="396"/>
      <c r="E57" s="397"/>
      <c r="F57" s="396"/>
      <c r="G57" s="396"/>
      <c r="H57" s="396"/>
      <c r="I57" s="324"/>
    </row>
    <row r="58" spans="1:9" x14ac:dyDescent="0.2">
      <c r="A58" s="62"/>
      <c r="B58" s="396"/>
      <c r="C58" s="396"/>
      <c r="D58" s="396"/>
      <c r="E58" s="397"/>
      <c r="F58" s="396"/>
      <c r="G58" s="396"/>
      <c r="H58" s="396"/>
      <c r="I58" s="324"/>
    </row>
    <row r="59" spans="1:9" x14ac:dyDescent="0.2">
      <c r="A59" s="62"/>
      <c r="B59" s="396"/>
      <c r="C59" s="396"/>
      <c r="D59" s="396"/>
      <c r="E59" s="397"/>
      <c r="F59" s="396"/>
      <c r="G59" s="396"/>
      <c r="H59" s="396"/>
      <c r="I59" s="324"/>
    </row>
    <row r="60" spans="1:9" x14ac:dyDescent="0.2">
      <c r="A60" s="62"/>
      <c r="B60" s="396"/>
      <c r="C60" s="396"/>
      <c r="D60" s="396"/>
      <c r="E60" s="397"/>
      <c r="F60" s="396"/>
      <c r="G60" s="396"/>
      <c r="H60" s="396"/>
      <c r="I60" s="324"/>
    </row>
    <row r="61" spans="1:9" x14ac:dyDescent="0.2">
      <c r="B61" s="235"/>
      <c r="C61" s="235"/>
      <c r="D61" s="235"/>
      <c r="E61" s="235"/>
      <c r="F61" s="235"/>
      <c r="G61" s="235"/>
      <c r="H61" s="235"/>
      <c r="I61" s="324"/>
    </row>
    <row r="62" spans="1:9" x14ac:dyDescent="0.2">
      <c r="B62" s="324"/>
      <c r="C62" s="324"/>
      <c r="D62" s="324"/>
      <c r="E62" s="324"/>
      <c r="F62" s="324"/>
      <c r="G62" s="324"/>
      <c r="H62" s="324"/>
      <c r="I62" s="324"/>
    </row>
    <row r="63" spans="1:9" x14ac:dyDescent="0.2">
      <c r="B63" s="324"/>
      <c r="C63" s="324"/>
      <c r="D63" s="324"/>
      <c r="E63" s="324"/>
      <c r="F63" s="324"/>
      <c r="G63" s="324"/>
      <c r="H63" s="324"/>
      <c r="I63" s="324"/>
    </row>
  </sheetData>
  <mergeCells count="2">
    <mergeCell ref="B11:C11"/>
    <mergeCell ref="F11:G11"/>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I17"/>
  <sheetViews>
    <sheetView workbookViewId="0"/>
  </sheetViews>
  <sheetFormatPr defaultRowHeight="12.75" x14ac:dyDescent="0.2"/>
  <cols>
    <col min="2" max="2" width="20.7109375" customWidth="1"/>
    <col min="3" max="3" width="20" bestFit="1" customWidth="1"/>
  </cols>
  <sheetData>
    <row r="1" spans="1:9" ht="20.25" x14ac:dyDescent="0.3">
      <c r="A1" s="13" t="s">
        <v>18</v>
      </c>
      <c r="B1" s="12"/>
      <c r="C1" s="12"/>
      <c r="D1" s="12"/>
      <c r="E1" s="12"/>
      <c r="F1" s="12"/>
      <c r="G1" s="12"/>
      <c r="H1" s="12"/>
      <c r="I1" s="12"/>
    </row>
    <row r="2" spans="1:9" ht="15.75" x14ac:dyDescent="0.25">
      <c r="A2" s="27" t="str">
        <f>IF(title="&gt; Enter workbook title here","Enter workbook title in Cover sheet",title)</f>
        <v>Scottish Fire pension  projection calculator</v>
      </c>
      <c r="B2" s="11"/>
      <c r="C2" s="11"/>
      <c r="D2" s="11"/>
      <c r="E2" s="11"/>
      <c r="F2" s="11"/>
      <c r="G2" s="11"/>
      <c r="H2" s="11"/>
      <c r="I2" s="11"/>
    </row>
    <row r="3" spans="1:9" ht="15.75" x14ac:dyDescent="0.25">
      <c r="A3" s="14" t="s">
        <v>152</v>
      </c>
      <c r="B3" s="11"/>
      <c r="C3" s="11"/>
      <c r="D3" s="11"/>
      <c r="E3" s="11"/>
      <c r="F3" s="11"/>
      <c r="G3" s="11"/>
      <c r="H3" s="11"/>
      <c r="I3" s="11"/>
    </row>
    <row r="4" spans="1:9" x14ac:dyDescent="0.2">
      <c r="A4" s="7" t="str">
        <f ca="1">CELL("filename",A1)</f>
        <v>C:\Users\U209873\AppData\Local\Microsoft\Windows\INetCache\Content.Outlook\QF7PK4UP\[180515PenCalcSTSSv2 1.xlsx]Commutation Factors</v>
      </c>
    </row>
    <row r="6" spans="1:9" x14ac:dyDescent="0.2">
      <c r="B6" s="1" t="s">
        <v>336</v>
      </c>
      <c r="F6" s="236">
        <v>3</v>
      </c>
    </row>
    <row r="7" spans="1:9" x14ac:dyDescent="0.2">
      <c r="B7" s="1" t="s">
        <v>383</v>
      </c>
      <c r="F7" s="236">
        <v>12</v>
      </c>
    </row>
    <row r="8" spans="1:9" x14ac:dyDescent="0.2">
      <c r="B8" s="1" t="s">
        <v>335</v>
      </c>
      <c r="F8" s="236">
        <v>12</v>
      </c>
    </row>
    <row r="9" spans="1:9" x14ac:dyDescent="0.2">
      <c r="B9" s="1" t="s">
        <v>160</v>
      </c>
      <c r="F9" s="67">
        <v>12</v>
      </c>
    </row>
    <row r="10" spans="1:9" x14ac:dyDescent="0.2">
      <c r="B10" s="1" t="s">
        <v>379</v>
      </c>
      <c r="F10" s="438">
        <v>0.19639999999999999</v>
      </c>
    </row>
    <row r="11" spans="1:9" x14ac:dyDescent="0.2">
      <c r="B11" s="1" t="s">
        <v>380</v>
      </c>
      <c r="F11" s="438">
        <v>0.35709999999999997</v>
      </c>
    </row>
    <row r="12" spans="1:9" x14ac:dyDescent="0.2">
      <c r="B12" s="1" t="s">
        <v>381</v>
      </c>
      <c r="F12" s="438">
        <v>0.35709999999999997</v>
      </c>
    </row>
    <row r="13" spans="1:9" x14ac:dyDescent="0.2">
      <c r="B13" s="1"/>
      <c r="F13" s="236"/>
      <c r="H13" s="34"/>
    </row>
    <row r="15" spans="1:9" x14ac:dyDescent="0.2">
      <c r="B15" s="34" t="s">
        <v>415</v>
      </c>
    </row>
    <row r="16" spans="1:9" x14ac:dyDescent="0.2">
      <c r="B16" s="535" t="s">
        <v>416</v>
      </c>
    </row>
    <row r="17" spans="2:2" x14ac:dyDescent="0.2">
      <c r="B17" s="28" t="s">
        <v>417</v>
      </c>
    </row>
  </sheetData>
  <hyperlinks>
    <hyperlink ref="B15" r:id="rId1"/>
    <hyperlink ref="B16" r:id="rId2" location="#Commutation"/>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92</vt:i4>
      </vt:variant>
    </vt:vector>
  </HeadingPairs>
  <TitlesOfParts>
    <vt:vector size="108" baseType="lpstr">
      <vt:lpstr>Cover</vt:lpstr>
      <vt:lpstr>Version control</vt:lpstr>
      <vt:lpstr>Calculator</vt:lpstr>
      <vt:lpstr>Guidance Notes</vt:lpstr>
      <vt:lpstr>Printable Estimate</vt:lpstr>
      <vt:lpstr>Nominal results</vt:lpstr>
      <vt:lpstr>Parameters</vt:lpstr>
      <vt:lpstr>Tapers</vt:lpstr>
      <vt:lpstr>Commutation Factors</vt:lpstr>
      <vt:lpstr>ERF and LRF</vt:lpstr>
      <vt:lpstr>FS Calcs</vt:lpstr>
      <vt:lpstr>Past Service CARE Calcs</vt:lpstr>
      <vt:lpstr>CARE calcs</vt:lpstr>
      <vt:lpstr>CARE calcs ABS</vt:lpstr>
      <vt:lpstr>Lump Sum</vt:lpstr>
      <vt:lpstr>Summary</vt:lpstr>
      <vt:lpstr>ABSEndDate</vt:lpstr>
      <vt:lpstr>ABSEndDate1</vt:lpstr>
      <vt:lpstr>Acc_CARE</vt:lpstr>
      <vt:lpstr>Acc_Sch60</vt:lpstr>
      <vt:lpstr>Acc_Sch65</vt:lpstr>
      <vt:lpstr>age_exact</vt:lpstr>
      <vt:lpstr>age_lbd</vt:lpstr>
      <vt:lpstr>basis1</vt:lpstr>
      <vt:lpstr>basis2</vt:lpstr>
      <vt:lpstr>basis3</vt:lpstr>
      <vt:lpstr>care_rev</vt:lpstr>
      <vt:lpstr>CareComm</vt:lpstr>
      <vt:lpstr>ChosenRA</vt:lpstr>
      <vt:lpstr>Class_Select</vt:lpstr>
      <vt:lpstr>Classification_Key</vt:lpstr>
      <vt:lpstr>Comm_Factor</vt:lpstr>
      <vt:lpstr>Comm_Sch60</vt:lpstr>
      <vt:lpstr>Comm_Sch65</vt:lpstr>
      <vt:lpstr>cpi</vt:lpstr>
      <vt:lpstr>cpi_1</vt:lpstr>
      <vt:lpstr>cpi_2</vt:lpstr>
      <vt:lpstr>cpi_3</vt:lpstr>
      <vt:lpstr>CurrentSal</vt:lpstr>
      <vt:lpstr>CurrentScheme</vt:lpstr>
      <vt:lpstr>Date_curr</vt:lpstr>
      <vt:lpstr>date55</vt:lpstr>
      <vt:lpstr>date60</vt:lpstr>
      <vt:lpstr>DefDec</vt:lpstr>
      <vt:lpstr>Descriptor_Key</vt:lpstr>
      <vt:lpstr>Descriptor_Select</vt:lpstr>
      <vt:lpstr>DJS</vt:lpstr>
      <vt:lpstr>DJS_Adj</vt:lpstr>
      <vt:lpstr>DoB</vt:lpstr>
      <vt:lpstr>DoProtEnd</vt:lpstr>
      <vt:lpstr>DoR</vt:lpstr>
      <vt:lpstr>DoStartSchYear</vt:lpstr>
      <vt:lpstr>DoUnderpin</vt:lpstr>
      <vt:lpstr>DoY</vt:lpstr>
      <vt:lpstr>ERF_CARE</vt:lpstr>
      <vt:lpstr>ERF_CARE_toapply</vt:lpstr>
      <vt:lpstr>ERF_Sch60</vt:lpstr>
      <vt:lpstr>ERF_Sch65</vt:lpstr>
      <vt:lpstr>Form_Check</vt:lpstr>
      <vt:lpstr>future_PTP</vt:lpstr>
      <vt:lpstr>'Printable Estimate'!Hide_range</vt:lpstr>
      <vt:lpstr>LRF_CARE</vt:lpstr>
      <vt:lpstr>LRF_CARE_toapply</vt:lpstr>
      <vt:lpstr>LRF_Sch65</vt:lpstr>
      <vt:lpstr>Lump_Sch60</vt:lpstr>
      <vt:lpstr>max_Sch60</vt:lpstr>
      <vt:lpstr>max_Sch65</vt:lpstr>
      <vt:lpstr>Maxcomm_Sch60</vt:lpstr>
      <vt:lpstr>Maxcomm_Sch65</vt:lpstr>
      <vt:lpstr>Maxcomm_SchCARE</vt:lpstr>
      <vt:lpstr>Name_member</vt:lpstr>
      <vt:lpstr>NewSchDate</vt:lpstr>
      <vt:lpstr>NonUplifted</vt:lpstr>
      <vt:lpstr>Calculator!Print_Area</vt:lpstr>
      <vt:lpstr>'Nominal results'!Print_Area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sch</vt:lpstr>
      <vt:lpstr>sch_1</vt:lpstr>
      <vt:lpstr>sch_2</vt:lpstr>
      <vt:lpstr>Sch_60</vt:lpstr>
      <vt:lpstr>Sch_65</vt:lpstr>
      <vt:lpstr>Sch_CARE</vt:lpstr>
      <vt:lpstr>Sch_Mix</vt:lpstr>
      <vt:lpstr>Scheme_60</vt:lpstr>
      <vt:lpstr>Scheme_65</vt:lpstr>
      <vt:lpstr>Scheme_CARE</vt:lpstr>
      <vt:lpstr>Scheme_Full</vt:lpstr>
      <vt:lpstr>Scheme_Mix</vt:lpstr>
      <vt:lpstr>standard_reduction</vt:lpstr>
      <vt:lpstr>start_Sch65</vt:lpstr>
      <vt:lpstr>tapertab1</vt:lpstr>
      <vt:lpstr>tapertab2</vt:lpstr>
      <vt:lpstr>title</vt:lpstr>
      <vt:lpstr>TVinDays</vt:lpstr>
      <vt:lpstr>TVinYears</vt:lpstr>
      <vt:lpstr>Uplift_factors</vt:lpstr>
      <vt:lpstr>Uplift_Headers</vt:lpstr>
      <vt:lpstr>ValidSchemes</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U209873</cp:lastModifiedBy>
  <cp:lastPrinted>2018-03-23T09:23:56Z</cp:lastPrinted>
  <dcterms:created xsi:type="dcterms:W3CDTF">2007-01-30T12:07:56Z</dcterms:created>
  <dcterms:modified xsi:type="dcterms:W3CDTF">2018-07-27T08:57:19Z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