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T:\sppawebsite2019\Pensions.Gov.Scot\"/>
    </mc:Choice>
  </mc:AlternateContent>
  <bookViews>
    <workbookView xWindow="0" yWindow="0" windowWidth="21576" windowHeight="10212" tabRatio="767"/>
  </bookViews>
  <sheets>
    <sheet name="Calculator" sheetId="1" r:id="rId1"/>
    <sheet name="Codes" sheetId="2" state="hidden" r:id="rId2"/>
    <sheet name="Factors" sheetId="3" state="hidden" r:id="rId3"/>
    <sheet name="LumpSumPrint1" sheetId="4" state="hidden" r:id="rId4"/>
    <sheet name="LumpSumPrint2" sheetId="8" state="hidden" r:id="rId5"/>
    <sheet name="RegularContsPrint1" sheetId="5" state="hidden" r:id="rId6"/>
    <sheet name="RegularContsPrint2" sheetId="7" state="hidden" r:id="rId7"/>
    <sheet name="Application" sheetId="9" state="hidden" r:id="rId8"/>
    <sheet name="GuidanceNotes" sheetId="6" state="hidden" r:id="rId9"/>
  </sheets>
  <definedNames>
    <definedName name="_xlnm.Print_Area" localSheetId="7">Application!$B$2:$P$60</definedName>
    <definedName name="_xlnm.Print_Area" localSheetId="0">Calculator!$B$2:$H$46</definedName>
    <definedName name="_xlnm.Print_Area" localSheetId="8">GuidanceNotes!$B$2:$B$9</definedName>
    <definedName name="_xlnm.Print_Area" localSheetId="3">LumpSumPrint1!$C$4:$D$21</definedName>
    <definedName name="_xlnm.Print_Area" localSheetId="4">LumpSumPrint2!$C$4:$D$21</definedName>
    <definedName name="_xlnm.Print_Area" localSheetId="5">RegularContsPrint1!$C$4:$F$72</definedName>
    <definedName name="_xlnm.Print_Area" localSheetId="6">RegularContsPrint2!$C$4:$F$63</definedName>
    <definedName name="Table5">#REF!</definedName>
  </definedNames>
  <calcPr calcId="162913"/>
</workbook>
</file>

<file path=xl/calcChain.xml><?xml version="1.0" encoding="utf-8"?>
<calcChain xmlns="http://schemas.openxmlformats.org/spreadsheetml/2006/main">
  <c r="C21" i="4" l="1"/>
  <c r="L5" i="1"/>
  <c r="L4" i="1"/>
  <c r="K5" i="1"/>
  <c r="K6" i="1"/>
  <c r="K7" i="1"/>
  <c r="K8" i="1"/>
  <c r="K9" i="1"/>
  <c r="K4" i="1"/>
  <c r="B23" i="9"/>
  <c r="B7" i="2"/>
  <c r="G40" i="2"/>
  <c r="L21" i="1"/>
  <c r="K15" i="2"/>
  <c r="C44" i="9"/>
  <c r="B3" i="2"/>
  <c r="E7" i="7"/>
  <c r="B2" i="2"/>
  <c r="B47" i="9"/>
  <c r="K43" i="2"/>
  <c r="K37" i="2"/>
  <c r="K42" i="2"/>
  <c r="G12" i="9"/>
  <c r="B11" i="9"/>
  <c r="B9" i="9"/>
  <c r="B7" i="9"/>
  <c r="B15" i="9"/>
  <c r="B13" i="9"/>
  <c r="B17" i="9"/>
  <c r="B19" i="9"/>
  <c r="D5" i="9"/>
  <c r="G7" i="9"/>
  <c r="G18" i="9"/>
  <c r="G16" i="9"/>
  <c r="G14" i="9"/>
  <c r="H10" i="9"/>
  <c r="G9" i="9"/>
  <c r="G8" i="9"/>
  <c r="N27" i="1"/>
  <c r="B8" i="2"/>
  <c r="B15" i="2"/>
  <c r="L15" i="1" s="1"/>
  <c r="E23" i="5"/>
  <c r="C5" i="7"/>
  <c r="C6" i="7"/>
  <c r="E6" i="7"/>
  <c r="C8" i="7"/>
  <c r="E22" i="7"/>
  <c r="C5" i="5"/>
  <c r="C6" i="5"/>
  <c r="E6" i="5"/>
  <c r="C8" i="5"/>
  <c r="E12" i="5"/>
  <c r="C5" i="8"/>
  <c r="C6" i="8"/>
  <c r="D6" i="8"/>
  <c r="C8" i="8"/>
  <c r="C17" i="8"/>
  <c r="C18" i="8"/>
  <c r="C20" i="8"/>
  <c r="D20" i="8"/>
  <c r="C21" i="8"/>
  <c r="C5" i="4"/>
  <c r="C6" i="4"/>
  <c r="D6" i="4"/>
  <c r="C8" i="4"/>
  <c r="C20" i="4"/>
  <c r="D20" i="4"/>
  <c r="G14" i="2"/>
  <c r="G21" i="2"/>
  <c r="D11" i="4"/>
  <c r="G31" i="2"/>
  <c r="D11" i="8"/>
  <c r="K40" i="2"/>
  <c r="K41" i="2" s="1"/>
  <c r="K36" i="2"/>
  <c r="L33" i="1"/>
  <c r="B16" i="2"/>
  <c r="N15" i="1" s="1"/>
  <c r="B10" i="2"/>
  <c r="G41" i="2"/>
  <c r="N21" i="1"/>
  <c r="F28" i="9"/>
  <c r="M8" i="2"/>
  <c r="AB8" i="2"/>
  <c r="C24" i="7"/>
  <c r="B6" i="2"/>
  <c r="C25" i="5"/>
  <c r="D7" i="4"/>
  <c r="V8" i="2"/>
  <c r="E14" i="7"/>
  <c r="W8" i="2"/>
  <c r="E15" i="7"/>
  <c r="E14" i="5"/>
  <c r="R8" i="2"/>
  <c r="U8" i="2"/>
  <c r="D24" i="7"/>
  <c r="AC8" i="2"/>
  <c r="D25" i="5"/>
  <c r="E13" i="7"/>
  <c r="Z8" i="2"/>
  <c r="E13" i="5"/>
  <c r="AA8" i="2"/>
  <c r="E44" i="9"/>
  <c r="E15" i="5"/>
  <c r="E25" i="5"/>
  <c r="D39" i="1"/>
  <c r="E19" i="5"/>
  <c r="D44" i="1"/>
  <c r="E20" i="7"/>
  <c r="E24" i="7"/>
  <c r="E12" i="7"/>
  <c r="N33" i="1"/>
  <c r="D7" i="8"/>
  <c r="B4" i="2"/>
  <c r="B5" i="2"/>
  <c r="K34" i="2"/>
  <c r="N35" i="1"/>
  <c r="E7" i="5"/>
  <c r="A24" i="7"/>
  <c r="F24" i="7"/>
  <c r="F62" i="7"/>
  <c r="E71" i="5"/>
  <c r="C72" i="5"/>
  <c r="F25" i="5"/>
  <c r="C63" i="7"/>
  <c r="C43" i="1"/>
  <c r="D8" i="4" l="1"/>
  <c r="F29" i="9"/>
  <c r="D8" i="8"/>
  <c r="E8" i="5"/>
  <c r="K16" i="2"/>
  <c r="K17" i="2" s="1"/>
  <c r="T8" i="2" s="1"/>
  <c r="S8" i="2" s="1"/>
  <c r="O8" i="2"/>
  <c r="P8" i="2" s="1"/>
  <c r="G16" i="2"/>
  <c r="D12" i="4" s="1"/>
  <c r="K33" i="2"/>
  <c r="L35" i="1" s="1"/>
  <c r="G15" i="2"/>
  <c r="G17" i="2" s="1"/>
  <c r="D14" i="8" s="1"/>
  <c r="E8" i="7"/>
  <c r="C35" i="1" l="1"/>
  <c r="C9" i="5" s="1"/>
  <c r="K19" i="2"/>
  <c r="E9" i="7" s="1"/>
  <c r="C39" i="1"/>
  <c r="G33" i="2"/>
  <c r="D15" i="8" s="1"/>
  <c r="G23" i="2"/>
  <c r="D15" i="4" s="1"/>
  <c r="D14" i="4"/>
  <c r="G22" i="2"/>
  <c r="G32" i="2"/>
  <c r="D13" i="8" s="1"/>
  <c r="C44" i="1"/>
  <c r="K27" i="2"/>
  <c r="G15" i="1" s="1"/>
  <c r="X8" i="2"/>
  <c r="D12" i="8"/>
  <c r="K23" i="2"/>
  <c r="K24" i="2" s="1"/>
  <c r="K25" i="2" s="1"/>
  <c r="E9" i="5" l="1"/>
  <c r="K20" i="2"/>
  <c r="K21" i="2" s="1"/>
  <c r="S9" i="2"/>
  <c r="M9" i="2" s="1"/>
  <c r="C25" i="7" s="1"/>
  <c r="C9" i="7"/>
  <c r="G42" i="2"/>
  <c r="N23" i="1" s="1"/>
  <c r="G36" i="2"/>
  <c r="D29" i="1" s="1"/>
  <c r="D21" i="8" s="1"/>
  <c r="G26" i="2"/>
  <c r="D18" i="4" s="1"/>
  <c r="D13" i="4"/>
  <c r="Y8" i="2"/>
  <c r="E16" i="7"/>
  <c r="E16" i="5"/>
  <c r="X9" i="2" l="1"/>
  <c r="Y9" i="2" s="1"/>
  <c r="N9" i="2"/>
  <c r="Z9" i="2"/>
  <c r="AB9" i="2"/>
  <c r="AC9" i="2"/>
  <c r="E25" i="7" s="1"/>
  <c r="A25" i="7" s="1"/>
  <c r="U9" i="2"/>
  <c r="D26" i="5" s="1"/>
  <c r="T9" i="2"/>
  <c r="AA9" i="2"/>
  <c r="E26" i="5" s="1"/>
  <c r="F26" i="5" s="1"/>
  <c r="R9" i="2"/>
  <c r="C26" i="5"/>
  <c r="V9" i="2"/>
  <c r="W9" i="2" s="1"/>
  <c r="P9" i="2"/>
  <c r="S10" i="2"/>
  <c r="S11" i="2" s="1"/>
  <c r="M11" i="2" s="1"/>
  <c r="D18" i="8"/>
  <c r="D25" i="1"/>
  <c r="D21" i="4" s="1"/>
  <c r="E17" i="7"/>
  <c r="E17" i="5"/>
  <c r="D25" i="7"/>
  <c r="F25" i="7" l="1"/>
  <c r="S12" i="2"/>
  <c r="M12" i="2" s="1"/>
  <c r="Q11" i="2" s="1"/>
  <c r="N11" i="2"/>
  <c r="M10" i="2"/>
  <c r="N10" i="2"/>
  <c r="F27" i="9"/>
  <c r="AB11" i="2"/>
  <c r="T11" i="2"/>
  <c r="C28" i="5"/>
  <c r="R11" i="2"/>
  <c r="P11" i="2"/>
  <c r="AA11" i="2"/>
  <c r="X11" i="2"/>
  <c r="Y11" i="2" s="1"/>
  <c r="C27" i="7"/>
  <c r="AC11" i="2"/>
  <c r="E27" i="7" s="1"/>
  <c r="Z11" i="2"/>
  <c r="U11" i="2"/>
  <c r="V11" i="2"/>
  <c r="W11" i="2" s="1"/>
  <c r="N12" i="2"/>
  <c r="S13" i="2"/>
  <c r="Q9" i="2" l="1"/>
  <c r="AB10" i="2"/>
  <c r="Z10" i="2"/>
  <c r="V10" i="2"/>
  <c r="W10" i="2" s="1"/>
  <c r="AA10" i="2"/>
  <c r="E27" i="5" s="1"/>
  <c r="F27" i="5" s="1"/>
  <c r="R10" i="2"/>
  <c r="P10" i="2"/>
  <c r="C27" i="5"/>
  <c r="U10" i="2"/>
  <c r="T10" i="2"/>
  <c r="C26" i="7"/>
  <c r="X10" i="2"/>
  <c r="Y10" i="2" s="1"/>
  <c r="AC10" i="2"/>
  <c r="E26" i="7" s="1"/>
  <c r="Q10" i="2"/>
  <c r="E28" i="5"/>
  <c r="F28" i="5" s="1"/>
  <c r="F27" i="7"/>
  <c r="A27" i="7"/>
  <c r="M13" i="2"/>
  <c r="Q12" i="2" s="1"/>
  <c r="S14" i="2"/>
  <c r="N13" i="2"/>
  <c r="D27" i="7"/>
  <c r="D28" i="5"/>
  <c r="AC12" i="2"/>
  <c r="E28" i="7" s="1"/>
  <c r="Z12" i="2"/>
  <c r="C28" i="7"/>
  <c r="AB12" i="2"/>
  <c r="P12" i="2"/>
  <c r="R12" i="2"/>
  <c r="C29" i="5"/>
  <c r="V12" i="2"/>
  <c r="W12" i="2" s="1"/>
  <c r="AA12" i="2"/>
  <c r="E29" i="5" s="1"/>
  <c r="F29" i="5" s="1"/>
  <c r="T12" i="2"/>
  <c r="X12" i="2"/>
  <c r="Y12" i="2" s="1"/>
  <c r="U12" i="2"/>
  <c r="A26" i="7" l="1"/>
  <c r="F26" i="7"/>
  <c r="D27" i="5"/>
  <c r="D26" i="7"/>
  <c r="F28" i="7"/>
  <c r="A28" i="7"/>
  <c r="S15" i="2"/>
  <c r="M14" i="2"/>
  <c r="N14" i="2"/>
  <c r="D29" i="5"/>
  <c r="D28" i="7"/>
  <c r="V13" i="2"/>
  <c r="W13" i="2" s="1"/>
  <c r="Z13" i="2"/>
  <c r="C30" i="5"/>
  <c r="AB13" i="2"/>
  <c r="R13" i="2"/>
  <c r="C29" i="7"/>
  <c r="P13" i="2"/>
  <c r="X13" i="2"/>
  <c r="Y13" i="2" s="1"/>
  <c r="T13" i="2"/>
  <c r="AC13" i="2"/>
  <c r="E29" i="7" s="1"/>
  <c r="U13" i="2"/>
  <c r="AA13" i="2"/>
  <c r="E30" i="5" s="1"/>
  <c r="F30" i="5" s="1"/>
  <c r="X14" i="2" l="1"/>
  <c r="Y14" i="2" s="1"/>
  <c r="T14" i="2"/>
  <c r="U14" i="2"/>
  <c r="P14" i="2"/>
  <c r="C31" i="5"/>
  <c r="R14" i="2"/>
  <c r="AA14" i="2"/>
  <c r="E31" i="5" s="1"/>
  <c r="F31" i="5" s="1"/>
  <c r="V14" i="2"/>
  <c r="W14" i="2" s="1"/>
  <c r="AC14" i="2"/>
  <c r="E30" i="7" s="1"/>
  <c r="Z14" i="2"/>
  <c r="C30" i="7"/>
  <c r="AB14" i="2"/>
  <c r="M15" i="2"/>
  <c r="Q14" i="2" s="1"/>
  <c r="S16" i="2"/>
  <c r="N15" i="2"/>
  <c r="D29" i="7"/>
  <c r="D30" i="5"/>
  <c r="A29" i="7"/>
  <c r="F29" i="7"/>
  <c r="Q13" i="2"/>
  <c r="M16" i="2" l="1"/>
  <c r="Q15" i="2" s="1"/>
  <c r="N16" i="2"/>
  <c r="S17" i="2"/>
  <c r="D31" i="5"/>
  <c r="D30" i="7"/>
  <c r="C31" i="7"/>
  <c r="R15" i="2"/>
  <c r="AB15" i="2"/>
  <c r="AC15" i="2"/>
  <c r="E31" i="7" s="1"/>
  <c r="T15" i="2"/>
  <c r="X15" i="2"/>
  <c r="Y15" i="2" s="1"/>
  <c r="U15" i="2"/>
  <c r="V15" i="2"/>
  <c r="W15" i="2" s="1"/>
  <c r="Z15" i="2"/>
  <c r="P15" i="2"/>
  <c r="AA15" i="2"/>
  <c r="C32" i="5"/>
  <c r="F30" i="7"/>
  <c r="A30" i="7"/>
  <c r="S18" i="2" l="1"/>
  <c r="N17" i="2"/>
  <c r="M17" i="2"/>
  <c r="Q16" i="2" s="1"/>
  <c r="E32" i="5"/>
  <c r="F32" i="5" s="1"/>
  <c r="D31" i="7"/>
  <c r="D32" i="5"/>
  <c r="F31" i="7"/>
  <c r="A31" i="7"/>
  <c r="Z16" i="2"/>
  <c r="U16" i="2"/>
  <c r="R16" i="2"/>
  <c r="P16" i="2"/>
  <c r="V16" i="2"/>
  <c r="W16" i="2" s="1"/>
  <c r="C33" i="5"/>
  <c r="AB16" i="2"/>
  <c r="AC16" i="2"/>
  <c r="E32" i="7" s="1"/>
  <c r="T16" i="2"/>
  <c r="C32" i="7"/>
  <c r="AA16" i="2"/>
  <c r="E33" i="5" s="1"/>
  <c r="F33" i="5" s="1"/>
  <c r="X16" i="2"/>
  <c r="Y16" i="2" s="1"/>
  <c r="D32" i="7" l="1"/>
  <c r="D33" i="5"/>
  <c r="AA17" i="2"/>
  <c r="E34" i="5" s="1"/>
  <c r="F34" i="5" s="1"/>
  <c r="AB17" i="2"/>
  <c r="AC17" i="2"/>
  <c r="E33" i="7" s="1"/>
  <c r="C33" i="7"/>
  <c r="P17" i="2"/>
  <c r="Z17" i="2"/>
  <c r="U17" i="2"/>
  <c r="R17" i="2"/>
  <c r="X17" i="2"/>
  <c r="Y17" i="2" s="1"/>
  <c r="C34" i="5"/>
  <c r="T17" i="2"/>
  <c r="V17" i="2"/>
  <c r="W17" i="2" s="1"/>
  <c r="F32" i="7"/>
  <c r="A32" i="7"/>
  <c r="S19" i="2"/>
  <c r="N18" i="2"/>
  <c r="M18" i="2"/>
  <c r="Q17" i="2" s="1"/>
  <c r="AB18" i="2" l="1"/>
  <c r="R18" i="2"/>
  <c r="P18" i="2"/>
  <c r="V18" i="2"/>
  <c r="W18" i="2" s="1"/>
  <c r="C35" i="5"/>
  <c r="AC18" i="2"/>
  <c r="E34" i="7" s="1"/>
  <c r="X18" i="2"/>
  <c r="Y18" i="2" s="1"/>
  <c r="U18" i="2"/>
  <c r="AA18" i="2"/>
  <c r="E35" i="5" s="1"/>
  <c r="F35" i="5" s="1"/>
  <c r="C34" i="7"/>
  <c r="Z18" i="2"/>
  <c r="T18" i="2"/>
  <c r="D33" i="7"/>
  <c r="D34" i="5"/>
  <c r="A33" i="7"/>
  <c r="F33" i="7"/>
  <c r="M19" i="2"/>
  <c r="Q18" i="2" s="1"/>
  <c r="N19" i="2"/>
  <c r="S20" i="2"/>
  <c r="C35" i="7" l="1"/>
  <c r="C36" i="5"/>
  <c r="U19" i="2"/>
  <c r="V19" i="2"/>
  <c r="W19" i="2" s="1"/>
  <c r="X19" i="2"/>
  <c r="Y19" i="2" s="1"/>
  <c r="T19" i="2"/>
  <c r="P19" i="2"/>
  <c r="R19" i="2"/>
  <c r="Z19" i="2"/>
  <c r="AA19" i="2"/>
  <c r="E36" i="5" s="1"/>
  <c r="F36" i="5" s="1"/>
  <c r="AC19" i="2"/>
  <c r="E35" i="7" s="1"/>
  <c r="AB19" i="2"/>
  <c r="A34" i="7"/>
  <c r="F34" i="7"/>
  <c r="S21" i="2"/>
  <c r="M20" i="2"/>
  <c r="N20" i="2"/>
  <c r="D34" i="7"/>
  <c r="D35" i="5"/>
  <c r="M21" i="2" l="1"/>
  <c r="Q20" i="2" s="1"/>
  <c r="N21" i="2"/>
  <c r="S22" i="2"/>
  <c r="F35" i="7"/>
  <c r="A35" i="7"/>
  <c r="D36" i="5"/>
  <c r="D35" i="7"/>
  <c r="R20" i="2"/>
  <c r="X20" i="2"/>
  <c r="Y20" i="2" s="1"/>
  <c r="AC20" i="2"/>
  <c r="E36" i="7" s="1"/>
  <c r="C37" i="5"/>
  <c r="U20" i="2"/>
  <c r="T20" i="2"/>
  <c r="P20" i="2"/>
  <c r="Z20" i="2"/>
  <c r="C36" i="7"/>
  <c r="AB20" i="2"/>
  <c r="V20" i="2"/>
  <c r="W20" i="2" s="1"/>
  <c r="AA20" i="2"/>
  <c r="E37" i="5" s="1"/>
  <c r="F37" i="5" s="1"/>
  <c r="Q19" i="2"/>
  <c r="A36" i="7" l="1"/>
  <c r="F36" i="7"/>
  <c r="N22" i="2"/>
  <c r="S23" i="2"/>
  <c r="M22" i="2"/>
  <c r="Q21" i="2" s="1"/>
  <c r="D36" i="7"/>
  <c r="D37" i="5"/>
  <c r="R21" i="2"/>
  <c r="C38" i="5"/>
  <c r="U21" i="2"/>
  <c r="Z21" i="2"/>
  <c r="X21" i="2"/>
  <c r="Y21" i="2" s="1"/>
  <c r="T21" i="2"/>
  <c r="V21" i="2"/>
  <c r="W21" i="2" s="1"/>
  <c r="AA21" i="2"/>
  <c r="E38" i="5" s="1"/>
  <c r="F38" i="5" s="1"/>
  <c r="C37" i="7"/>
  <c r="AC21" i="2"/>
  <c r="E37" i="7" s="1"/>
  <c r="AB21" i="2"/>
  <c r="P21" i="2"/>
  <c r="A37" i="7" l="1"/>
  <c r="F37" i="7"/>
  <c r="D37" i="7"/>
  <c r="D38" i="5"/>
  <c r="M23" i="2"/>
  <c r="Q22" i="2" s="1"/>
  <c r="S24" i="2"/>
  <c r="N23" i="2"/>
  <c r="U22" i="2"/>
  <c r="C38" i="7"/>
  <c r="P22" i="2"/>
  <c r="C39" i="5"/>
  <c r="AB22" i="2"/>
  <c r="Z22" i="2"/>
  <c r="AA22" i="2"/>
  <c r="E39" i="5" s="1"/>
  <c r="F39" i="5" s="1"/>
  <c r="R22" i="2"/>
  <c r="AC22" i="2"/>
  <c r="E38" i="7" s="1"/>
  <c r="V22" i="2"/>
  <c r="W22" i="2" s="1"/>
  <c r="X22" i="2"/>
  <c r="Y22" i="2" s="1"/>
  <c r="T22" i="2"/>
  <c r="D39" i="5" l="1"/>
  <c r="D38" i="7"/>
  <c r="N24" i="2"/>
  <c r="S25" i="2"/>
  <c r="M24" i="2"/>
  <c r="Q23" i="2" s="1"/>
  <c r="F38" i="7"/>
  <c r="A38" i="7"/>
  <c r="R23" i="2"/>
  <c r="AB23" i="2"/>
  <c r="C40" i="5"/>
  <c r="V23" i="2"/>
  <c r="W23" i="2" s="1"/>
  <c r="Z23" i="2"/>
  <c r="AC23" i="2"/>
  <c r="E39" i="7" s="1"/>
  <c r="AA23" i="2"/>
  <c r="E40" i="5" s="1"/>
  <c r="F40" i="5" s="1"/>
  <c r="T23" i="2"/>
  <c r="X23" i="2"/>
  <c r="Y23" i="2" s="1"/>
  <c r="C39" i="7"/>
  <c r="P23" i="2"/>
  <c r="U23" i="2"/>
  <c r="D40" i="5" l="1"/>
  <c r="D39" i="7"/>
  <c r="M25" i="2"/>
  <c r="Q24" i="2" s="1"/>
  <c r="N25" i="2"/>
  <c r="S26" i="2"/>
  <c r="A39" i="7"/>
  <c r="F39" i="7"/>
  <c r="R24" i="2"/>
  <c r="Z24" i="2"/>
  <c r="V24" i="2"/>
  <c r="W24" i="2" s="1"/>
  <c r="T24" i="2"/>
  <c r="X24" i="2"/>
  <c r="Y24" i="2" s="1"/>
  <c r="P24" i="2"/>
  <c r="AB24" i="2"/>
  <c r="U24" i="2"/>
  <c r="AA24" i="2"/>
  <c r="E41" i="5" s="1"/>
  <c r="F41" i="5" s="1"/>
  <c r="C41" i="5"/>
  <c r="AC24" i="2"/>
  <c r="E40" i="7" s="1"/>
  <c r="C40" i="7"/>
  <c r="Z25" i="2" l="1"/>
  <c r="AA25" i="2"/>
  <c r="E42" i="5" s="1"/>
  <c r="F42" i="5" s="1"/>
  <c r="R25" i="2"/>
  <c r="X25" i="2"/>
  <c r="Y25" i="2" s="1"/>
  <c r="C42" i="5"/>
  <c r="AC25" i="2"/>
  <c r="E41" i="7" s="1"/>
  <c r="T25" i="2"/>
  <c r="U25" i="2"/>
  <c r="V25" i="2"/>
  <c r="W25" i="2" s="1"/>
  <c r="P25" i="2"/>
  <c r="AB25" i="2"/>
  <c r="C41" i="7"/>
  <c r="D40" i="7"/>
  <c r="D41" i="5"/>
  <c r="F40" i="7"/>
  <c r="A40" i="7"/>
  <c r="S27" i="2"/>
  <c r="N26" i="2"/>
  <c r="M26" i="2"/>
  <c r="Q25" i="2" s="1"/>
  <c r="A41" i="7" l="1"/>
  <c r="F41" i="7"/>
  <c r="C43" i="5"/>
  <c r="C42" i="7"/>
  <c r="P26" i="2"/>
  <c r="X26" i="2"/>
  <c r="Y26" i="2" s="1"/>
  <c r="AA26" i="2"/>
  <c r="E43" i="5" s="1"/>
  <c r="F43" i="5" s="1"/>
  <c r="T26" i="2"/>
  <c r="Z26" i="2"/>
  <c r="V26" i="2"/>
  <c r="W26" i="2" s="1"/>
  <c r="AB26" i="2"/>
  <c r="U26" i="2"/>
  <c r="AC26" i="2"/>
  <c r="E42" i="7" s="1"/>
  <c r="R26" i="2"/>
  <c r="D42" i="5"/>
  <c r="D41" i="7"/>
  <c r="N27" i="2"/>
  <c r="M27" i="2"/>
  <c r="Q26" i="2" s="1"/>
  <c r="S28" i="2"/>
  <c r="V27" i="2" l="1"/>
  <c r="W27" i="2" s="1"/>
  <c r="AC27" i="2"/>
  <c r="E43" i="7" s="1"/>
  <c r="C43" i="7"/>
  <c r="T27" i="2"/>
  <c r="Z27" i="2"/>
  <c r="X27" i="2"/>
  <c r="Y27" i="2" s="1"/>
  <c r="P27" i="2"/>
  <c r="C44" i="5"/>
  <c r="R27" i="2"/>
  <c r="U27" i="2"/>
  <c r="AB27" i="2"/>
  <c r="AA27" i="2"/>
  <c r="E44" i="5" s="1"/>
  <c r="F44" i="5" s="1"/>
  <c r="F42" i="7"/>
  <c r="A42" i="7"/>
  <c r="M28" i="2"/>
  <c r="Q27" i="2" s="1"/>
  <c r="N28" i="2"/>
  <c r="S29" i="2"/>
  <c r="D42" i="7"/>
  <c r="D43" i="5"/>
  <c r="D44" i="5" l="1"/>
  <c r="D43" i="7"/>
  <c r="AB28" i="2"/>
  <c r="Z28" i="2"/>
  <c r="U28" i="2"/>
  <c r="AC28" i="2"/>
  <c r="E44" i="7" s="1"/>
  <c r="AA28" i="2"/>
  <c r="E45" i="5" s="1"/>
  <c r="F45" i="5" s="1"/>
  <c r="C44" i="7"/>
  <c r="P28" i="2"/>
  <c r="R28" i="2"/>
  <c r="T28" i="2"/>
  <c r="C45" i="5"/>
  <c r="V28" i="2"/>
  <c r="W28" i="2" s="1"/>
  <c r="X28" i="2"/>
  <c r="Y28" i="2" s="1"/>
  <c r="N29" i="2"/>
  <c r="S30" i="2"/>
  <c r="M29" i="2"/>
  <c r="Q28" i="2" s="1"/>
  <c r="F43" i="7"/>
  <c r="A43" i="7"/>
  <c r="R29" i="2" l="1"/>
  <c r="AA29" i="2"/>
  <c r="E46" i="5" s="1"/>
  <c r="F46" i="5" s="1"/>
  <c r="X29" i="2"/>
  <c r="Y29" i="2" s="1"/>
  <c r="C46" i="5"/>
  <c r="U29" i="2"/>
  <c r="AB29" i="2"/>
  <c r="C45" i="7"/>
  <c r="Z29" i="2"/>
  <c r="P29" i="2"/>
  <c r="T29" i="2"/>
  <c r="AC29" i="2"/>
  <c r="E45" i="7" s="1"/>
  <c r="V29" i="2"/>
  <c r="W29" i="2" s="1"/>
  <c r="F44" i="7"/>
  <c r="A44" i="7"/>
  <c r="M30" i="2"/>
  <c r="N30" i="2"/>
  <c r="S31" i="2"/>
  <c r="D45" i="5"/>
  <c r="D44" i="7"/>
  <c r="U30" i="2" l="1"/>
  <c r="C47" i="5"/>
  <c r="P30" i="2"/>
  <c r="C46" i="7"/>
  <c r="AB30" i="2"/>
  <c r="R30" i="2"/>
  <c r="T30" i="2"/>
  <c r="Z30" i="2"/>
  <c r="AA30" i="2"/>
  <c r="E47" i="5" s="1"/>
  <c r="F47" i="5" s="1"/>
  <c r="AC30" i="2"/>
  <c r="E46" i="7" s="1"/>
  <c r="X30" i="2"/>
  <c r="Y30" i="2" s="1"/>
  <c r="V30" i="2"/>
  <c r="W30" i="2" s="1"/>
  <c r="A45" i="7"/>
  <c r="F45" i="7"/>
  <c r="S32" i="2"/>
  <c r="N31" i="2"/>
  <c r="M31" i="2"/>
  <c r="Q30" i="2" s="1"/>
  <c r="Q29" i="2"/>
  <c r="D46" i="5"/>
  <c r="D45" i="7"/>
  <c r="S33" i="2" l="1"/>
  <c r="N32" i="2"/>
  <c r="M32" i="2"/>
  <c r="U31" i="2"/>
  <c r="R31" i="2"/>
  <c r="C47" i="7"/>
  <c r="P31" i="2"/>
  <c r="V31" i="2"/>
  <c r="W31" i="2" s="1"/>
  <c r="AC31" i="2"/>
  <c r="E47" i="7" s="1"/>
  <c r="Z31" i="2"/>
  <c r="AA31" i="2"/>
  <c r="E48" i="5" s="1"/>
  <c r="F48" i="5" s="1"/>
  <c r="AB31" i="2"/>
  <c r="C48" i="5"/>
  <c r="X31" i="2"/>
  <c r="Y31" i="2" s="1"/>
  <c r="Q31" i="2"/>
  <c r="T31" i="2"/>
  <c r="F46" i="7"/>
  <c r="A46" i="7"/>
  <c r="D47" i="5"/>
  <c r="D46" i="7"/>
  <c r="D48" i="5" l="1"/>
  <c r="D47" i="7"/>
  <c r="AC32" i="2"/>
  <c r="E48" i="7" s="1"/>
  <c r="C49" i="5"/>
  <c r="T32" i="2"/>
  <c r="U32" i="2"/>
  <c r="P32" i="2"/>
  <c r="R32" i="2"/>
  <c r="V32" i="2"/>
  <c r="W32" i="2" s="1"/>
  <c r="Z32" i="2"/>
  <c r="C48" i="7"/>
  <c r="AA32" i="2"/>
  <c r="E49" i="5" s="1"/>
  <c r="F49" i="5" s="1"/>
  <c r="X32" i="2"/>
  <c r="Y32" i="2" s="1"/>
  <c r="AB32" i="2"/>
  <c r="A47" i="7"/>
  <c r="F47" i="7"/>
  <c r="N33" i="2"/>
  <c r="M33" i="2"/>
  <c r="S34" i="2"/>
  <c r="C50" i="5" l="1"/>
  <c r="V33" i="2"/>
  <c r="W33" i="2" s="1"/>
  <c r="U33" i="2"/>
  <c r="Z33" i="2"/>
  <c r="R33" i="2"/>
  <c r="X33" i="2"/>
  <c r="Y33" i="2" s="1"/>
  <c r="C49" i="7"/>
  <c r="AB33" i="2"/>
  <c r="AC33" i="2"/>
  <c r="E49" i="7" s="1"/>
  <c r="P33" i="2"/>
  <c r="AA33" i="2"/>
  <c r="E50" i="5" s="1"/>
  <c r="F50" i="5" s="1"/>
  <c r="T33" i="2"/>
  <c r="A48" i="7"/>
  <c r="F48" i="7"/>
  <c r="S35" i="2"/>
  <c r="M34" i="2"/>
  <c r="Q33" i="2" s="1"/>
  <c r="N34" i="2"/>
  <c r="D48" i="7"/>
  <c r="D49" i="5"/>
  <c r="Q32" i="2"/>
  <c r="M35" i="2" l="1"/>
  <c r="S36" i="2"/>
  <c r="N35" i="2"/>
  <c r="D50" i="5"/>
  <c r="D49" i="7"/>
  <c r="F49" i="7"/>
  <c r="A49" i="7"/>
  <c r="U34" i="2"/>
  <c r="Q34" i="2"/>
  <c r="Z34" i="2"/>
  <c r="T34" i="2"/>
  <c r="V34" i="2"/>
  <c r="W34" i="2" s="1"/>
  <c r="R34" i="2"/>
  <c r="AB34" i="2"/>
  <c r="C50" i="7"/>
  <c r="AC34" i="2"/>
  <c r="E50" i="7" s="1"/>
  <c r="C51" i="5"/>
  <c r="X34" i="2"/>
  <c r="Y34" i="2" s="1"/>
  <c r="AA34" i="2"/>
  <c r="E51" i="5" s="1"/>
  <c r="F51" i="5" s="1"/>
  <c r="P34" i="2"/>
  <c r="F50" i="7" l="1"/>
  <c r="A50" i="7"/>
  <c r="D50" i="7"/>
  <c r="D51" i="5"/>
  <c r="S37" i="2"/>
  <c r="N36" i="2"/>
  <c r="M36" i="2"/>
  <c r="Q35" i="2" s="1"/>
  <c r="U35" i="2"/>
  <c r="T35" i="2"/>
  <c r="Z35" i="2"/>
  <c r="V35" i="2"/>
  <c r="W35" i="2" s="1"/>
  <c r="C52" i="5"/>
  <c r="AB35" i="2"/>
  <c r="X35" i="2"/>
  <c r="Y35" i="2" s="1"/>
  <c r="R35" i="2"/>
  <c r="P35" i="2"/>
  <c r="C51" i="7"/>
  <c r="AC35" i="2"/>
  <c r="E51" i="7" s="1"/>
  <c r="AA35" i="2"/>
  <c r="E52" i="5" s="1"/>
  <c r="F52" i="5" s="1"/>
  <c r="P36" i="2" l="1"/>
  <c r="U36" i="2"/>
  <c r="C53" i="5"/>
  <c r="R36" i="2"/>
  <c r="Z36" i="2"/>
  <c r="C52" i="7"/>
  <c r="V36" i="2"/>
  <c r="W36" i="2" s="1"/>
  <c r="AB36" i="2"/>
  <c r="T36" i="2"/>
  <c r="X36" i="2"/>
  <c r="Y36" i="2" s="1"/>
  <c r="AA36" i="2"/>
  <c r="E53" i="5" s="1"/>
  <c r="F53" i="5" s="1"/>
  <c r="AC36" i="2"/>
  <c r="E52" i="7" s="1"/>
  <c r="D51" i="7"/>
  <c r="D52" i="5"/>
  <c r="A51" i="7"/>
  <c r="F51" i="7"/>
  <c r="M37" i="2"/>
  <c r="S38" i="2"/>
  <c r="N37" i="2"/>
  <c r="V37" i="2" l="1"/>
  <c r="W37" i="2" s="1"/>
  <c r="X37" i="2"/>
  <c r="Y37" i="2" s="1"/>
  <c r="U37" i="2"/>
  <c r="T37" i="2"/>
  <c r="C54" i="5"/>
  <c r="Z37" i="2"/>
  <c r="C53" i="7"/>
  <c r="AB37" i="2"/>
  <c r="AC37" i="2"/>
  <c r="E53" i="7" s="1"/>
  <c r="R37" i="2"/>
  <c r="P37" i="2"/>
  <c r="AA37" i="2"/>
  <c r="E54" i="5" s="1"/>
  <c r="F54" i="5" s="1"/>
  <c r="D52" i="7"/>
  <c r="D53" i="5"/>
  <c r="M38" i="2"/>
  <c r="S39" i="2"/>
  <c r="N38" i="2"/>
  <c r="F52" i="7"/>
  <c r="A52" i="7"/>
  <c r="Q36" i="2"/>
  <c r="D53" i="7" l="1"/>
  <c r="D54" i="5"/>
  <c r="C55" i="5"/>
  <c r="V38" i="2"/>
  <c r="W38" i="2" s="1"/>
  <c r="Z38" i="2"/>
  <c r="P38" i="2"/>
  <c r="AA38" i="2"/>
  <c r="E55" i="5" s="1"/>
  <c r="F55" i="5" s="1"/>
  <c r="U38" i="2"/>
  <c r="X38" i="2"/>
  <c r="Y38" i="2" s="1"/>
  <c r="AC38" i="2"/>
  <c r="E54" i="7" s="1"/>
  <c r="T38" i="2"/>
  <c r="C54" i="7"/>
  <c r="R38" i="2"/>
  <c r="AB38" i="2"/>
  <c r="Q37" i="2"/>
  <c r="S40" i="2"/>
  <c r="M39" i="2"/>
  <c r="Q38" i="2" s="1"/>
  <c r="N39" i="2"/>
  <c r="F53" i="7"/>
  <c r="A53" i="7"/>
  <c r="C56" i="5" l="1"/>
  <c r="AB39" i="2"/>
  <c r="X39" i="2"/>
  <c r="Y39" i="2" s="1"/>
  <c r="AA39" i="2"/>
  <c r="E56" i="5" s="1"/>
  <c r="F56" i="5" s="1"/>
  <c r="P39" i="2"/>
  <c r="U39" i="2"/>
  <c r="C55" i="7"/>
  <c r="R39" i="2"/>
  <c r="V39" i="2"/>
  <c r="W39" i="2" s="1"/>
  <c r="Z39" i="2"/>
  <c r="AC39" i="2"/>
  <c r="E55" i="7" s="1"/>
  <c r="T39" i="2"/>
  <c r="F54" i="7"/>
  <c r="A54" i="7"/>
  <c r="D54" i="7"/>
  <c r="D55" i="5"/>
  <c r="M40" i="2"/>
  <c r="Q39" i="2" s="1"/>
  <c r="N40" i="2"/>
  <c r="S41" i="2"/>
  <c r="D55" i="7" l="1"/>
  <c r="D56" i="5"/>
  <c r="F55" i="7"/>
  <c r="A55" i="7"/>
  <c r="S42" i="2"/>
  <c r="N41" i="2"/>
  <c r="M41" i="2"/>
  <c r="V40" i="2"/>
  <c r="W40" i="2" s="1"/>
  <c r="X40" i="2"/>
  <c r="Y40" i="2" s="1"/>
  <c r="AA40" i="2"/>
  <c r="E57" i="5" s="1"/>
  <c r="F57" i="5" s="1"/>
  <c r="T40" i="2"/>
  <c r="R40" i="2"/>
  <c r="Z40" i="2"/>
  <c r="AB40" i="2"/>
  <c r="AC40" i="2"/>
  <c r="E56" i="7" s="1"/>
  <c r="C57" i="5"/>
  <c r="C56" i="7"/>
  <c r="U40" i="2"/>
  <c r="P40" i="2"/>
  <c r="A56" i="7" l="1"/>
  <c r="F56" i="7"/>
  <c r="D56" i="7"/>
  <c r="D57" i="5"/>
  <c r="C57" i="7"/>
  <c r="C58" i="5"/>
  <c r="AA41" i="2"/>
  <c r="E58" i="5" s="1"/>
  <c r="F58" i="5" s="1"/>
  <c r="Z41" i="2"/>
  <c r="R41" i="2"/>
  <c r="U41" i="2"/>
  <c r="V41" i="2"/>
  <c r="W41" i="2" s="1"/>
  <c r="T41" i="2"/>
  <c r="X41" i="2"/>
  <c r="Y41" i="2" s="1"/>
  <c r="AB41" i="2"/>
  <c r="AC41" i="2"/>
  <c r="E57" i="7" s="1"/>
  <c r="P41" i="2"/>
  <c r="Q40" i="2"/>
  <c r="S43" i="2"/>
  <c r="N42" i="2"/>
  <c r="M42" i="2"/>
  <c r="A57" i="7" l="1"/>
  <c r="F57" i="7"/>
  <c r="D58" i="5"/>
  <c r="D57" i="7"/>
  <c r="N43" i="2"/>
  <c r="S44" i="2"/>
  <c r="M43" i="2"/>
  <c r="C59" i="5"/>
  <c r="U42" i="2"/>
  <c r="T42" i="2"/>
  <c r="AC42" i="2"/>
  <c r="E58" i="7" s="1"/>
  <c r="X42" i="2"/>
  <c r="Y42" i="2" s="1"/>
  <c r="P42" i="2"/>
  <c r="Z42" i="2"/>
  <c r="C58" i="7"/>
  <c r="R42" i="2"/>
  <c r="AA42" i="2"/>
  <c r="E59" i="5" s="1"/>
  <c r="F59" i="5" s="1"/>
  <c r="V42" i="2"/>
  <c r="W42" i="2" s="1"/>
  <c r="AB42" i="2"/>
  <c r="Q41" i="2"/>
  <c r="Z43" i="2" l="1"/>
  <c r="U43" i="2"/>
  <c r="C60" i="5"/>
  <c r="C59" i="7"/>
  <c r="AA43" i="2"/>
  <c r="E60" i="5" s="1"/>
  <c r="F60" i="5" s="1"/>
  <c r="R43" i="2"/>
  <c r="V43" i="2"/>
  <c r="W43" i="2" s="1"/>
  <c r="X43" i="2"/>
  <c r="Y43" i="2" s="1"/>
  <c r="AC43" i="2"/>
  <c r="E59" i="7" s="1"/>
  <c r="T43" i="2"/>
  <c r="AB43" i="2"/>
  <c r="P43" i="2"/>
  <c r="F58" i="7"/>
  <c r="A58" i="7"/>
  <c r="Q42" i="2"/>
  <c r="N44" i="2"/>
  <c r="M44" i="2"/>
  <c r="S45" i="2"/>
  <c r="D59" i="5"/>
  <c r="D58" i="7"/>
  <c r="N45" i="2" l="1"/>
  <c r="S46" i="2"/>
  <c r="M45" i="2"/>
  <c r="V44" i="2"/>
  <c r="W44" i="2" s="1"/>
  <c r="AA44" i="2"/>
  <c r="E61" i="5" s="1"/>
  <c r="F61" i="5" s="1"/>
  <c r="AB44" i="2"/>
  <c r="U44" i="2"/>
  <c r="Z44" i="2"/>
  <c r="R44" i="2"/>
  <c r="T44" i="2"/>
  <c r="P44" i="2"/>
  <c r="C60" i="7"/>
  <c r="AC44" i="2"/>
  <c r="E60" i="7" s="1"/>
  <c r="X44" i="2"/>
  <c r="Y44" i="2" s="1"/>
  <c r="C61" i="5"/>
  <c r="Q43" i="2"/>
  <c r="D60" i="5"/>
  <c r="D59" i="7"/>
  <c r="F59" i="7"/>
  <c r="A59" i="7"/>
  <c r="D60" i="7" l="1"/>
  <c r="D61" i="5"/>
  <c r="AB45" i="2"/>
  <c r="C62" i="5"/>
  <c r="R45" i="2"/>
  <c r="X45" i="2"/>
  <c r="Y45" i="2" s="1"/>
  <c r="Z45" i="2"/>
  <c r="U45" i="2"/>
  <c r="P45" i="2"/>
  <c r="C61" i="7"/>
  <c r="AA45" i="2"/>
  <c r="E62" i="5" s="1"/>
  <c r="F62" i="5" s="1"/>
  <c r="V45" i="2"/>
  <c r="W45" i="2" s="1"/>
  <c r="T45" i="2"/>
  <c r="AC45" i="2"/>
  <c r="E61" i="7" s="1"/>
  <c r="A60" i="7"/>
  <c r="F60" i="7"/>
  <c r="Q44" i="2"/>
  <c r="N46" i="2"/>
  <c r="S47" i="2"/>
  <c r="M46" i="2"/>
  <c r="AB46" i="2" l="1"/>
  <c r="P46" i="2"/>
  <c r="R46" i="2"/>
  <c r="T46" i="2"/>
  <c r="Z46" i="2"/>
  <c r="U46" i="2"/>
  <c r="D63" i="5" s="1"/>
  <c r="AA46" i="2"/>
  <c r="E63" i="5" s="1"/>
  <c r="F63" i="5" s="1"/>
  <c r="AC46" i="2"/>
  <c r="X46" i="2"/>
  <c r="Y46" i="2" s="1"/>
  <c r="C63" i="5"/>
  <c r="V46" i="2"/>
  <c r="W46" i="2" s="1"/>
  <c r="M47" i="2"/>
  <c r="Q46" i="2" s="1"/>
  <c r="S48" i="2"/>
  <c r="N47" i="2"/>
  <c r="A61" i="7"/>
  <c r="F61" i="7"/>
  <c r="D62" i="5"/>
  <c r="D61" i="7"/>
  <c r="Q45" i="2"/>
  <c r="M48" i="2" l="1"/>
  <c r="Q47" i="2" s="1"/>
  <c r="S49" i="2"/>
  <c r="N48" i="2"/>
  <c r="AC47" i="2"/>
  <c r="T47" i="2"/>
  <c r="AA47" i="2"/>
  <c r="E64" i="5" s="1"/>
  <c r="F64" i="5" s="1"/>
  <c r="R47" i="2"/>
  <c r="X47" i="2"/>
  <c r="Y47" i="2" s="1"/>
  <c r="V47" i="2"/>
  <c r="W47" i="2" s="1"/>
  <c r="P47" i="2"/>
  <c r="Z47" i="2"/>
  <c r="AB47" i="2"/>
  <c r="U47" i="2"/>
  <c r="D64" i="5" s="1"/>
  <c r="C64" i="5"/>
  <c r="S50" i="2" l="1"/>
  <c r="N49" i="2"/>
  <c r="M49" i="2"/>
  <c r="R48" i="2"/>
  <c r="U48" i="2"/>
  <c r="D65" i="5" s="1"/>
  <c r="P48" i="2"/>
  <c r="V48" i="2"/>
  <c r="W48" i="2" s="1"/>
  <c r="C65" i="5"/>
  <c r="AB48" i="2"/>
  <c r="AC48" i="2"/>
  <c r="AA48" i="2"/>
  <c r="E65" i="5" s="1"/>
  <c r="F65" i="5" s="1"/>
  <c r="T48" i="2"/>
  <c r="Z48" i="2"/>
  <c r="X48" i="2"/>
  <c r="Y48" i="2" s="1"/>
  <c r="AC49" i="2" l="1"/>
  <c r="Z49" i="2"/>
  <c r="U49" i="2"/>
  <c r="D66" i="5" s="1"/>
  <c r="V49" i="2"/>
  <c r="W49" i="2" s="1"/>
  <c r="AA49" i="2"/>
  <c r="E66" i="5" s="1"/>
  <c r="F66" i="5" s="1"/>
  <c r="AB49" i="2"/>
  <c r="C66" i="5"/>
  <c r="X49" i="2"/>
  <c r="Y49" i="2" s="1"/>
  <c r="R49" i="2"/>
  <c r="T49" i="2"/>
  <c r="P49" i="2"/>
  <c r="Q48" i="2"/>
  <c r="N50" i="2"/>
  <c r="S51" i="2"/>
  <c r="M50" i="2"/>
  <c r="U50" i="2" l="1"/>
  <c r="D67" i="5" s="1"/>
  <c r="C67" i="5"/>
  <c r="X50" i="2"/>
  <c r="Y50" i="2" s="1"/>
  <c r="T50" i="2"/>
  <c r="AA50" i="2"/>
  <c r="E67" i="5" s="1"/>
  <c r="F67" i="5" s="1"/>
  <c r="AC50" i="2"/>
  <c r="P50" i="2"/>
  <c r="Z50" i="2"/>
  <c r="V50" i="2"/>
  <c r="W50" i="2" s="1"/>
  <c r="AB50" i="2"/>
  <c r="R50" i="2"/>
  <c r="Q49" i="2"/>
  <c r="S52" i="2"/>
  <c r="N51" i="2"/>
  <c r="M51" i="2"/>
  <c r="Z51" i="2" l="1"/>
  <c r="R51" i="2"/>
  <c r="T51" i="2"/>
  <c r="AC51" i="2"/>
  <c r="AB51" i="2"/>
  <c r="U51" i="2"/>
  <c r="D68" i="5" s="1"/>
  <c r="X51" i="2"/>
  <c r="Y51" i="2" s="1"/>
  <c r="P51" i="2"/>
  <c r="AA51" i="2"/>
  <c r="E68" i="5" s="1"/>
  <c r="F68" i="5" s="1"/>
  <c r="C68" i="5"/>
  <c r="V51" i="2"/>
  <c r="W51" i="2" s="1"/>
  <c r="N52" i="2"/>
  <c r="S53" i="2"/>
  <c r="M52" i="2"/>
  <c r="Q50" i="2"/>
  <c r="X52" i="2" l="1"/>
  <c r="Y52" i="2" s="1"/>
  <c r="V52" i="2"/>
  <c r="W52" i="2" s="1"/>
  <c r="U52" i="2"/>
  <c r="D69" i="5" s="1"/>
  <c r="C69" i="5"/>
  <c r="R52" i="2"/>
  <c r="T52" i="2"/>
  <c r="AC52" i="2"/>
  <c r="AB52" i="2"/>
  <c r="Z52" i="2"/>
  <c r="AA52" i="2"/>
  <c r="E69" i="5" s="1"/>
  <c r="F69" i="5" s="1"/>
  <c r="P52" i="2"/>
  <c r="N53" i="2"/>
  <c r="M53" i="2"/>
  <c r="Q52" i="2" s="1"/>
  <c r="Q51" i="2"/>
  <c r="P53" i="2" l="1"/>
  <c r="C70" i="5"/>
  <c r="X53" i="2"/>
  <c r="Y53" i="2" s="1"/>
  <c r="Q53" i="2"/>
  <c r="T53" i="2"/>
  <c r="AB53" i="2"/>
  <c r="AB55" i="2" s="1"/>
  <c r="D45" i="1" s="1"/>
  <c r="Z53" i="2"/>
  <c r="U53" i="2"/>
  <c r="D70" i="5" s="1"/>
  <c r="AA53" i="2"/>
  <c r="R53" i="2"/>
  <c r="AC53" i="2"/>
  <c r="V53" i="2"/>
  <c r="W53" i="2" s="1"/>
  <c r="E70" i="5" l="1"/>
  <c r="F70" i="5" s="1"/>
  <c r="AA55" i="2"/>
  <c r="D40" i="1" s="1"/>
  <c r="C38" i="1" s="1"/>
</calcChain>
</file>

<file path=xl/comments1.xml><?xml version="1.0" encoding="utf-8"?>
<comments xmlns="http://schemas.openxmlformats.org/spreadsheetml/2006/main">
  <authors>
    <author>u418778</author>
  </authors>
  <commentList>
    <comment ref="K15" authorId="0" shapeId="0">
      <text>
        <r>
          <rPr>
            <b/>
            <sz val="9"/>
            <color indexed="81"/>
            <rFont val="Tahoma"/>
            <family val="2"/>
          </rPr>
          <t>u418778:</t>
        </r>
        <r>
          <rPr>
            <sz val="9"/>
            <color indexed="81"/>
            <rFont val="Tahoma"/>
            <family val="2"/>
          </rPr>
          <t xml:space="preserve">
Assumes first payment is taken on this date</t>
        </r>
      </text>
    </comment>
    <comment ref="K37" authorId="0" shapeId="0">
      <text>
        <r>
          <rPr>
            <b/>
            <sz val="9"/>
            <color indexed="81"/>
            <rFont val="Tahoma"/>
            <family val="2"/>
          </rPr>
          <t>u418778:</t>
        </r>
        <r>
          <rPr>
            <sz val="9"/>
            <color indexed="81"/>
            <rFont val="Tahoma"/>
            <family val="2"/>
          </rPr>
          <t xml:space="preserve">
31 March before 59th birthday</t>
        </r>
      </text>
    </comment>
    <comment ref="F40" authorId="0" shapeId="0">
      <text>
        <r>
          <rPr>
            <b/>
            <sz val="9"/>
            <color indexed="81"/>
            <rFont val="Tahoma"/>
            <family val="2"/>
          </rPr>
          <t>u418778:</t>
        </r>
        <r>
          <rPr>
            <sz val="9"/>
            <color indexed="81"/>
            <rFont val="Tahoma"/>
            <family val="2"/>
          </rPr>
          <t xml:space="preserve">
latest of scheme start date or age 18</t>
        </r>
      </text>
    </comment>
    <comment ref="F41" authorId="0" shapeId="0">
      <text>
        <r>
          <rPr>
            <b/>
            <sz val="9"/>
            <color indexed="81"/>
            <rFont val="Tahoma"/>
            <family val="2"/>
          </rPr>
          <t>u418778:</t>
        </r>
        <r>
          <rPr>
            <sz val="9"/>
            <color indexed="81"/>
            <rFont val="Tahoma"/>
            <family val="2"/>
          </rPr>
          <t xml:space="preserve">
day before 60th birthday</t>
        </r>
      </text>
    </comment>
  </commentList>
</comments>
</file>

<file path=xl/sharedStrings.xml><?xml version="1.0" encoding="utf-8"?>
<sst xmlns="http://schemas.openxmlformats.org/spreadsheetml/2006/main" count="288" uniqueCount="231">
  <si>
    <t>Member Details</t>
  </si>
  <si>
    <t>Lump Sum Payments</t>
  </si>
  <si>
    <t>How much additional pension will X by me?</t>
  </si>
  <si>
    <t>How much will it cost me to buy X amount of additional pension?</t>
  </si>
  <si>
    <t>P =</t>
  </si>
  <si>
    <t>LS=</t>
  </si>
  <si>
    <t>Amount of lump sum payment</t>
  </si>
  <si>
    <t>x=</t>
  </si>
  <si>
    <t>Members age last birthday on calculation date</t>
  </si>
  <si>
    <t>lump sum factor at age x (table 1:lump sum factors)</t>
  </si>
  <si>
    <r>
      <t>P x F</t>
    </r>
    <r>
      <rPr>
        <vertAlign val="subscript"/>
        <sz val="10"/>
        <color indexed="8"/>
        <rFont val="Arial"/>
        <family val="2"/>
      </rPr>
      <t>x</t>
    </r>
    <r>
      <rPr>
        <sz val="10"/>
        <color theme="1"/>
        <rFont val="Arial"/>
        <family val="2"/>
      </rPr>
      <t xml:space="preserve"> x F</t>
    </r>
    <r>
      <rPr>
        <vertAlign val="subscript"/>
        <sz val="10"/>
        <color indexed="8"/>
        <rFont val="Arial"/>
        <family val="2"/>
      </rPr>
      <t>y</t>
    </r>
    <r>
      <rPr>
        <vertAlign val="superscript"/>
        <sz val="10"/>
        <color indexed="8"/>
        <rFont val="Arial"/>
        <family val="2"/>
      </rPr>
      <t>Reval</t>
    </r>
  </si>
  <si>
    <r>
      <t>F</t>
    </r>
    <r>
      <rPr>
        <vertAlign val="subscript"/>
        <sz val="10"/>
        <color indexed="8"/>
        <rFont val="Arial"/>
        <family val="2"/>
      </rPr>
      <t>x</t>
    </r>
    <r>
      <rPr>
        <sz val="10"/>
        <color theme="1"/>
        <rFont val="Arial"/>
        <family val="2"/>
      </rPr>
      <t xml:space="preserve">= </t>
    </r>
  </si>
  <si>
    <r>
      <t>F</t>
    </r>
    <r>
      <rPr>
        <vertAlign val="subscript"/>
        <sz val="10"/>
        <color indexed="8"/>
        <rFont val="Arial"/>
        <family val="2"/>
      </rPr>
      <t>y</t>
    </r>
    <r>
      <rPr>
        <vertAlign val="superscript"/>
        <sz val="10"/>
        <color indexed="8"/>
        <rFont val="Arial"/>
        <family val="2"/>
      </rPr>
      <t>Reval</t>
    </r>
    <r>
      <rPr>
        <sz val="10"/>
        <color theme="1"/>
        <rFont val="Arial"/>
        <family val="2"/>
      </rPr>
      <t>=</t>
    </r>
  </si>
  <si>
    <t xml:space="preserve">P= </t>
  </si>
  <si>
    <t>amount of additional pension purchased</t>
  </si>
  <si>
    <t>p=</t>
  </si>
  <si>
    <t>Normal retirement date</t>
  </si>
  <si>
    <t>Next scheme year starts</t>
  </si>
  <si>
    <t>31 March that yr</t>
  </si>
  <si>
    <t>31 March before NPA</t>
  </si>
  <si>
    <t>Calculating complete scheme years between calc date and NPA</t>
  </si>
  <si>
    <t>Government Actuary's Department</t>
  </si>
  <si>
    <t>GAD Guidance : Firefighters' Pension Scheme (Scotland) 2015 - Purchase of Additional Pension</t>
  </si>
  <si>
    <t>Table 1: Added Pension Lump Sum Factors</t>
  </si>
  <si>
    <t>Table 2: Added Pension Revaluation factor</t>
  </si>
  <si>
    <t>Males and Females</t>
  </si>
  <si>
    <t>2015 Scheme</t>
  </si>
  <si>
    <t>Age last birthday on relevant date</t>
  </si>
  <si>
    <t>Lump Sum factor</t>
  </si>
  <si>
    <t>Number of Complete Scheme Years before NRA</t>
  </si>
  <si>
    <t>Revaluation Factor</t>
  </si>
  <si>
    <t>(1)</t>
  </si>
  <si>
    <t>(2)</t>
  </si>
  <si>
    <t>=</t>
  </si>
  <si>
    <t>LS =</t>
  </si>
  <si>
    <t>Periodic Payments</t>
  </si>
  <si>
    <t>Start date of periodic payments</t>
  </si>
  <si>
    <t>Lump Sum</t>
  </si>
  <si>
    <t>DOB</t>
  </si>
  <si>
    <t>End of scheme year</t>
  </si>
  <si>
    <t>x = Age at calculation date</t>
  </si>
  <si>
    <t>y = Number of complete scheme year between calculation date and NPA</t>
  </si>
  <si>
    <t>Contributions end date</t>
  </si>
  <si>
    <t>C=</t>
  </si>
  <si>
    <t>Total amount of periodic contributions over scheme year</t>
  </si>
  <si>
    <t>Adj=</t>
  </si>
  <si>
    <t>1.025 (equivilent to an addition of half a years interest on contributions payable throughout the scheme year</t>
  </si>
  <si>
    <t>members age last birthday at end of scheme year</t>
  </si>
  <si>
    <t>P=</t>
  </si>
  <si>
    <t>amount of AP purchased</t>
  </si>
  <si>
    <t>Buying X AP will cost contribution of…</t>
  </si>
  <si>
    <t>Level contributions of X buy this much AP…</t>
  </si>
  <si>
    <t>I will need to pay a lump sum of</t>
  </si>
  <si>
    <t>Calculation</t>
  </si>
  <si>
    <t>Calculation:</t>
  </si>
  <si>
    <t xml:space="preserve">Regular Contributions  </t>
  </si>
  <si>
    <t>NPA</t>
  </si>
  <si>
    <t>Y=</t>
  </si>
  <si>
    <t>Number of subsequent scheme years up to NPA</t>
  </si>
  <si>
    <t>Relevent revaluation factor for member with y complete scheme years between calc date and up to and including NPA (table 2:added pension reval factors)</t>
  </si>
  <si>
    <t>Relevant revaluation factor for a member with y complete scheme years between calc date and up to and including NPA (table 2:added pension reval factors)</t>
  </si>
  <si>
    <t>Results</t>
  </si>
  <si>
    <t xml:space="preserve"> =</t>
  </si>
  <si>
    <t>Monthly Contributions =</t>
  </si>
  <si>
    <t>G</t>
  </si>
  <si>
    <t xml:space="preserve">What would you like to quote for? </t>
  </si>
  <si>
    <t>What level of monthly contributions would you like to pay?</t>
  </si>
  <si>
    <t>Latest contributions end date</t>
  </si>
  <si>
    <t>Current age</t>
  </si>
  <si>
    <t>Latest start date</t>
  </si>
  <si>
    <t>Lump sum payment amount</t>
  </si>
  <si>
    <t xml:space="preserve"> Relevant factor F(x) =</t>
  </si>
  <si>
    <t>Age at calculation date (X) =</t>
  </si>
  <si>
    <t xml:space="preserve"> Number of complete scheme year between calculation date and NPA (y) = </t>
  </si>
  <si>
    <t xml:space="preserve"> Lump sum payment amount (LS) =</t>
  </si>
  <si>
    <t>Number of subsequent scheme years up to NPA (y) =</t>
  </si>
  <si>
    <t>Monthly Payments =</t>
  </si>
  <si>
    <t>Start date of periodic payments (if blank, will use today's date)</t>
  </si>
  <si>
    <t xml:space="preserve">Date of Birth </t>
  </si>
  <si>
    <t>Earliest calc date allowed</t>
  </si>
  <si>
    <t>Latest calc date allowed</t>
  </si>
  <si>
    <t>Lump Sum data limits</t>
  </si>
  <si>
    <t>today</t>
  </si>
  <si>
    <t>Date members is 18</t>
  </si>
  <si>
    <t>Scheme start date</t>
  </si>
  <si>
    <t>Date of birth</t>
  </si>
  <si>
    <t>10 years from today</t>
  </si>
  <si>
    <t>Calculation date (today if blank)</t>
  </si>
  <si>
    <t>Day before member is 60</t>
  </si>
  <si>
    <t>Earliest contribution end date</t>
  </si>
  <si>
    <t>Earliest start date allowed</t>
  </si>
  <si>
    <t>Latest start date allowed</t>
  </si>
  <si>
    <t>Monthly contributions data limits</t>
  </si>
  <si>
    <t>Maximum payment</t>
  </si>
  <si>
    <t>Contribution period</t>
  </si>
  <si>
    <t>Amount added to balance</t>
  </si>
  <si>
    <t>Number of payments in year</t>
  </si>
  <si>
    <t>Monthly contribution amount</t>
  </si>
  <si>
    <t>Monthly contribution amount required</t>
  </si>
  <si>
    <t>Total AP balance</t>
  </si>
  <si>
    <t xml:space="preserve">NPA </t>
  </si>
  <si>
    <t xml:space="preserve">Calculation date (if blank, will use today's date) </t>
  </si>
  <si>
    <t>1 April before NPA</t>
  </si>
  <si>
    <t>Earliest DOB</t>
  </si>
  <si>
    <t>Latest DOB</t>
  </si>
  <si>
    <t>Earliest calc date</t>
  </si>
  <si>
    <t>Latest calc date</t>
  </si>
  <si>
    <t>Maximum AP</t>
  </si>
  <si>
    <t>Minimum paymeent</t>
  </si>
  <si>
    <t>Minimum AP</t>
  </si>
  <si>
    <t>Earliest start date</t>
  </si>
  <si>
    <t>Earliest end date</t>
  </si>
  <si>
    <t>latest end date</t>
  </si>
  <si>
    <t>Smallest contribution</t>
  </si>
  <si>
    <t>Largest contribution</t>
  </si>
  <si>
    <t>Start of scheme year</t>
  </si>
  <si>
    <t>Year 1 X=</t>
  </si>
  <si>
    <t>Last payment month (apr=4)</t>
  </si>
  <si>
    <t>Last payment month (apr=1)</t>
  </si>
  <si>
    <t>Year</t>
  </si>
  <si>
    <t>First payment month (April = 4)</t>
  </si>
  <si>
    <t>First payment month (April = 1)</t>
  </si>
  <si>
    <t>Last payment month (march = 3)</t>
  </si>
  <si>
    <t>Last payment month (march = 12)</t>
  </si>
  <si>
    <t>No of monthly payments</t>
  </si>
  <si>
    <t>x</t>
  </si>
  <si>
    <t>C = Payments over scheme year</t>
  </si>
  <si>
    <t>y</t>
  </si>
  <si>
    <t>P=amount of AP purchased</t>
  </si>
  <si>
    <t>Member data</t>
  </si>
  <si>
    <r>
      <t>F</t>
    </r>
    <r>
      <rPr>
        <b/>
        <vertAlign val="subscript"/>
        <sz val="10"/>
        <color indexed="8"/>
        <rFont val="Arial"/>
        <family val="2"/>
      </rPr>
      <t>x</t>
    </r>
  </si>
  <si>
    <r>
      <t>F</t>
    </r>
    <r>
      <rPr>
        <b/>
        <vertAlign val="subscript"/>
        <sz val="10"/>
        <color indexed="8"/>
        <rFont val="Arial"/>
        <family val="2"/>
      </rPr>
      <t>y</t>
    </r>
    <r>
      <rPr>
        <b/>
        <vertAlign val="superscript"/>
        <sz val="10"/>
        <color indexed="8"/>
        <rFont val="Arial"/>
        <family val="2"/>
      </rPr>
      <t>Reval</t>
    </r>
  </si>
  <si>
    <t>Total contributions for first year (C) =</t>
  </si>
  <si>
    <t>Age at contribution end of start date scheme year (X) =</t>
  </si>
  <si>
    <r>
      <t>(1.025 x C)/(F</t>
    </r>
    <r>
      <rPr>
        <vertAlign val="subscript"/>
        <sz val="10"/>
        <color indexed="8"/>
        <rFont val="Arial"/>
        <family val="2"/>
      </rPr>
      <t>x</t>
    </r>
    <r>
      <rPr>
        <sz val="10"/>
        <color theme="1"/>
        <rFont val="Arial"/>
        <family val="2"/>
      </rPr>
      <t xml:space="preserve"> x F</t>
    </r>
    <r>
      <rPr>
        <vertAlign val="subscript"/>
        <sz val="10"/>
        <color indexed="8"/>
        <rFont val="Arial"/>
        <family val="2"/>
      </rPr>
      <t>y</t>
    </r>
    <r>
      <rPr>
        <vertAlign val="superscript"/>
        <sz val="10"/>
        <color indexed="8"/>
        <rFont val="Arial"/>
        <family val="2"/>
      </rPr>
      <t>Reval</t>
    </r>
    <r>
      <rPr>
        <sz val="10"/>
        <color theme="1"/>
        <rFont val="Arial"/>
        <family val="2"/>
      </rPr>
      <t>)</t>
    </r>
  </si>
  <si>
    <t>Number of payments within the first scheme year =</t>
  </si>
  <si>
    <r>
      <t xml:space="preserve"> Relevant factor (F</t>
    </r>
    <r>
      <rPr>
        <vertAlign val="subscript"/>
        <sz val="10"/>
        <color indexed="8"/>
        <rFont val="Arial"/>
        <family val="2"/>
      </rPr>
      <t>x</t>
    </r>
    <r>
      <rPr>
        <sz val="10"/>
        <color theme="1"/>
        <rFont val="Arial"/>
        <family val="2"/>
      </rPr>
      <t>) =</t>
    </r>
  </si>
  <si>
    <t>Signed</t>
  </si>
  <si>
    <t>Date</t>
  </si>
  <si>
    <t>Surname</t>
  </si>
  <si>
    <t>Former Surname (if applicable)</t>
  </si>
  <si>
    <t>Forenames (in full)</t>
  </si>
  <si>
    <t>Contact Address</t>
  </si>
  <si>
    <t>Postcode</t>
  </si>
  <si>
    <t>Home telephone number</t>
  </si>
  <si>
    <t>Mobile telephone number</t>
  </si>
  <si>
    <t>Email address</t>
  </si>
  <si>
    <t>National insurance number</t>
  </si>
  <si>
    <t>Gender</t>
  </si>
  <si>
    <t>Current employer</t>
  </si>
  <si>
    <t>SECTION 1 - PERSONAL DETAILS</t>
  </si>
  <si>
    <t>National Insurance No</t>
  </si>
  <si>
    <t>Former surname (if applicable)</t>
  </si>
  <si>
    <t>Title</t>
  </si>
  <si>
    <t>If other, please specify</t>
  </si>
  <si>
    <t>Home telephone number (including STD code)</t>
  </si>
  <si>
    <t>SECTION 2 - OPTIONS</t>
  </si>
  <si>
    <t>By single payment of:</t>
  </si>
  <si>
    <t>From</t>
  </si>
  <si>
    <t>To</t>
  </si>
  <si>
    <t>Name of employer</t>
  </si>
  <si>
    <t>Pay reference Number</t>
  </si>
  <si>
    <t>SECTION 3 - DECLARATION</t>
  </si>
  <si>
    <t>/</t>
  </si>
  <si>
    <t>Male</t>
  </si>
  <si>
    <t>Female</t>
  </si>
  <si>
    <t>Mr</t>
  </si>
  <si>
    <t>Dr</t>
  </si>
  <si>
    <t>Ms</t>
  </si>
  <si>
    <t>Mrs</t>
  </si>
  <si>
    <t>Miss</t>
  </si>
  <si>
    <t>Other</t>
  </si>
  <si>
    <t>Please specify</t>
  </si>
  <si>
    <t>You may only pay by lump sum within the first 12 months from joining the scheme.</t>
  </si>
  <si>
    <t>Option 1 - Lump Sum Payment</t>
  </si>
  <si>
    <t>Contributions must start at least 2 years before you Normal Pension Age.</t>
  </si>
  <si>
    <t>I wish to purchase added pension of:</t>
  </si>
  <si>
    <t>APPLICATION FORM FOR ADDED PENSION</t>
  </si>
  <si>
    <t>Over the contribution period this much will be added to the added pension balance</t>
  </si>
  <si>
    <t>Fire 2015 Added Pension Benefit Cost Calculator</t>
  </si>
  <si>
    <t>Amount of added pension to be purchased (P) =</t>
  </si>
  <si>
    <t>Total added pension balance at the end of the contribution period:</t>
  </si>
  <si>
    <t>Amount added pension balance to increase by each year</t>
  </si>
  <si>
    <t>Amount of added pension purchased (P) =</t>
  </si>
  <si>
    <t>How much would you like to add to your added pension balance each year?</t>
  </si>
  <si>
    <t>Added Pension (AP) guidance notes</t>
  </si>
  <si>
    <t>Total added pension pa added to balance:-</t>
  </si>
  <si>
    <t>Option 2 - Monthly Contributions</t>
  </si>
  <si>
    <r>
      <rPr>
        <u/>
        <sz val="10"/>
        <color indexed="8"/>
        <rFont val="Arial"/>
        <family val="2"/>
      </rPr>
      <t>Disclaimer:</t>
    </r>
    <r>
      <rPr>
        <sz val="10"/>
        <color theme="1"/>
        <rFont val="Arial"/>
        <family val="2"/>
      </rPr>
      <t xml:space="preserve">
This calculation is intended for illustration purposes only. This is not a statement of you legal entitlement. While every care has been taken in the preparation of this calculator the Scottish Public Pension Agency will accept no responsibility for the accuracy of the information it provides.
Please refer to pages on the SPPA website for points of contact and other benefits available.</t>
    </r>
  </si>
  <si>
    <t>First year calculation</t>
  </si>
  <si>
    <t>Maximum lump sum payment</t>
  </si>
  <si>
    <t>Calculation for the first scheme year of contributions</t>
  </si>
  <si>
    <t>(P x Fx x FyReval)/(number of monthly conts x 1.025)</t>
  </si>
  <si>
    <t>Note:
This calculator can provide an estimate, at todays prices, up to your normal pension date. However please note that amounts will be calculated each year and the factors may change in the future affecting the accuracy of the estimate. 
Your added pension balance will be revalued annually to maintain it's purchasing power. If you retire before Normal Pension Age then your added pension purchase (as well as your pension) will be subject to early retirement factors.</t>
  </si>
  <si>
    <t>Earliest DOB (60 years ago tomorrow)</t>
  </si>
  <si>
    <t>latest DOB (18 years ago today)</t>
  </si>
  <si>
    <t>Today</t>
  </si>
  <si>
    <t>Data limits</t>
  </si>
  <si>
    <t>Drop down lists</t>
  </si>
  <si>
    <t>Definitions</t>
  </si>
  <si>
    <t>18th birthday</t>
  </si>
  <si>
    <r>
      <t>LS/(F</t>
    </r>
    <r>
      <rPr>
        <vertAlign val="subscript"/>
        <sz val="10"/>
        <color indexed="8"/>
        <rFont val="Arial"/>
        <family val="2"/>
      </rPr>
      <t>x</t>
    </r>
    <r>
      <rPr>
        <sz val="10"/>
        <color theme="1"/>
        <rFont val="Arial"/>
        <family val="2"/>
      </rPr>
      <t xml:space="preserve"> x F</t>
    </r>
    <r>
      <rPr>
        <vertAlign val="subscript"/>
        <sz val="10"/>
        <color indexed="8"/>
        <rFont val="Arial"/>
        <family val="2"/>
      </rPr>
      <t>y</t>
    </r>
    <r>
      <rPr>
        <vertAlign val="superscript"/>
        <sz val="10"/>
        <color indexed="8"/>
        <rFont val="Arial"/>
        <family val="2"/>
      </rPr>
      <t>Reval</t>
    </r>
    <r>
      <rPr>
        <sz val="10"/>
        <color indexed="8"/>
        <rFont val="Arial"/>
        <family val="2"/>
      </rPr>
      <t>)</t>
    </r>
  </si>
  <si>
    <t>Added pension purchased (P) =</t>
  </si>
  <si>
    <t>Last payment date</t>
  </si>
  <si>
    <t>regular conts factor at age x (table 1:lump sum factors)</t>
  </si>
  <si>
    <r>
      <t>MP=(P x F</t>
    </r>
    <r>
      <rPr>
        <vertAlign val="subscript"/>
        <sz val="10"/>
        <color indexed="8"/>
        <rFont val="Arial"/>
        <family val="2"/>
      </rPr>
      <t>x</t>
    </r>
    <r>
      <rPr>
        <sz val="10"/>
        <color theme="1"/>
        <rFont val="Arial"/>
        <family val="2"/>
      </rPr>
      <t xml:space="preserve"> x F</t>
    </r>
    <r>
      <rPr>
        <vertAlign val="subscript"/>
        <sz val="10"/>
        <color indexed="8"/>
        <rFont val="Arial"/>
        <family val="2"/>
      </rPr>
      <t>y</t>
    </r>
    <r>
      <rPr>
        <vertAlign val="superscript"/>
        <sz val="10"/>
        <color indexed="8"/>
        <rFont val="Arial"/>
        <family val="2"/>
      </rPr>
      <t>Reval</t>
    </r>
    <r>
      <rPr>
        <sz val="10"/>
        <color theme="1"/>
        <rFont val="Arial"/>
        <family val="2"/>
      </rPr>
      <t>)/(number of monthly conts x 1.025)</t>
    </r>
  </si>
  <si>
    <t xml:space="preserve">Contributions required for this much AP </t>
  </si>
  <si>
    <r>
      <rPr>
        <b/>
        <sz val="10"/>
        <color indexed="8"/>
        <rFont val="Arial"/>
        <family val="2"/>
      </rPr>
      <t>.</t>
    </r>
    <r>
      <rPr>
        <sz val="10"/>
        <color theme="1"/>
        <rFont val="Arial"/>
        <family val="2"/>
      </rPr>
      <t xml:space="preserve"> P=(1.025x xC)/(F</t>
    </r>
    <r>
      <rPr>
        <vertAlign val="subscript"/>
        <sz val="10"/>
        <color indexed="8"/>
        <rFont val="Arial"/>
        <family val="2"/>
      </rPr>
      <t>x</t>
    </r>
    <r>
      <rPr>
        <sz val="10"/>
        <color theme="1"/>
        <rFont val="Arial"/>
        <family val="2"/>
      </rPr>
      <t xml:space="preserve"> x F</t>
    </r>
    <r>
      <rPr>
        <vertAlign val="subscript"/>
        <sz val="10"/>
        <color indexed="8"/>
        <rFont val="Arial"/>
        <family val="2"/>
      </rPr>
      <t>y</t>
    </r>
    <r>
      <rPr>
        <vertAlign val="superscript"/>
        <sz val="10"/>
        <color indexed="8"/>
        <rFont val="Arial"/>
        <family val="2"/>
      </rPr>
      <t>Reval</t>
    </r>
    <r>
      <rPr>
        <sz val="10"/>
        <color theme="1"/>
        <rFont val="Arial"/>
        <family val="2"/>
      </rPr>
      <t>)</t>
    </r>
  </si>
  <si>
    <t>Level contributions</t>
  </si>
  <si>
    <t>Calculation date:</t>
  </si>
  <si>
    <t>Payment must be received within 1 month of the stated calculation date for the estimate to be valid.</t>
  </si>
  <si>
    <t>Rev</t>
  </si>
  <si>
    <r>
      <t xml:space="preserve"> Relevant revaluation factor (F</t>
    </r>
    <r>
      <rPr>
        <vertAlign val="subscript"/>
        <sz val="10"/>
        <color indexed="8"/>
        <rFont val="Arial"/>
        <family val="2"/>
      </rPr>
      <t>y</t>
    </r>
    <r>
      <rPr>
        <vertAlign val="superscript"/>
        <sz val="10"/>
        <color indexed="8"/>
        <rFont val="Arial"/>
        <family val="2"/>
      </rPr>
      <t>Reval</t>
    </r>
    <r>
      <rPr>
        <sz val="10"/>
        <color theme="1"/>
        <rFont val="Arial"/>
        <family val="2"/>
      </rPr>
      <t>) =</t>
    </r>
  </si>
  <si>
    <t>Illustration of added pension benefit cost</t>
  </si>
  <si>
    <r>
      <t xml:space="preserve"> Relevant revaluation factor (F</t>
    </r>
    <r>
      <rPr>
        <vertAlign val="subscript"/>
        <sz val="10"/>
        <color indexed="8"/>
        <rFont val="Arial"/>
        <family val="2"/>
      </rPr>
      <t>y</t>
    </r>
    <r>
      <rPr>
        <sz val="10"/>
        <color theme="1"/>
        <rFont val="Arial"/>
        <family val="2"/>
      </rPr>
      <t xml:space="preserve"> </t>
    </r>
    <r>
      <rPr>
        <vertAlign val="superscript"/>
        <sz val="10"/>
        <color indexed="8"/>
        <rFont val="Arial"/>
        <family val="2"/>
      </rPr>
      <t>Reval</t>
    </r>
    <r>
      <rPr>
        <sz val="10"/>
        <color theme="1"/>
        <rFont val="Arial"/>
        <family val="2"/>
      </rPr>
      <t>) =</t>
    </r>
  </si>
  <si>
    <t xml:space="preserve">Retirement date (Normal Pension Age NPA=60) </t>
  </si>
  <si>
    <r>
      <t xml:space="preserve"> Relevant revaluation factor F(</t>
    </r>
    <r>
      <rPr>
        <vertAlign val="subscript"/>
        <sz val="10"/>
        <color indexed="8"/>
        <rFont val="Arial"/>
        <family val="2"/>
      </rPr>
      <t>y</t>
    </r>
    <r>
      <rPr>
        <vertAlign val="superscript"/>
        <sz val="10"/>
        <color indexed="8"/>
        <rFont val="Arial"/>
        <family val="2"/>
      </rPr>
      <t>Reval</t>
    </r>
    <r>
      <rPr>
        <sz val="10"/>
        <color theme="1"/>
        <rFont val="Arial"/>
        <family val="2"/>
      </rPr>
      <t>) =</t>
    </r>
  </si>
  <si>
    <r>
      <t>P x F</t>
    </r>
    <r>
      <rPr>
        <vertAlign val="subscript"/>
        <sz val="10"/>
        <color indexed="8"/>
        <rFont val="Arial"/>
        <family val="2"/>
      </rPr>
      <t>x</t>
    </r>
    <r>
      <rPr>
        <sz val="10"/>
        <color theme="1"/>
        <rFont val="Arial"/>
        <family val="2"/>
      </rPr>
      <t xml:space="preserve"> x F</t>
    </r>
    <r>
      <rPr>
        <vertAlign val="subscript"/>
        <sz val="10"/>
        <color indexed="8"/>
        <rFont val="Arial"/>
        <family val="2"/>
      </rPr>
      <t>y</t>
    </r>
    <r>
      <rPr>
        <vertAlign val="superscript"/>
        <sz val="10"/>
        <color indexed="8"/>
        <rFont val="Arial"/>
        <family val="2"/>
      </rPr>
      <t>Reval</t>
    </r>
  </si>
  <si>
    <t xml:space="preserve">How would you like to pay for your added pension? </t>
  </si>
  <si>
    <t>There are two ways you can pay for AP. You can pay by having regular deductions taken from your monthly salary or by paying a one off lump sum. Your added pension balance will be revalued annually to maintain its purchasing power. If you retire before Normal Pension Age then your added pension purchase (as well as your pension) will be subject to early retirement factors. The added pension includes a 50% survivors benefit in the event of your death.</t>
  </si>
  <si>
    <t>It will buy me this much added pension</t>
  </si>
  <si>
    <t xml:space="preserve">If I want to buy this much added pension </t>
  </si>
  <si>
    <t>Please return the completed form to: Police and Fire Team, SPPA , 7 Tweedside Park, Tweedbank, Galashiels, TD1 3TE along with the estimate. Please DO NOT send payment at this time.</t>
  </si>
  <si>
    <t>Please return the completed form to: Police and Fire Team, SPPA , 7 Tweedside Park, Tweedbank, Galashiels, TD1 3TE along with the estimate. The SPPA will review the application and then contact your Payroll team to arrange payment of additional contributions.</t>
  </si>
  <si>
    <t>I wish to pay the monthly instalments shown in the attached schedule. I understand that if</t>
  </si>
  <si>
    <t>the application is processed after this start date my monthly contributions or final Additional</t>
  </si>
  <si>
    <t>Pension amount will be adjusted.</t>
  </si>
  <si>
    <r>
      <rPr>
        <b/>
        <sz val="10"/>
        <color indexed="8"/>
        <rFont val="Arial"/>
        <family val="2"/>
      </rPr>
      <t>Paying by Lump Sum</t>
    </r>
    <r>
      <rPr>
        <sz val="10"/>
        <color theme="1"/>
        <rFont val="Arial"/>
        <family val="2"/>
      </rPr>
      <t xml:space="preserve">
If paying by lump sum, you have the following options:
     • buy an amount of added pension and we will determine the lump sum cost required
     • pay a specific lump sum and we will determine how much added pension that will buy
An election to pay added pension by a lump sum payment may only be made if the member gives notice to the scheme manager not later than 12 months after the date on which the person last became employed by the authority as a firefighter.</t>
    </r>
  </si>
  <si>
    <r>
      <rPr>
        <b/>
        <sz val="10"/>
        <color indexed="8"/>
        <rFont val="Arial"/>
        <family val="2"/>
      </rPr>
      <t>Paying by Regular Contributions</t>
    </r>
    <r>
      <rPr>
        <sz val="10"/>
        <color theme="1"/>
        <rFont val="Arial"/>
        <family val="2"/>
      </rPr>
      <t xml:space="preserve">
If paying by regular contributions, you have the following options:
     • pay a specific amount of contributions from the election date to the end of the scheme year and we will determine how 
       much added pension that will buy 
     • buy a specific amount of AP and we will determine the contribution required from the election date to the end of the
       scheme year
An election to pay added pension payments by periodical payments may only be made at least two years before  normal pension age and cannot be made once the scheme manager has agreed that the member will leave the scheme with entitlement to a pension or an ill health pension.
This calculator can provide an estimate, at today's prices, up to your normal pension date. However please note that amounts will be calculated each year and the factors may change in the future affecting the accuracy of the estimate. </t>
    </r>
  </si>
  <si>
    <r>
      <rPr>
        <u/>
        <sz val="10"/>
        <color indexed="8"/>
        <rFont val="Arial"/>
        <family val="2"/>
      </rPr>
      <t>Using the calculator</t>
    </r>
    <r>
      <rPr>
        <sz val="10"/>
        <color theme="1"/>
        <rFont val="Arial"/>
        <family val="2"/>
      </rPr>
      <t xml:space="preserve">
You must be a contributing member of the Firefighters’ Pension Scheme (Scotland) 2015.
AP benefits will be paid with your scheme retirement benefits and will be index linked.
The cost of purchasing AP depends on your age, your Normal Pension Age (NPA) and the amount of AP you wish to receive.
</t>
    </r>
    <r>
      <rPr>
        <sz val="10"/>
        <rFont val="Arial"/>
        <family val="2"/>
      </rPr>
      <t xml:space="preserve">Currently the maximum AP allowed is £6500, however this is subject to change and will be reviewed annually. </t>
    </r>
  </si>
  <si>
    <r>
      <rPr>
        <u/>
        <sz val="10"/>
        <color indexed="8"/>
        <rFont val="Arial"/>
        <family val="2"/>
      </rPr>
      <t>Limitations</t>
    </r>
    <r>
      <rPr>
        <sz val="10"/>
        <color theme="1"/>
        <rFont val="Arial"/>
        <family val="2"/>
      </rPr>
      <t xml:space="preserve">
This calculator can provide an estimate, at todays prices, up to your retirement date. However please note that amounts will be calculated each year and the factors may change in the future affecting the accuracy of the estimate.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</si>
</sst>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dd/mm/yyyy;@"/>
    <numFmt numFmtId="165" formatCode="&quot;£&quot;#,##0.00"/>
    <numFmt numFmtId="166" formatCode="&quot;£&quot;#,##0"/>
  </numFmts>
  <fonts count="39" x14ac:knownFonts="1">
    <font>
      <sz val="10"/>
      <color theme="1"/>
      <name val="Arial"/>
      <family val="2"/>
    </font>
    <font>
      <sz val="10"/>
      <color indexed="8"/>
      <name val="Arial"/>
      <family val="2"/>
    </font>
    <font>
      <sz val="10"/>
      <name val="Arial"/>
      <family val="2"/>
    </font>
    <font>
      <sz val="9"/>
      <name val="Arial"/>
      <family val="2"/>
    </font>
    <font>
      <sz val="11"/>
      <name val="Arial"/>
      <family val="2"/>
    </font>
    <font>
      <vertAlign val="subscript"/>
      <sz val="10"/>
      <color indexed="8"/>
      <name val="Arial"/>
      <family val="2"/>
    </font>
    <font>
      <vertAlign val="superscript"/>
      <sz val="10"/>
      <color indexed="8"/>
      <name val="Arial"/>
      <family val="2"/>
    </font>
    <font>
      <u/>
      <sz val="10"/>
      <color indexed="8"/>
      <name val="Arial"/>
      <family val="2"/>
    </font>
    <font>
      <sz val="9"/>
      <color indexed="81"/>
      <name val="Tahoma"/>
      <family val="2"/>
    </font>
    <font>
      <b/>
      <sz val="9"/>
      <color indexed="81"/>
      <name val="Tahoma"/>
      <family val="2"/>
    </font>
    <font>
      <b/>
      <sz val="10"/>
      <color indexed="8"/>
      <name val="Arial"/>
      <family val="2"/>
    </font>
    <font>
      <b/>
      <vertAlign val="subscript"/>
      <sz val="10"/>
      <color indexed="8"/>
      <name val="Arial"/>
      <family val="2"/>
    </font>
    <font>
      <b/>
      <vertAlign val="superscript"/>
      <sz val="10"/>
      <color indexed="8"/>
      <name val="Arial"/>
      <family val="2"/>
    </font>
    <font>
      <sz val="10"/>
      <name val="Arial"/>
      <family val="2"/>
    </font>
    <font>
      <b/>
      <sz val="12"/>
      <name val="Arial"/>
      <family val="2"/>
    </font>
    <font>
      <sz val="12"/>
      <name val="Arial"/>
      <family val="2"/>
    </font>
    <font>
      <b/>
      <u/>
      <sz val="12"/>
      <name val="Arial"/>
      <family val="2"/>
    </font>
    <font>
      <u/>
      <sz val="12"/>
      <name val="Arial"/>
      <family val="2"/>
    </font>
    <font>
      <sz val="10"/>
      <color theme="1"/>
      <name val="Arial"/>
      <family val="2"/>
    </font>
    <font>
      <sz val="10"/>
      <color theme="0"/>
      <name val="Arial"/>
      <family val="2"/>
    </font>
    <font>
      <sz val="11"/>
      <color theme="1"/>
      <name val="Calibri"/>
      <family val="2"/>
      <scheme val="minor"/>
    </font>
    <font>
      <u/>
      <sz val="10"/>
      <color theme="10"/>
      <name val="Arial"/>
      <family val="2"/>
    </font>
    <font>
      <b/>
      <sz val="10"/>
      <color theme="1"/>
      <name val="Arial"/>
      <family val="2"/>
    </font>
    <font>
      <sz val="10"/>
      <color rgb="FFFF0000"/>
      <name val="Arial"/>
      <family val="2"/>
    </font>
    <font>
      <b/>
      <sz val="11"/>
      <color theme="1"/>
      <name val="Arial"/>
      <family val="2"/>
    </font>
    <font>
      <sz val="11"/>
      <color theme="1"/>
      <name val="Arial"/>
      <family val="2"/>
    </font>
    <font>
      <b/>
      <sz val="16"/>
      <color theme="1"/>
      <name val="Arial"/>
      <family val="2"/>
    </font>
    <font>
      <b/>
      <sz val="12"/>
      <color theme="1"/>
      <name val="Arial"/>
      <family val="2"/>
    </font>
    <font>
      <b/>
      <u/>
      <sz val="14"/>
      <color theme="1"/>
      <name val="Arial"/>
      <family val="2"/>
    </font>
    <font>
      <sz val="10"/>
      <color rgb="FFC00000"/>
      <name val="Arial"/>
      <family val="2"/>
    </font>
    <font>
      <sz val="10"/>
      <color rgb="FF574123"/>
      <name val="Tahoma"/>
      <family val="2"/>
    </font>
    <font>
      <sz val="12"/>
      <color theme="1"/>
      <name val="Arial"/>
      <family val="2"/>
    </font>
    <font>
      <sz val="10"/>
      <color theme="0" tint="-4.9989318521683403E-2"/>
      <name val="Arial"/>
      <family val="2"/>
    </font>
    <font>
      <b/>
      <sz val="18"/>
      <color rgb="FF002060"/>
      <name val="Arial"/>
      <family val="2"/>
    </font>
    <font>
      <b/>
      <sz val="14"/>
      <color theme="1"/>
      <name val="Arial"/>
      <family val="2"/>
    </font>
    <font>
      <b/>
      <sz val="11"/>
      <color rgb="FFFF0000"/>
      <name val="Arial"/>
      <family val="2"/>
    </font>
    <font>
      <b/>
      <sz val="10"/>
      <color rgb="FFFF0000"/>
      <name val="Arial"/>
      <family val="2"/>
    </font>
    <font>
      <sz val="8"/>
      <color theme="1"/>
      <name val="Arial"/>
      <family val="2"/>
    </font>
    <font>
      <sz val="10"/>
      <color rgb="FF000000"/>
      <name val="Arial"/>
      <family val="2"/>
    </font>
  </fonts>
  <fills count="14">
    <fill>
      <patternFill patternType="none"/>
    </fill>
    <fill>
      <patternFill patternType="gray125"/>
    </fill>
    <fill>
      <patternFill patternType="solid">
        <fgColor theme="0"/>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bgColor indexed="64"/>
      </patternFill>
    </fill>
    <fill>
      <patternFill patternType="solid">
        <fgColor rgb="FF80000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00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thick">
        <color indexed="64"/>
      </bottom>
      <diagonal/>
    </border>
    <border>
      <left/>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right/>
      <top style="thin">
        <color indexed="64"/>
      </top>
      <bottom/>
      <diagonal/>
    </border>
    <border>
      <left/>
      <right/>
      <top/>
      <bottom style="thin">
        <color indexed="64"/>
      </bottom>
      <diagonal/>
    </border>
    <border>
      <left style="thick">
        <color indexed="64"/>
      </left>
      <right style="thick">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bottom/>
      <diagonal/>
    </border>
    <border>
      <left/>
      <right/>
      <top style="thin">
        <color theme="0" tint="-4.9989318521683403E-2"/>
      </top>
      <bottom/>
      <diagonal/>
    </border>
    <border>
      <left/>
      <right/>
      <top/>
      <bottom style="thin">
        <color theme="0" tint="-4.9989318521683403E-2"/>
      </bottom>
      <diagonal/>
    </border>
    <border>
      <left/>
      <right/>
      <top style="thin">
        <color theme="0" tint="-4.9989318521683403E-2"/>
      </top>
      <bottom style="thin">
        <color theme="0" tint="-4.9989318521683403E-2"/>
      </bottom>
      <diagonal/>
    </border>
  </borders>
  <cellStyleXfs count="9">
    <xf numFmtId="0" fontId="0" fillId="0" borderId="0"/>
    <xf numFmtId="43" fontId="2" fillId="0" borderId="0" applyFont="0" applyFill="0" applyBorder="0" applyAlignment="0" applyProtection="0"/>
    <xf numFmtId="43" fontId="20" fillId="0" borderId="0" applyFont="0" applyFill="0" applyBorder="0" applyAlignment="0" applyProtection="0"/>
    <xf numFmtId="0" fontId="21" fillId="0" borderId="0" applyNumberFormat="0" applyFill="0" applyBorder="0" applyAlignment="0" applyProtection="0"/>
    <xf numFmtId="0" fontId="2" fillId="0" borderId="0"/>
    <xf numFmtId="0" fontId="20" fillId="0" borderId="0"/>
    <xf numFmtId="0" fontId="2" fillId="0" borderId="0"/>
    <xf numFmtId="0" fontId="13" fillId="0" borderId="0"/>
    <xf numFmtId="9" fontId="20" fillId="0" borderId="0" applyFont="0" applyFill="0" applyBorder="0" applyAlignment="0" applyProtection="0"/>
  </cellStyleXfs>
  <cellXfs count="398">
    <xf numFmtId="0" fontId="0" fillId="0" borderId="0" xfId="0"/>
    <xf numFmtId="0" fontId="0" fillId="0" borderId="0" xfId="0"/>
    <xf numFmtId="164" fontId="2" fillId="0" borderId="1" xfId="0" applyNumberFormat="1" applyFont="1" applyFill="1" applyBorder="1" applyAlignment="1" applyProtection="1">
      <alignment horizontal="center" vertical="center"/>
      <protection locked="0"/>
    </xf>
    <xf numFmtId="14" fontId="0" fillId="0" borderId="0" xfId="0" applyNumberFormat="1"/>
    <xf numFmtId="166" fontId="0" fillId="2" borderId="1" xfId="0" applyNumberFormat="1" applyFont="1" applyFill="1" applyBorder="1" applyAlignment="1" applyProtection="1">
      <alignment horizontal="center" vertical="center"/>
      <protection locked="0"/>
    </xf>
    <xf numFmtId="0" fontId="0" fillId="0" borderId="0" xfId="0" applyAlignment="1">
      <alignment horizontal="right"/>
    </xf>
    <xf numFmtId="165" fontId="0" fillId="2" borderId="1" xfId="0" applyNumberFormat="1" applyFont="1" applyFill="1" applyBorder="1" applyAlignment="1" applyProtection="1">
      <alignment horizontal="center" vertical="center"/>
      <protection locked="0"/>
    </xf>
    <xf numFmtId="0" fontId="0" fillId="0" borderId="0" xfId="0" applyAlignment="1">
      <alignment wrapText="1"/>
    </xf>
    <xf numFmtId="14" fontId="0" fillId="0" borderId="0" xfId="0" applyNumberFormat="1" applyFont="1" applyFill="1" applyBorder="1" applyAlignment="1">
      <alignment horizontal="center" vertical="center"/>
    </xf>
    <xf numFmtId="14" fontId="20" fillId="0" borderId="0" xfId="5" applyNumberFormat="1"/>
    <xf numFmtId="0" fontId="20" fillId="0" borderId="0" xfId="5"/>
    <xf numFmtId="0" fontId="24" fillId="0" borderId="0" xfId="5" applyFont="1" applyAlignment="1">
      <alignment vertical="center"/>
    </xf>
    <xf numFmtId="0" fontId="22" fillId="0" borderId="2" xfId="5" applyFont="1" applyBorder="1" applyAlignment="1">
      <alignment horizontal="center" vertical="center" wrapText="1"/>
    </xf>
    <xf numFmtId="0" fontId="22" fillId="0" borderId="0" xfId="5" applyFont="1" applyAlignment="1">
      <alignment horizontal="center" vertical="center"/>
    </xf>
    <xf numFmtId="0" fontId="22" fillId="0" borderId="3" xfId="5" applyFont="1" applyBorder="1" applyAlignment="1">
      <alignment horizontal="center" vertical="center"/>
    </xf>
    <xf numFmtId="0" fontId="25" fillId="0" borderId="0" xfId="5" applyFont="1" applyAlignment="1">
      <alignment horizontal="justify" vertical="center"/>
    </xf>
    <xf numFmtId="0" fontId="24" fillId="0" borderId="0" xfId="5" applyFont="1" applyAlignment="1">
      <alignment horizontal="left" vertical="center"/>
    </xf>
    <xf numFmtId="0" fontId="22" fillId="0" borderId="4" xfId="5" applyFont="1" applyBorder="1" applyAlignment="1">
      <alignment horizontal="center" vertical="center" wrapText="1"/>
    </xf>
    <xf numFmtId="0" fontId="24" fillId="0" borderId="0" xfId="5" applyFont="1" applyAlignment="1">
      <alignment horizontal="left" vertical="top"/>
    </xf>
    <xf numFmtId="0" fontId="20" fillId="0" borderId="0" xfId="5" applyAlignment="1">
      <alignment horizontal="left" vertical="top"/>
    </xf>
    <xf numFmtId="0" fontId="22" fillId="0" borderId="2" xfId="5" applyFont="1" applyBorder="1" applyAlignment="1">
      <alignment horizontal="left" vertical="top"/>
    </xf>
    <xf numFmtId="0" fontId="24" fillId="0" borderId="0" xfId="5" applyFont="1"/>
    <xf numFmtId="0" fontId="18" fillId="0" borderId="4" xfId="5" quotePrefix="1" applyFont="1" applyBorder="1" applyAlignment="1">
      <alignment horizontal="center" vertical="center" wrapText="1"/>
    </xf>
    <xf numFmtId="0" fontId="26" fillId="0" borderId="0" xfId="5" applyFont="1" applyFill="1" applyBorder="1"/>
    <xf numFmtId="0" fontId="22" fillId="0" borderId="0" xfId="5" quotePrefix="1" applyFont="1" applyBorder="1" applyAlignment="1">
      <alignment horizontal="center" vertical="center" wrapText="1"/>
    </xf>
    <xf numFmtId="1" fontId="22" fillId="0" borderId="0" xfId="5" applyNumberFormat="1" applyFont="1" applyAlignment="1">
      <alignment horizontal="center" vertical="center"/>
    </xf>
    <xf numFmtId="1" fontId="22" fillId="0" borderId="3" xfId="5" applyNumberFormat="1" applyFont="1" applyBorder="1" applyAlignment="1">
      <alignment horizontal="center" vertical="center"/>
    </xf>
    <xf numFmtId="1" fontId="22" fillId="0" borderId="0" xfId="5" quotePrefix="1" applyNumberFormat="1" applyFont="1" applyBorder="1" applyAlignment="1">
      <alignment horizontal="center" vertical="center" wrapText="1"/>
    </xf>
    <xf numFmtId="0" fontId="22" fillId="0" borderId="2" xfId="5" applyFont="1" applyBorder="1" applyAlignment="1">
      <alignment horizontal="center" vertical="top" wrapText="1"/>
    </xf>
    <xf numFmtId="0" fontId="19" fillId="3" borderId="0" xfId="0" applyFont="1" applyFill="1" applyAlignment="1">
      <alignment horizontal="right"/>
    </xf>
    <xf numFmtId="0" fontId="19" fillId="3" borderId="0" xfId="0" applyFont="1" applyFill="1"/>
    <xf numFmtId="0" fontId="0" fillId="0" borderId="0" xfId="0" applyFont="1" applyFill="1" applyBorder="1" applyAlignment="1">
      <alignment horizontal="right"/>
    </xf>
    <xf numFmtId="0" fontId="0" fillId="0" borderId="0" xfId="0" applyAlignment="1">
      <alignment vertical="center"/>
    </xf>
    <xf numFmtId="0" fontId="0" fillId="0" borderId="0" xfId="0" applyFill="1"/>
    <xf numFmtId="0" fontId="0" fillId="0" borderId="0" xfId="0" applyFill="1" applyAlignment="1">
      <alignment horizontal="right"/>
    </xf>
    <xf numFmtId="0" fontId="0" fillId="0" borderId="0" xfId="0" applyAlignment="1">
      <alignment horizontal="right" vertical="center"/>
    </xf>
    <xf numFmtId="0" fontId="0" fillId="0" borderId="0" xfId="0" applyFont="1" applyFill="1" applyBorder="1" applyAlignment="1">
      <alignment horizontal="left" vertical="center"/>
    </xf>
    <xf numFmtId="0" fontId="0" fillId="0" borderId="5" xfId="0" applyBorder="1" applyAlignment="1">
      <alignment horizontal="right"/>
    </xf>
    <xf numFmtId="0" fontId="0" fillId="0" borderId="0" xfId="0" applyBorder="1" applyAlignment="1">
      <alignment horizontal="right"/>
    </xf>
    <xf numFmtId="0" fontId="0" fillId="0" borderId="6" xfId="0" applyBorder="1"/>
    <xf numFmtId="0" fontId="0" fillId="4" borderId="7" xfId="0" applyFill="1" applyBorder="1"/>
    <xf numFmtId="0" fontId="0" fillId="4" borderId="8" xfId="0" applyFill="1" applyBorder="1"/>
    <xf numFmtId="0" fontId="0" fillId="0" borderId="5" xfId="0" applyBorder="1"/>
    <xf numFmtId="0" fontId="0" fillId="0" borderId="9" xfId="0" applyBorder="1"/>
    <xf numFmtId="0" fontId="0" fillId="0" borderId="10" xfId="0" applyBorder="1" applyAlignment="1">
      <alignment horizontal="right"/>
    </xf>
    <xf numFmtId="0" fontId="0" fillId="0" borderId="0" xfId="0" applyBorder="1"/>
    <xf numFmtId="0" fontId="0" fillId="0" borderId="0" xfId="0" applyBorder="1" applyAlignment="1">
      <alignment horizontal="center"/>
    </xf>
    <xf numFmtId="0" fontId="22" fillId="2" borderId="7" xfId="0" applyFont="1" applyFill="1" applyBorder="1" applyAlignment="1">
      <alignment vertical="center"/>
    </xf>
    <xf numFmtId="0" fontId="0" fillId="2" borderId="8" xfId="0" applyFill="1" applyBorder="1" applyAlignment="1">
      <alignment vertical="center"/>
    </xf>
    <xf numFmtId="0" fontId="0" fillId="2" borderId="5" xfId="0" applyFill="1" applyBorder="1" applyAlignment="1">
      <alignment horizontal="right" vertical="center"/>
    </xf>
    <xf numFmtId="14" fontId="0" fillId="2" borderId="9" xfId="0" applyNumberFormat="1" applyFill="1" applyBorder="1" applyAlignment="1">
      <alignment vertical="center"/>
    </xf>
    <xf numFmtId="0" fontId="27" fillId="2" borderId="5" xfId="0" applyFont="1" applyFill="1" applyBorder="1" applyAlignment="1">
      <alignment horizontal="right" vertical="center"/>
    </xf>
    <xf numFmtId="165" fontId="27" fillId="2" borderId="9" xfId="0" applyNumberFormat="1" applyFont="1" applyFill="1" applyBorder="1" applyAlignment="1">
      <alignment horizontal="center" vertical="center"/>
    </xf>
    <xf numFmtId="0" fontId="0" fillId="2" borderId="9" xfId="0" applyFill="1" applyBorder="1" applyAlignment="1">
      <alignment horizontal="center" vertical="center"/>
    </xf>
    <xf numFmtId="165" fontId="0" fillId="2" borderId="9" xfId="0" applyNumberFormat="1" applyFill="1" applyBorder="1" applyAlignment="1">
      <alignment horizontal="center" vertical="center"/>
    </xf>
    <xf numFmtId="0" fontId="0" fillId="2" borderId="10" xfId="0" applyFill="1" applyBorder="1" applyAlignment="1">
      <alignment horizontal="right" vertical="center"/>
    </xf>
    <xf numFmtId="165" fontId="0" fillId="2" borderId="6" xfId="0" applyNumberFormat="1" applyFill="1" applyBorder="1" applyAlignment="1">
      <alignment horizontal="center" vertical="center"/>
    </xf>
    <xf numFmtId="14" fontId="0" fillId="2" borderId="9" xfId="0" applyNumberFormat="1" applyFill="1" applyBorder="1" applyAlignment="1">
      <alignment horizontal="center" vertical="center"/>
    </xf>
    <xf numFmtId="165" fontId="0" fillId="2" borderId="8" xfId="0" applyNumberFormat="1" applyFill="1" applyBorder="1" applyAlignment="1">
      <alignment horizontal="center" vertical="center"/>
    </xf>
    <xf numFmtId="0" fontId="27" fillId="2" borderId="10" xfId="0" applyFont="1" applyFill="1" applyBorder="1" applyAlignment="1">
      <alignment horizontal="right" vertical="center"/>
    </xf>
    <xf numFmtId="165" fontId="27" fillId="2" borderId="6" xfId="0" applyNumberFormat="1" applyFont="1" applyFill="1" applyBorder="1" applyAlignment="1">
      <alignment horizontal="center" vertical="center"/>
    </xf>
    <xf numFmtId="0" fontId="22" fillId="2" borderId="7" xfId="0" applyFont="1" applyFill="1" applyBorder="1" applyAlignment="1">
      <alignment horizontal="left" vertical="center"/>
    </xf>
    <xf numFmtId="0" fontId="22" fillId="2" borderId="7" xfId="0" applyFont="1" applyFill="1" applyBorder="1" applyAlignment="1">
      <alignment horizontal="left" vertical="center" wrapText="1"/>
    </xf>
    <xf numFmtId="0" fontId="0" fillId="2" borderId="5" xfId="0" applyFill="1" applyBorder="1" applyAlignment="1">
      <alignment horizontal="right" vertical="center" wrapText="1"/>
    </xf>
    <xf numFmtId="0" fontId="0" fillId="2" borderId="8" xfId="0" applyFill="1" applyBorder="1" applyAlignment="1">
      <alignment horizontal="right" vertical="center"/>
    </xf>
    <xf numFmtId="14" fontId="0" fillId="2" borderId="9" xfId="0" applyNumberFormat="1" applyFill="1" applyBorder="1" applyAlignment="1">
      <alignment horizontal="right" vertical="center"/>
    </xf>
    <xf numFmtId="14" fontId="0" fillId="2" borderId="6" xfId="0" applyNumberFormat="1" applyFill="1" applyBorder="1" applyAlignment="1">
      <alignment horizontal="right" vertical="center"/>
    </xf>
    <xf numFmtId="165" fontId="27" fillId="2" borderId="8" xfId="0" applyNumberFormat="1" applyFont="1" applyFill="1" applyBorder="1" applyAlignment="1">
      <alignment horizontal="right" vertical="center"/>
    </xf>
    <xf numFmtId="165" fontId="0" fillId="2" borderId="9" xfId="0" applyNumberFormat="1" applyFill="1" applyBorder="1" applyAlignment="1">
      <alignment horizontal="right" vertical="center"/>
    </xf>
    <xf numFmtId="0" fontId="0" fillId="2" borderId="9" xfId="0" applyFill="1" applyBorder="1" applyAlignment="1">
      <alignment horizontal="right" vertical="center"/>
    </xf>
    <xf numFmtId="165" fontId="0" fillId="2" borderId="8" xfId="0" applyNumberFormat="1" applyFill="1" applyBorder="1" applyAlignment="1">
      <alignment horizontal="right" vertical="center"/>
    </xf>
    <xf numFmtId="165" fontId="27" fillId="2" borderId="9" xfId="0" applyNumberFormat="1" applyFont="1" applyFill="1" applyBorder="1" applyAlignment="1">
      <alignment horizontal="right" vertical="center"/>
    </xf>
    <xf numFmtId="165" fontId="27" fillId="2" borderId="6" xfId="0" applyNumberFormat="1" applyFont="1" applyFill="1" applyBorder="1" applyAlignment="1">
      <alignment horizontal="right" vertical="center"/>
    </xf>
    <xf numFmtId="165" fontId="0" fillId="2" borderId="6" xfId="0" applyNumberFormat="1" applyFill="1" applyBorder="1" applyAlignment="1">
      <alignment horizontal="right" vertical="center"/>
    </xf>
    <xf numFmtId="1" fontId="0" fillId="2" borderId="9" xfId="0" applyNumberFormat="1" applyFill="1" applyBorder="1" applyAlignment="1">
      <alignment horizontal="center" vertical="center"/>
    </xf>
    <xf numFmtId="14" fontId="0" fillId="2" borderId="6" xfId="0" applyNumberFormat="1" applyFill="1" applyBorder="1" applyAlignment="1">
      <alignment horizontal="center" vertical="center"/>
    </xf>
    <xf numFmtId="0" fontId="0" fillId="5" borderId="0" xfId="0" applyFill="1"/>
    <xf numFmtId="0" fontId="28" fillId="0" borderId="11" xfId="0" applyFont="1" applyBorder="1" applyAlignment="1">
      <alignment horizontal="center" vertical="center"/>
    </xf>
    <xf numFmtId="0" fontId="29" fillId="5" borderId="0" xfId="0" applyFont="1" applyFill="1"/>
    <xf numFmtId="0" fontId="0" fillId="0" borderId="12" xfId="0" applyBorder="1" applyAlignment="1">
      <alignment vertical="center" wrapText="1"/>
    </xf>
    <xf numFmtId="0" fontId="0" fillId="0" borderId="13" xfId="0" applyBorder="1" applyAlignment="1">
      <alignment wrapText="1"/>
    </xf>
    <xf numFmtId="0" fontId="0" fillId="6" borderId="0" xfId="0" applyFill="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8" xfId="0" applyFill="1" applyBorder="1" applyAlignment="1">
      <alignment vertical="center"/>
    </xf>
    <xf numFmtId="0" fontId="0" fillId="2" borderId="0" xfId="0" applyFill="1" applyBorder="1" applyAlignment="1">
      <alignment vertical="center"/>
    </xf>
    <xf numFmtId="0" fontId="0" fillId="2" borderId="19" xfId="0" applyFill="1" applyBorder="1" applyAlignment="1">
      <alignment vertical="center"/>
    </xf>
    <xf numFmtId="0" fontId="0" fillId="2" borderId="4" xfId="0" applyFill="1" applyBorder="1" applyAlignment="1">
      <alignment vertical="center"/>
    </xf>
    <xf numFmtId="0" fontId="0" fillId="2" borderId="20" xfId="0" applyFill="1" applyBorder="1" applyAlignment="1">
      <alignment vertical="center"/>
    </xf>
    <xf numFmtId="0" fontId="0" fillId="6" borderId="0" xfId="0" applyFill="1"/>
    <xf numFmtId="0" fontId="0" fillId="2" borderId="14" xfId="0" applyFill="1" applyBorder="1"/>
    <xf numFmtId="0" fontId="0" fillId="2" borderId="17" xfId="0" applyFill="1" applyBorder="1"/>
    <xf numFmtId="0" fontId="0" fillId="2" borderId="19" xfId="0" applyFill="1" applyBorder="1"/>
    <xf numFmtId="0" fontId="0" fillId="2" borderId="16" xfId="0" applyFill="1" applyBorder="1"/>
    <xf numFmtId="0" fontId="0" fillId="2" borderId="18" xfId="0" applyFill="1" applyBorder="1"/>
    <xf numFmtId="0" fontId="0" fillId="2" borderId="0" xfId="0" applyFill="1" applyBorder="1" applyAlignment="1">
      <alignment horizontal="right" vertical="center"/>
    </xf>
    <xf numFmtId="0" fontId="0" fillId="2" borderId="4" xfId="0" applyFill="1" applyBorder="1" applyAlignment="1">
      <alignment horizontal="right" vertical="center"/>
    </xf>
    <xf numFmtId="0" fontId="0" fillId="2" borderId="20" xfId="0" applyFill="1" applyBorder="1"/>
    <xf numFmtId="1" fontId="0" fillId="0" borderId="0" xfId="0" applyNumberFormat="1"/>
    <xf numFmtId="165" fontId="0" fillId="6" borderId="0" xfId="0" applyNumberFormat="1" applyFill="1" applyAlignment="1">
      <alignment vertical="center"/>
    </xf>
    <xf numFmtId="0" fontId="23" fillId="7" borderId="0" xfId="0" applyFont="1" applyFill="1"/>
    <xf numFmtId="0" fontId="23" fillId="7" borderId="0" xfId="0" applyFont="1" applyFill="1" applyAlignment="1">
      <alignment textRotation="90"/>
    </xf>
    <xf numFmtId="14" fontId="23" fillId="7" borderId="0" xfId="0" applyNumberFormat="1" applyFont="1" applyFill="1"/>
    <xf numFmtId="0" fontId="19" fillId="3" borderId="0" xfId="0" applyFont="1" applyFill="1" applyAlignment="1">
      <alignment horizontal="center"/>
    </xf>
    <xf numFmtId="0" fontId="0" fillId="0" borderId="0" xfId="0" applyAlignment="1">
      <alignment horizontal="center"/>
    </xf>
    <xf numFmtId="14" fontId="0" fillId="0" borderId="0" xfId="0" applyNumberFormat="1" applyAlignment="1">
      <alignment horizontal="center"/>
    </xf>
    <xf numFmtId="164" fontId="2" fillId="2" borderId="1" xfId="0" applyNumberFormat="1" applyFont="1" applyFill="1" applyBorder="1" applyAlignment="1" applyProtection="1">
      <alignment horizontal="center" vertical="center"/>
      <protection locked="0"/>
    </xf>
    <xf numFmtId="0" fontId="0" fillId="0" borderId="21" xfId="0" applyBorder="1" applyAlignment="1">
      <alignment vertical="center" wrapText="1"/>
    </xf>
    <xf numFmtId="0" fontId="0" fillId="0" borderId="22" xfId="0" applyBorder="1" applyAlignment="1">
      <alignment vertical="center" wrapText="1"/>
    </xf>
    <xf numFmtId="0" fontId="30" fillId="0" borderId="0" xfId="0" applyFont="1" applyAlignment="1">
      <alignment horizontal="left" vertical="center" indent="1"/>
    </xf>
    <xf numFmtId="0" fontId="19" fillId="3" borderId="7" xfId="0" applyFont="1" applyFill="1" applyBorder="1"/>
    <xf numFmtId="0" fontId="19" fillId="3" borderId="8" xfId="0" applyFont="1" applyFill="1" applyBorder="1"/>
    <xf numFmtId="14" fontId="0" fillId="0" borderId="9" xfId="0" applyNumberFormat="1" applyBorder="1"/>
    <xf numFmtId="14" fontId="0" fillId="0" borderId="6" xfId="0" applyNumberFormat="1" applyBorder="1"/>
    <xf numFmtId="0" fontId="27" fillId="2" borderId="9" xfId="0" applyFont="1" applyFill="1" applyBorder="1" applyAlignment="1">
      <alignment horizontal="center" vertical="center"/>
    </xf>
    <xf numFmtId="0" fontId="22" fillId="2" borderId="23" xfId="0" applyFont="1" applyFill="1" applyBorder="1" applyAlignment="1">
      <alignment vertical="center"/>
    </xf>
    <xf numFmtId="0" fontId="22" fillId="2" borderId="23" xfId="0" applyFont="1" applyFill="1" applyBorder="1" applyAlignment="1">
      <alignment horizontal="left" vertical="center"/>
    </xf>
    <xf numFmtId="0" fontId="27" fillId="2" borderId="0" xfId="0" applyFont="1" applyFill="1" applyBorder="1" applyAlignment="1">
      <alignment horizontal="center" vertical="center"/>
    </xf>
    <xf numFmtId="14" fontId="0" fillId="2" borderId="0" xfId="0" applyNumberFormat="1" applyFill="1" applyBorder="1" applyAlignment="1">
      <alignment horizontal="center" vertical="center"/>
    </xf>
    <xf numFmtId="165" fontId="0" fillId="2" borderId="0" xfId="0" applyNumberFormat="1" applyFill="1" applyBorder="1" applyAlignment="1">
      <alignment horizontal="center" vertical="center"/>
    </xf>
    <xf numFmtId="1" fontId="0" fillId="2" borderId="0" xfId="0" applyNumberFormat="1" applyFill="1" applyBorder="1" applyAlignment="1">
      <alignment horizontal="center" vertical="center"/>
    </xf>
    <xf numFmtId="0" fontId="0" fillId="2" borderId="0" xfId="0" applyFill="1" applyBorder="1" applyAlignment="1">
      <alignment horizontal="center" vertical="center"/>
    </xf>
    <xf numFmtId="165" fontId="27" fillId="2" borderId="0" xfId="0" applyNumberFormat="1" applyFont="1" applyFill="1" applyBorder="1" applyAlignment="1">
      <alignment horizontal="center" vertical="center"/>
    </xf>
    <xf numFmtId="165" fontId="0" fillId="2" borderId="23" xfId="0" applyNumberFormat="1" applyFill="1" applyBorder="1" applyAlignment="1">
      <alignment horizontal="center" vertical="center"/>
    </xf>
    <xf numFmtId="165" fontId="0" fillId="2" borderId="24" xfId="0" applyNumberFormat="1" applyFill="1" applyBorder="1" applyAlignment="1">
      <alignment horizontal="center" vertical="center"/>
    </xf>
    <xf numFmtId="165" fontId="27" fillId="2" borderId="24" xfId="0" applyNumberFormat="1" applyFont="1" applyFill="1" applyBorder="1" applyAlignment="1">
      <alignment horizontal="center" vertical="center"/>
    </xf>
    <xf numFmtId="0" fontId="0" fillId="2" borderId="23" xfId="0" applyFill="1" applyBorder="1" applyAlignment="1">
      <alignment vertical="center"/>
    </xf>
    <xf numFmtId="14" fontId="0" fillId="2" borderId="24" xfId="0" applyNumberFormat="1" applyFill="1" applyBorder="1" applyAlignment="1">
      <alignment horizontal="center" vertical="center"/>
    </xf>
    <xf numFmtId="165" fontId="27" fillId="2" borderId="0" xfId="0" applyNumberFormat="1" applyFont="1" applyFill="1" applyBorder="1" applyAlignment="1">
      <alignment horizontal="center" vertical="center" wrapText="1"/>
    </xf>
    <xf numFmtId="0" fontId="31" fillId="2" borderId="5" xfId="0" applyFont="1" applyFill="1" applyBorder="1" applyAlignment="1">
      <alignment horizontal="right" vertical="center"/>
    </xf>
    <xf numFmtId="165" fontId="31" fillId="2" borderId="0" xfId="0" applyNumberFormat="1" applyFont="1" applyFill="1" applyBorder="1" applyAlignment="1">
      <alignment horizontal="center" vertical="center"/>
    </xf>
    <xf numFmtId="165" fontId="31" fillId="2" borderId="9" xfId="0" applyNumberFormat="1" applyFont="1" applyFill="1" applyBorder="1" applyAlignment="1">
      <alignment horizontal="center" vertical="center"/>
    </xf>
    <xf numFmtId="0" fontId="22" fillId="2" borderId="23" xfId="0" applyFont="1" applyFill="1" applyBorder="1" applyAlignment="1">
      <alignment horizontal="right" vertical="center"/>
    </xf>
    <xf numFmtId="0" fontId="27" fillId="2" borderId="0" xfId="0" applyFont="1" applyFill="1" applyBorder="1" applyAlignment="1">
      <alignment horizontal="center" vertical="center" wrapText="1"/>
    </xf>
    <xf numFmtId="1" fontId="31" fillId="2" borderId="0" xfId="0" applyNumberFormat="1" applyFont="1" applyFill="1" applyBorder="1" applyAlignment="1">
      <alignment horizontal="center" vertical="center"/>
    </xf>
    <xf numFmtId="0" fontId="0" fillId="2" borderId="24" xfId="0" applyFill="1"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165" fontId="27" fillId="2" borderId="9" xfId="0" applyNumberFormat="1" applyFont="1" applyFill="1" applyBorder="1" applyAlignment="1">
      <alignment horizontal="center" vertical="center" wrapText="1"/>
    </xf>
    <xf numFmtId="0" fontId="32" fillId="6" borderId="0" xfId="0" applyFont="1" applyFill="1" applyAlignment="1">
      <alignment vertical="center"/>
    </xf>
    <xf numFmtId="165" fontId="25" fillId="2" borderId="0" xfId="0" applyNumberFormat="1" applyFont="1" applyFill="1" applyBorder="1" applyAlignment="1">
      <alignment horizontal="center" vertical="center"/>
    </xf>
    <xf numFmtId="165" fontId="27" fillId="2" borderId="0" xfId="0" applyNumberFormat="1" applyFont="1" applyFill="1" applyBorder="1" applyAlignment="1">
      <alignment vertical="center"/>
    </xf>
    <xf numFmtId="0" fontId="25" fillId="2" borderId="5" xfId="0" applyFont="1" applyFill="1" applyBorder="1" applyAlignment="1">
      <alignment horizontal="right" vertical="center"/>
    </xf>
    <xf numFmtId="165" fontId="25" fillId="2" borderId="9" xfId="0" applyNumberFormat="1" applyFont="1" applyFill="1" applyBorder="1" applyAlignment="1">
      <alignment horizontal="center" vertical="center"/>
    </xf>
    <xf numFmtId="0" fontId="0" fillId="0" borderId="25" xfId="0" applyBorder="1" applyAlignment="1">
      <alignment vertical="center" wrapText="1"/>
    </xf>
    <xf numFmtId="0" fontId="29" fillId="8" borderId="0" xfId="0" applyFont="1" applyFill="1" applyProtection="1"/>
    <xf numFmtId="0" fontId="0" fillId="8" borderId="0" xfId="0" applyFill="1" applyProtection="1"/>
    <xf numFmtId="44" fontId="33" fillId="2" borderId="26" xfId="0" applyNumberFormat="1" applyFont="1" applyFill="1" applyBorder="1" applyAlignment="1" applyProtection="1">
      <alignment vertical="center"/>
    </xf>
    <xf numFmtId="0" fontId="0" fillId="9" borderId="17" xfId="0" applyFill="1" applyBorder="1" applyAlignment="1" applyProtection="1">
      <alignment horizontal="center"/>
    </xf>
    <xf numFmtId="0" fontId="22" fillId="9" borderId="0" xfId="0" applyFont="1" applyFill="1" applyBorder="1" applyProtection="1"/>
    <xf numFmtId="0" fontId="0" fillId="9" borderId="0" xfId="0" applyFont="1" applyFill="1" applyBorder="1" applyAlignment="1" applyProtection="1">
      <alignment horizontal="center" vertical="center"/>
    </xf>
    <xf numFmtId="0" fontId="0" fillId="9" borderId="0" xfId="0" applyFill="1" applyBorder="1" applyProtection="1"/>
    <xf numFmtId="0" fontId="0" fillId="9" borderId="0" xfId="0" applyFill="1" applyBorder="1" applyAlignment="1" applyProtection="1">
      <alignment horizontal="left"/>
    </xf>
    <xf numFmtId="0" fontId="0" fillId="9" borderId="18" xfId="0" applyFill="1" applyBorder="1" applyAlignment="1" applyProtection="1">
      <alignment horizontal="left"/>
    </xf>
    <xf numFmtId="0" fontId="0" fillId="9" borderId="0" xfId="0" applyFont="1" applyFill="1" applyBorder="1" applyAlignment="1" applyProtection="1">
      <alignment horizontal="right"/>
    </xf>
    <xf numFmtId="164" fontId="0" fillId="9" borderId="0" xfId="0" applyNumberFormat="1" applyFill="1" applyBorder="1" applyAlignment="1" applyProtection="1">
      <alignment horizontal="center"/>
    </xf>
    <xf numFmtId="0" fontId="0" fillId="9" borderId="0" xfId="0" applyFont="1" applyFill="1" applyBorder="1" applyAlignment="1" applyProtection="1">
      <alignment horizontal="right" vertical="center"/>
    </xf>
    <xf numFmtId="14" fontId="0" fillId="9" borderId="18" xfId="0" applyNumberFormat="1" applyFill="1" applyBorder="1" applyAlignment="1" applyProtection="1">
      <alignment horizontal="left"/>
    </xf>
    <xf numFmtId="0" fontId="3" fillId="9" borderId="0" xfId="0" applyFont="1" applyFill="1" applyBorder="1" applyAlignment="1" applyProtection="1">
      <alignment horizontal="right" vertical="center" wrapText="1"/>
    </xf>
    <xf numFmtId="0" fontId="2" fillId="9" borderId="0" xfId="0" applyFont="1" applyFill="1" applyBorder="1" applyAlignment="1" applyProtection="1">
      <alignment horizontal="right"/>
    </xf>
    <xf numFmtId="0" fontId="4" fillId="10" borderId="27" xfId="0" applyFont="1" applyFill="1" applyBorder="1" applyAlignment="1" applyProtection="1">
      <alignment horizontal="right" vertical="center"/>
    </xf>
    <xf numFmtId="165" fontId="34" fillId="10" borderId="26" xfId="0" applyNumberFormat="1" applyFont="1" applyFill="1" applyBorder="1" applyAlignment="1" applyProtection="1">
      <alignment horizontal="center" vertical="center"/>
    </xf>
    <xf numFmtId="0" fontId="2" fillId="9" borderId="0" xfId="0" applyFont="1" applyFill="1" applyBorder="1" applyAlignment="1" applyProtection="1">
      <alignment horizontal="right" vertical="center"/>
    </xf>
    <xf numFmtId="1" fontId="0" fillId="9" borderId="0" xfId="0" applyNumberFormat="1" applyFill="1" applyBorder="1" applyAlignment="1" applyProtection="1">
      <alignment horizontal="center"/>
    </xf>
    <xf numFmtId="0" fontId="0" fillId="9" borderId="17" xfId="0" applyFill="1" applyBorder="1" applyAlignment="1" applyProtection="1">
      <alignment horizontal="center" vertical="center"/>
    </xf>
    <xf numFmtId="0" fontId="3" fillId="9" borderId="0" xfId="0" applyFont="1" applyFill="1" applyBorder="1" applyAlignment="1" applyProtection="1">
      <alignment horizontal="right" wrapText="1"/>
    </xf>
    <xf numFmtId="1" fontId="2" fillId="9" borderId="0" xfId="0" applyNumberFormat="1" applyFont="1" applyFill="1" applyBorder="1" applyAlignment="1" applyProtection="1">
      <alignment horizontal="center" vertical="center"/>
    </xf>
    <xf numFmtId="0" fontId="2" fillId="9" borderId="0" xfId="0" applyFont="1" applyFill="1" applyBorder="1" applyAlignment="1" applyProtection="1">
      <alignment horizontal="left" vertical="center"/>
    </xf>
    <xf numFmtId="0" fontId="0" fillId="9" borderId="0" xfId="0" applyFill="1" applyBorder="1" applyAlignment="1" applyProtection="1">
      <alignment horizontal="center" vertical="center"/>
    </xf>
    <xf numFmtId="0" fontId="0" fillId="9" borderId="0" xfId="0" applyFill="1" applyBorder="1" applyAlignment="1" applyProtection="1">
      <alignment horizontal="left" vertical="center"/>
    </xf>
    <xf numFmtId="0" fontId="0" fillId="9" borderId="18" xfId="0" applyFill="1" applyBorder="1" applyAlignment="1" applyProtection="1">
      <alignment horizontal="left" vertical="center"/>
    </xf>
    <xf numFmtId="0" fontId="0" fillId="9" borderId="0" xfId="0" applyFill="1" applyBorder="1" applyAlignment="1" applyProtection="1">
      <alignment horizontal="right"/>
    </xf>
    <xf numFmtId="0" fontId="29" fillId="9" borderId="0" xfId="0" applyFont="1" applyFill="1" applyBorder="1" applyAlignment="1" applyProtection="1">
      <alignment horizontal="left" vertical="center"/>
    </xf>
    <xf numFmtId="0" fontId="4" fillId="10" borderId="14" xfId="0" applyFont="1" applyFill="1" applyBorder="1" applyAlignment="1" applyProtection="1">
      <alignment horizontal="right" vertical="center"/>
    </xf>
    <xf numFmtId="165" fontId="34" fillId="10" borderId="16" xfId="0" applyNumberFormat="1" applyFont="1" applyFill="1" applyBorder="1" applyAlignment="1" applyProtection="1">
      <alignment horizontal="center" vertical="center"/>
    </xf>
    <xf numFmtId="0" fontId="4" fillId="10" borderId="19" xfId="0" applyFont="1" applyFill="1" applyBorder="1" applyAlignment="1" applyProtection="1">
      <alignment horizontal="right" vertical="center"/>
    </xf>
    <xf numFmtId="165" fontId="34" fillId="10" borderId="20" xfId="0" applyNumberFormat="1" applyFont="1" applyFill="1" applyBorder="1" applyAlignment="1" applyProtection="1">
      <alignment horizontal="center" vertical="center"/>
    </xf>
    <xf numFmtId="0" fontId="29" fillId="9" borderId="0" xfId="0" applyFont="1" applyFill="1" applyBorder="1" applyProtection="1"/>
    <xf numFmtId="0" fontId="0" fillId="9" borderId="19" xfId="0" applyFill="1" applyBorder="1" applyAlignment="1" applyProtection="1">
      <alignment horizontal="center"/>
    </xf>
    <xf numFmtId="0" fontId="23" fillId="9" borderId="4" xfId="0" applyFont="1" applyFill="1" applyBorder="1" applyProtection="1"/>
    <xf numFmtId="0" fontId="19" fillId="8" borderId="0" xfId="0" applyFont="1" applyFill="1" applyProtection="1"/>
    <xf numFmtId="0" fontId="19" fillId="8" borderId="0" xfId="0" applyFont="1" applyFill="1" applyAlignment="1" applyProtection="1">
      <alignment horizontal="left"/>
    </xf>
    <xf numFmtId="0" fontId="19" fillId="8" borderId="35" xfId="0" applyFont="1" applyFill="1" applyBorder="1" applyProtection="1"/>
    <xf numFmtId="14" fontId="19" fillId="8" borderId="35" xfId="0" applyNumberFormat="1" applyFont="1" applyFill="1" applyBorder="1" applyAlignment="1" applyProtection="1">
      <alignment horizontal="left"/>
    </xf>
    <xf numFmtId="0" fontId="19" fillId="8" borderId="35" xfId="0" applyFont="1" applyFill="1" applyBorder="1" applyAlignment="1" applyProtection="1">
      <alignment horizontal="left"/>
    </xf>
    <xf numFmtId="0" fontId="0" fillId="8" borderId="36" xfId="0" applyFill="1" applyBorder="1" applyProtection="1"/>
    <xf numFmtId="0" fontId="0" fillId="8" borderId="0" xfId="0" applyFill="1" applyBorder="1" applyProtection="1"/>
    <xf numFmtId="0" fontId="19" fillId="8" borderId="37" xfId="0" applyFont="1" applyFill="1" applyBorder="1" applyProtection="1"/>
    <xf numFmtId="0" fontId="19" fillId="8" borderId="37" xfId="0" applyFont="1" applyFill="1" applyBorder="1" applyAlignment="1" applyProtection="1">
      <alignment horizontal="left"/>
    </xf>
    <xf numFmtId="0" fontId="19" fillId="8" borderId="0" xfId="0" applyFont="1" applyFill="1" applyBorder="1" applyProtection="1"/>
    <xf numFmtId="0" fontId="19" fillId="8" borderId="0" xfId="0" applyFont="1" applyFill="1" applyBorder="1" applyAlignment="1" applyProtection="1">
      <alignment horizontal="left"/>
    </xf>
    <xf numFmtId="0" fontId="19" fillId="8" borderId="38" xfId="0" applyFont="1" applyFill="1" applyBorder="1" applyProtection="1"/>
    <xf numFmtId="0" fontId="19" fillId="8" borderId="38" xfId="0" applyFont="1" applyFill="1" applyBorder="1" applyAlignment="1" applyProtection="1">
      <alignment horizontal="left"/>
    </xf>
    <xf numFmtId="0" fontId="19" fillId="8" borderId="39" xfId="0" applyFont="1" applyFill="1" applyBorder="1" applyProtection="1"/>
    <xf numFmtId="0" fontId="19" fillId="8" borderId="39" xfId="0" applyFont="1" applyFill="1" applyBorder="1" applyAlignment="1" applyProtection="1">
      <alignment horizontal="left"/>
    </xf>
    <xf numFmtId="1" fontId="0" fillId="0" borderId="0" xfId="0" applyNumberFormat="1" applyFont="1" applyFill="1" applyBorder="1" applyAlignment="1">
      <alignment horizontal="center" vertical="center"/>
    </xf>
    <xf numFmtId="0" fontId="0" fillId="0" borderId="0" xfId="0" applyAlignment="1">
      <alignment horizontal="right"/>
    </xf>
    <xf numFmtId="14" fontId="0" fillId="0" borderId="0" xfId="0" applyNumberFormat="1" applyFont="1" applyFill="1" applyBorder="1" applyAlignment="1">
      <alignment horizontal="center" vertical="center"/>
    </xf>
    <xf numFmtId="0" fontId="0" fillId="0" borderId="0" xfId="0" applyAlignment="1">
      <alignment horizontal="right" vertical="center"/>
    </xf>
    <xf numFmtId="0" fontId="0" fillId="0" borderId="10" xfId="0" applyBorder="1" applyAlignment="1">
      <alignment horizontal="right"/>
    </xf>
    <xf numFmtId="0" fontId="0" fillId="0" borderId="5" xfId="0" applyFont="1" applyFill="1" applyBorder="1" applyAlignment="1">
      <alignment horizontal="right"/>
    </xf>
    <xf numFmtId="0" fontId="0" fillId="0" borderId="0" xfId="0"/>
    <xf numFmtId="14" fontId="0" fillId="0" borderId="0" xfId="0" applyNumberFormat="1"/>
    <xf numFmtId="0" fontId="0" fillId="0" borderId="0" xfId="0" applyAlignment="1">
      <alignment horizontal="center"/>
    </xf>
    <xf numFmtId="165" fontId="0" fillId="6" borderId="0" xfId="0" applyNumberFormat="1" applyFill="1" applyBorder="1" applyAlignment="1">
      <alignment horizontal="center" vertical="center"/>
    </xf>
    <xf numFmtId="0" fontId="0" fillId="6" borderId="0" xfId="0" applyFill="1" applyBorder="1" applyAlignment="1">
      <alignment horizontal="center" vertical="center"/>
    </xf>
    <xf numFmtId="0" fontId="0" fillId="0" borderId="7" xfId="0" applyBorder="1" applyAlignment="1">
      <alignment horizontal="right"/>
    </xf>
    <xf numFmtId="14" fontId="0" fillId="0" borderId="8" xfId="0" applyNumberFormat="1" applyFont="1" applyFill="1" applyBorder="1" applyAlignment="1">
      <alignment horizontal="center" vertical="center"/>
    </xf>
    <xf numFmtId="14" fontId="0" fillId="0" borderId="9" xfId="0" applyNumberFormat="1" applyFont="1" applyFill="1" applyBorder="1" applyAlignment="1">
      <alignment horizontal="center" vertical="center"/>
    </xf>
    <xf numFmtId="14" fontId="0" fillId="0" borderId="6" xfId="0" applyNumberFormat="1" applyFont="1" applyFill="1" applyBorder="1" applyAlignment="1">
      <alignment horizontal="center" vertical="center"/>
    </xf>
    <xf numFmtId="0" fontId="0" fillId="0" borderId="28" xfId="0" applyBorder="1" applyAlignment="1">
      <alignment horizontal="right"/>
    </xf>
    <xf numFmtId="14" fontId="0" fillId="0" borderId="5" xfId="0" applyNumberFormat="1" applyBorder="1"/>
    <xf numFmtId="14" fontId="0" fillId="0" borderId="5" xfId="0" applyNumberFormat="1" applyFont="1" applyFill="1" applyBorder="1" applyAlignment="1">
      <alignment horizontal="right" vertical="center"/>
    </xf>
    <xf numFmtId="14" fontId="0" fillId="0" borderId="0" xfId="0" applyNumberFormat="1" applyBorder="1"/>
    <xf numFmtId="0" fontId="0" fillId="0" borderId="5" xfId="0" applyBorder="1" applyAlignment="1">
      <alignment horizontal="right" vertical="center"/>
    </xf>
    <xf numFmtId="0" fontId="0" fillId="0" borderId="9" xfId="0" applyBorder="1" applyAlignment="1">
      <alignment vertical="center"/>
    </xf>
    <xf numFmtId="0" fontId="0" fillId="0" borderId="5" xfId="0" applyFill="1" applyBorder="1"/>
    <xf numFmtId="0" fontId="0" fillId="0" borderId="9" xfId="0" applyFill="1" applyBorder="1"/>
    <xf numFmtId="0" fontId="0" fillId="0" borderId="5" xfId="0" applyFont="1" applyFill="1" applyBorder="1"/>
    <xf numFmtId="164" fontId="2" fillId="0" borderId="9" xfId="0" applyNumberFormat="1" applyFont="1" applyFill="1" applyBorder="1" applyAlignment="1" applyProtection="1">
      <alignment horizontal="center" vertical="center"/>
      <protection locked="0"/>
    </xf>
    <xf numFmtId="0" fontId="0" fillId="0" borderId="5" xfId="0" applyFont="1" applyFill="1" applyBorder="1" applyAlignment="1">
      <alignment vertical="center"/>
    </xf>
    <xf numFmtId="0" fontId="30" fillId="0" borderId="9" xfId="0" applyFont="1" applyBorder="1" applyAlignment="1">
      <alignment horizontal="left" vertical="center" indent="1"/>
    </xf>
    <xf numFmtId="0" fontId="0" fillId="0" borderId="10" xfId="0" applyFont="1" applyFill="1" applyBorder="1" applyAlignment="1">
      <alignment vertical="center"/>
    </xf>
    <xf numFmtId="0" fontId="0" fillId="0" borderId="6" xfId="0" applyFont="1" applyFill="1" applyBorder="1" applyAlignment="1">
      <alignment horizontal="center" vertical="center"/>
    </xf>
    <xf numFmtId="0" fontId="0" fillId="0" borderId="7" xfId="0" applyBorder="1"/>
    <xf numFmtId="0" fontId="0" fillId="0" borderId="10" xfId="0" applyFont="1" applyFill="1" applyBorder="1"/>
    <xf numFmtId="0" fontId="0" fillId="0" borderId="9" xfId="0" applyBorder="1" applyAlignment="1">
      <alignment horizontal="center"/>
    </xf>
    <xf numFmtId="0" fontId="0" fillId="0" borderId="6" xfId="0" applyBorder="1" applyAlignment="1">
      <alignment horizontal="center"/>
    </xf>
    <xf numFmtId="0" fontId="0" fillId="6" borderId="5" xfId="0" applyFill="1" applyBorder="1" applyAlignment="1">
      <alignment horizontal="center" vertical="center"/>
    </xf>
    <xf numFmtId="14" fontId="0" fillId="6" borderId="0" xfId="0" applyNumberFormat="1" applyFill="1" applyBorder="1" applyAlignment="1">
      <alignment horizontal="center" vertical="center"/>
    </xf>
    <xf numFmtId="0" fontId="0" fillId="6" borderId="0" xfId="0" applyFill="1" applyBorder="1" applyAlignment="1">
      <alignment horizontal="center"/>
    </xf>
    <xf numFmtId="165" fontId="0" fillId="11" borderId="0" xfId="0" applyNumberFormat="1" applyFill="1" applyBorder="1" applyAlignment="1">
      <alignment horizontal="center" vertical="center"/>
    </xf>
    <xf numFmtId="165" fontId="0" fillId="11" borderId="9" xfId="0" applyNumberFormat="1" applyFill="1" applyBorder="1" applyAlignment="1">
      <alignment horizontal="center" vertical="center"/>
    </xf>
    <xf numFmtId="0" fontId="0" fillId="6" borderId="10" xfId="0" applyFill="1" applyBorder="1" applyAlignment="1">
      <alignment horizontal="center" vertical="center"/>
    </xf>
    <xf numFmtId="0" fontId="0" fillId="6" borderId="24" xfId="0" applyFill="1" applyBorder="1" applyAlignment="1">
      <alignment horizontal="center" vertical="center"/>
    </xf>
    <xf numFmtId="14" fontId="0" fillId="6" borderId="24" xfId="0" applyNumberFormat="1" applyFill="1" applyBorder="1" applyAlignment="1">
      <alignment horizontal="center" vertical="center"/>
    </xf>
    <xf numFmtId="0" fontId="0" fillId="6" borderId="24" xfId="0" applyFill="1" applyBorder="1" applyAlignment="1">
      <alignment horizontal="center"/>
    </xf>
    <xf numFmtId="165" fontId="0" fillId="6" borderId="24" xfId="0" applyNumberFormat="1" applyFill="1" applyBorder="1" applyAlignment="1">
      <alignment horizontal="center" vertical="center"/>
    </xf>
    <xf numFmtId="165" fontId="0" fillId="11" borderId="24" xfId="0" applyNumberFormat="1" applyFill="1" applyBorder="1" applyAlignment="1">
      <alignment horizontal="center" vertical="center"/>
    </xf>
    <xf numFmtId="165" fontId="0" fillId="11" borderId="6" xfId="0" applyNumberFormat="1" applyFill="1" applyBorder="1" applyAlignment="1">
      <alignment horizontal="center" vertical="center"/>
    </xf>
    <xf numFmtId="165" fontId="0" fillId="0" borderId="28" xfId="0" applyNumberFormat="1" applyBorder="1"/>
    <xf numFmtId="165" fontId="0" fillId="0" borderId="29" xfId="0" applyNumberFormat="1" applyBorder="1"/>
    <xf numFmtId="0" fontId="0" fillId="0" borderId="30" xfId="0" applyBorder="1" applyAlignment="1">
      <alignment horizontal="center"/>
    </xf>
    <xf numFmtId="0" fontId="2" fillId="9" borderId="0" xfId="0" applyFont="1" applyFill="1" applyBorder="1" applyAlignment="1" applyProtection="1">
      <alignment horizontal="right" vertical="center" wrapText="1"/>
    </xf>
    <xf numFmtId="14" fontId="19" fillId="8" borderId="37" xfId="0" applyNumberFormat="1" applyFont="1" applyFill="1" applyBorder="1" applyAlignment="1" applyProtection="1">
      <alignment horizontal="left"/>
    </xf>
    <xf numFmtId="164" fontId="2" fillId="2" borderId="31" xfId="0" applyNumberFormat="1" applyFont="1" applyFill="1" applyBorder="1" applyAlignment="1" applyProtection="1">
      <alignment horizontal="center" vertical="center"/>
      <protection locked="0"/>
    </xf>
    <xf numFmtId="0" fontId="15" fillId="0" borderId="0" xfId="7" applyFont="1" applyFill="1"/>
    <xf numFmtId="0" fontId="15" fillId="0" borderId="0" xfId="7" applyFont="1" applyFill="1" applyBorder="1"/>
    <xf numFmtId="0" fontId="15" fillId="0" borderId="0" xfId="7" applyFont="1" applyFill="1" applyBorder="1" applyAlignment="1">
      <alignment vertical="center"/>
    </xf>
    <xf numFmtId="0" fontId="16" fillId="0" borderId="0" xfId="7" applyFont="1" applyFill="1" applyBorder="1"/>
    <xf numFmtId="0" fontId="15" fillId="0" borderId="0" xfId="7" applyFont="1" applyFill="1" applyBorder="1" applyAlignment="1"/>
    <xf numFmtId="0" fontId="15" fillId="0" borderId="0" xfId="7" applyFont="1" applyFill="1" applyBorder="1" applyAlignment="1">
      <alignment horizontal="left"/>
    </xf>
    <xf numFmtId="0" fontId="15" fillId="0" borderId="0" xfId="7" applyFont="1" applyFill="1" applyBorder="1" applyAlignment="1">
      <alignment horizontal="right"/>
    </xf>
    <xf numFmtId="0" fontId="15" fillId="0" borderId="0" xfId="7" applyFont="1" applyFill="1" applyAlignment="1"/>
    <xf numFmtId="0" fontId="14" fillId="0" borderId="0" xfId="7" applyFont="1" applyFill="1"/>
    <xf numFmtId="0" fontId="16" fillId="0" borderId="0" xfId="7" applyFont="1" applyFill="1"/>
    <xf numFmtId="0" fontId="17" fillId="0" borderId="0" xfId="7" applyFont="1" applyFill="1"/>
    <xf numFmtId="0" fontId="15" fillId="0" borderId="0" xfId="7" applyFont="1" applyFill="1" applyBorder="1" applyAlignment="1">
      <alignment wrapText="1"/>
    </xf>
    <xf numFmtId="14" fontId="15" fillId="0" borderId="0" xfId="7" applyNumberFormat="1" applyFont="1" applyFill="1" applyBorder="1" applyAlignment="1"/>
    <xf numFmtId="165" fontId="15" fillId="0" borderId="0" xfId="7" applyNumberFormat="1" applyFont="1" applyFill="1" applyBorder="1" applyAlignment="1"/>
    <xf numFmtId="0" fontId="31" fillId="0" borderId="0" xfId="0" applyFont="1" applyBorder="1"/>
    <xf numFmtId="0" fontId="17" fillId="0" borderId="0" xfId="7" applyFont="1" applyFill="1" applyBorder="1"/>
    <xf numFmtId="0" fontId="14" fillId="0" borderId="0" xfId="7" applyFont="1" applyFill="1" applyAlignment="1">
      <alignment horizontal="center"/>
    </xf>
    <xf numFmtId="0" fontId="31" fillId="0" borderId="0" xfId="0" applyFont="1"/>
    <xf numFmtId="0" fontId="14" fillId="0" borderId="0" xfId="7" applyFont="1" applyFill="1" applyAlignment="1">
      <alignment vertical="center"/>
    </xf>
    <xf numFmtId="0" fontId="16" fillId="0" borderId="23" xfId="7" applyFont="1" applyFill="1" applyBorder="1"/>
    <xf numFmtId="0" fontId="15" fillId="0" borderId="23" xfId="7" applyFont="1" applyFill="1" applyBorder="1"/>
    <xf numFmtId="0" fontId="15" fillId="0" borderId="23" xfId="7" applyFont="1" applyFill="1" applyBorder="1" applyAlignment="1">
      <alignment horizontal="left"/>
    </xf>
    <xf numFmtId="165" fontId="15" fillId="0" borderId="23" xfId="7" applyNumberFormat="1" applyFont="1" applyFill="1" applyBorder="1" applyAlignment="1"/>
    <xf numFmtId="0" fontId="15" fillId="0" borderId="23" xfId="7" applyFont="1" applyFill="1" applyBorder="1" applyAlignment="1">
      <alignment wrapText="1"/>
    </xf>
    <xf numFmtId="0" fontId="24" fillId="0" borderId="0" xfId="0" applyFont="1" applyAlignment="1">
      <alignment horizontal="left" vertical="center"/>
    </xf>
    <xf numFmtId="14" fontId="15" fillId="0" borderId="1" xfId="7" applyNumberFormat="1" applyFont="1" applyFill="1" applyBorder="1" applyAlignment="1">
      <alignment horizontal="center" vertical="center"/>
    </xf>
    <xf numFmtId="0" fontId="15" fillId="0" borderId="24" xfId="7" applyFont="1" applyFill="1" applyBorder="1" applyAlignment="1">
      <alignment horizontal="center"/>
    </xf>
    <xf numFmtId="0" fontId="15" fillId="6" borderId="0" xfId="7" applyFont="1" applyFill="1"/>
    <xf numFmtId="49" fontId="15" fillId="0" borderId="1" xfId="7" applyNumberFormat="1" applyFont="1" applyFill="1" applyBorder="1" applyProtection="1">
      <protection locked="0"/>
    </xf>
    <xf numFmtId="0" fontId="27" fillId="2" borderId="5" xfId="0" applyFont="1" applyFill="1" applyBorder="1" applyAlignment="1">
      <alignment horizontal="right" vertical="center"/>
    </xf>
    <xf numFmtId="0" fontId="27" fillId="2" borderId="0" xfId="0" applyFont="1" applyFill="1" applyBorder="1" applyAlignment="1">
      <alignment horizontal="right" vertical="center"/>
    </xf>
    <xf numFmtId="0" fontId="27" fillId="2" borderId="24" xfId="0" applyFont="1" applyFill="1" applyBorder="1" applyAlignment="1">
      <alignment horizontal="right" vertical="center"/>
    </xf>
    <xf numFmtId="0" fontId="0" fillId="2" borderId="0" xfId="0" applyFill="1" applyBorder="1" applyAlignment="1">
      <alignment horizontal="right" vertical="center"/>
    </xf>
    <xf numFmtId="0" fontId="0" fillId="2" borderId="24" xfId="0" applyFill="1" applyBorder="1" applyAlignment="1">
      <alignment horizontal="right" vertical="center"/>
    </xf>
    <xf numFmtId="165" fontId="15" fillId="0" borderId="0" xfId="7" applyNumberFormat="1" applyFont="1" applyFill="1" applyBorder="1" applyAlignment="1">
      <alignment vertical="center"/>
    </xf>
    <xf numFmtId="49" fontId="2" fillId="2" borderId="32" xfId="0" applyNumberFormat="1" applyFont="1" applyFill="1" applyBorder="1" applyAlignment="1" applyProtection="1">
      <alignment horizontal="center" vertical="center"/>
      <protection locked="0"/>
    </xf>
    <xf numFmtId="49" fontId="21" fillId="2" borderId="32" xfId="3" applyNumberFormat="1" applyFill="1" applyBorder="1" applyAlignment="1" applyProtection="1">
      <alignment horizontal="center" vertical="center"/>
      <protection locked="0"/>
    </xf>
    <xf numFmtId="0" fontId="0" fillId="0" borderId="0" xfId="0" applyFill="1" applyBorder="1" applyAlignment="1">
      <alignment horizontal="right"/>
    </xf>
    <xf numFmtId="0" fontId="0" fillId="0" borderId="0" xfId="0" applyFont="1" applyFill="1" applyBorder="1"/>
    <xf numFmtId="0" fontId="15" fillId="0" borderId="1" xfId="7" applyFont="1" applyFill="1" applyBorder="1" applyAlignment="1">
      <alignment horizontal="center" vertical="center"/>
    </xf>
    <xf numFmtId="0" fontId="35" fillId="2" borderId="10" xfId="0" applyFont="1" applyFill="1" applyBorder="1" applyAlignment="1">
      <alignment horizontal="left" vertical="center"/>
    </xf>
    <xf numFmtId="0" fontId="0" fillId="0" borderId="23" xfId="0" applyBorder="1"/>
    <xf numFmtId="0" fontId="22" fillId="0" borderId="5" xfId="0" applyFont="1" applyBorder="1" applyAlignment="1">
      <alignment horizontal="right"/>
    </xf>
    <xf numFmtId="0" fontId="0" fillId="0" borderId="7" xfId="0" applyFont="1" applyFill="1" applyBorder="1" applyAlignment="1">
      <alignment horizontal="right"/>
    </xf>
    <xf numFmtId="14" fontId="0" fillId="0" borderId="8" xfId="0" applyNumberFormat="1" applyBorder="1"/>
    <xf numFmtId="0" fontId="22" fillId="0" borderId="0" xfId="0" applyFont="1"/>
    <xf numFmtId="0" fontId="0" fillId="0" borderId="0" xfId="0" applyBorder="1" applyAlignment="1">
      <alignment horizontal="center" wrapText="1"/>
    </xf>
    <xf numFmtId="165" fontId="0" fillId="0" borderId="9" xfId="0" applyNumberFormat="1" applyBorder="1" applyAlignment="1">
      <alignment horizontal="center"/>
    </xf>
    <xf numFmtId="165" fontId="27" fillId="11" borderId="33" xfId="0" applyNumberFormat="1" applyFont="1" applyFill="1" applyBorder="1" applyAlignment="1">
      <alignment horizontal="center"/>
    </xf>
    <xf numFmtId="0" fontId="0" fillId="0" borderId="9" xfId="0" applyBorder="1" applyAlignment="1">
      <alignment horizontal="right" vertical="center"/>
    </xf>
    <xf numFmtId="14" fontId="0" fillId="0" borderId="9" xfId="0" applyNumberFormat="1" applyBorder="1" applyAlignment="1">
      <alignment horizontal="center"/>
    </xf>
    <xf numFmtId="14" fontId="0" fillId="0" borderId="9" xfId="0" applyNumberFormat="1" applyBorder="1" applyAlignment="1">
      <alignment horizontal="center" vertical="center"/>
    </xf>
    <xf numFmtId="0" fontId="19" fillId="3" borderId="31" xfId="0" applyFont="1" applyFill="1" applyBorder="1"/>
    <xf numFmtId="0" fontId="0" fillId="0" borderId="34" xfId="0" applyBorder="1"/>
    <xf numFmtId="0" fontId="0" fillId="0" borderId="32" xfId="0" applyBorder="1"/>
    <xf numFmtId="0" fontId="0" fillId="12" borderId="7" xfId="0" applyFill="1" applyBorder="1"/>
    <xf numFmtId="0" fontId="0" fillId="12" borderId="8" xfId="0" applyFill="1" applyBorder="1"/>
    <xf numFmtId="14" fontId="0" fillId="0" borderId="8" xfId="0" applyNumberFormat="1" applyBorder="1" applyAlignment="1">
      <alignment horizontal="center"/>
    </xf>
    <xf numFmtId="1" fontId="0" fillId="0" borderId="9" xfId="0" applyNumberFormat="1" applyFont="1" applyFill="1" applyBorder="1" applyAlignment="1">
      <alignment horizontal="center" vertical="center"/>
    </xf>
    <xf numFmtId="1" fontId="0" fillId="0" borderId="6" xfId="0" applyNumberFormat="1" applyFont="1" applyFill="1" applyBorder="1" applyAlignment="1">
      <alignment horizontal="center" vertical="center"/>
    </xf>
    <xf numFmtId="14" fontId="0" fillId="0" borderId="6" xfId="0" applyNumberFormat="1" applyBorder="1" applyAlignment="1">
      <alignment horizontal="center"/>
    </xf>
    <xf numFmtId="1" fontId="0" fillId="0" borderId="30" xfId="0" applyNumberFormat="1" applyBorder="1" applyAlignment="1">
      <alignment horizontal="center"/>
    </xf>
    <xf numFmtId="0" fontId="0" fillId="0" borderId="7" xfId="0" applyBorder="1" applyAlignment="1">
      <alignment horizontal="left"/>
    </xf>
    <xf numFmtId="0" fontId="0" fillId="0" borderId="8" xfId="0" applyBorder="1" applyAlignment="1">
      <alignment horizontal="center"/>
    </xf>
    <xf numFmtId="14" fontId="15" fillId="0" borderId="0" xfId="7" applyNumberFormat="1" applyFont="1" applyFill="1" applyBorder="1" applyAlignment="1">
      <alignment horizontal="center" vertical="center"/>
    </xf>
    <xf numFmtId="14" fontId="0" fillId="0" borderId="0" xfId="0" applyNumberFormat="1" applyFont="1" applyBorder="1" applyAlignment="1">
      <alignment horizontal="center" vertical="center"/>
    </xf>
    <xf numFmtId="0" fontId="24" fillId="13" borderId="9" xfId="0" applyFont="1" applyFill="1" applyBorder="1" applyAlignment="1" applyProtection="1">
      <alignment horizontal="center" vertical="center"/>
      <protection locked="0"/>
    </xf>
    <xf numFmtId="0" fontId="19" fillId="8" borderId="0" xfId="0" applyFont="1" applyFill="1" applyProtection="1">
      <protection locked="0"/>
    </xf>
    <xf numFmtId="14" fontId="0" fillId="0" borderId="0" xfId="0" applyNumberFormat="1" applyBorder="1" applyAlignment="1">
      <alignment horizontal="center" vertical="center"/>
    </xf>
    <xf numFmtId="0" fontId="0" fillId="9" borderId="18" xfId="0"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2" fontId="38" fillId="0" borderId="0" xfId="0" applyNumberFormat="1" applyFont="1" applyFill="1"/>
    <xf numFmtId="0" fontId="15" fillId="0" borderId="0" xfId="7" applyFont="1" applyFill="1" applyAlignment="1">
      <alignment vertical="top"/>
    </xf>
    <xf numFmtId="0" fontId="36" fillId="9" borderId="4" xfId="0" applyFont="1" applyFill="1" applyBorder="1" applyAlignment="1" applyProtection="1">
      <alignment horizontal="center" vertical="center" wrapText="1"/>
    </xf>
    <xf numFmtId="0" fontId="36" fillId="9" borderId="20" xfId="0" applyFont="1" applyFill="1" applyBorder="1" applyAlignment="1" applyProtection="1">
      <alignment horizontal="center" vertical="center" wrapText="1"/>
    </xf>
    <xf numFmtId="44" fontId="33" fillId="2" borderId="27" xfId="0" applyNumberFormat="1" applyFont="1" applyFill="1" applyBorder="1" applyAlignment="1" applyProtection="1">
      <alignment horizontal="right" vertical="center"/>
    </xf>
    <xf numFmtId="44" fontId="33" fillId="2" borderId="2" xfId="0" applyNumberFormat="1" applyFont="1" applyFill="1" applyBorder="1" applyAlignment="1" applyProtection="1">
      <alignment horizontal="right" vertical="center"/>
    </xf>
    <xf numFmtId="0" fontId="29" fillId="9" borderId="0" xfId="0" applyFont="1" applyFill="1" applyBorder="1" applyAlignment="1" applyProtection="1">
      <alignment horizontal="left" vertical="center" wrapText="1"/>
    </xf>
    <xf numFmtId="0" fontId="29" fillId="9" borderId="18" xfId="0" applyFont="1" applyFill="1" applyBorder="1" applyAlignment="1" applyProtection="1">
      <alignment horizontal="left" vertical="center" wrapText="1"/>
    </xf>
    <xf numFmtId="0" fontId="0" fillId="8" borderId="0" xfId="0" applyFill="1" applyAlignment="1" applyProtection="1">
      <alignment horizontal="center" wrapText="1"/>
    </xf>
    <xf numFmtId="164" fontId="2" fillId="2" borderId="1"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0" fontId="0" fillId="0" borderId="7" xfId="0" applyBorder="1" applyAlignment="1">
      <alignment horizontal="center"/>
    </xf>
    <xf numFmtId="0" fontId="0" fillId="0" borderId="8" xfId="0" applyBorder="1" applyAlignment="1">
      <alignment horizontal="center"/>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1" xfId="0" applyFill="1" applyBorder="1" applyAlignment="1">
      <alignment horizontal="center" vertical="center" wrapText="1"/>
    </xf>
    <xf numFmtId="14" fontId="22" fillId="6" borderId="1" xfId="0" applyNumberFormat="1" applyFont="1" applyFill="1" applyBorder="1" applyAlignment="1">
      <alignment horizontal="center" vertical="center"/>
    </xf>
    <xf numFmtId="0" fontId="37" fillId="6" borderId="1" xfId="0" applyFont="1" applyFill="1" applyBorder="1" applyAlignment="1">
      <alignment horizontal="center" vertical="center" wrapText="1"/>
    </xf>
    <xf numFmtId="0" fontId="23" fillId="7" borderId="0" xfId="0" applyFont="1" applyFill="1" applyAlignment="1">
      <alignment horizontal="center" textRotation="90"/>
    </xf>
    <xf numFmtId="0" fontId="0" fillId="0" borderId="5"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6" xfId="0" applyBorder="1" applyAlignment="1">
      <alignment horizontal="center" wrapText="1"/>
    </xf>
    <xf numFmtId="0" fontId="22" fillId="6" borderId="1" xfId="0" applyFont="1" applyFill="1" applyBorder="1" applyAlignment="1">
      <alignment horizontal="center" vertical="center" wrapText="1"/>
    </xf>
    <xf numFmtId="0" fontId="0" fillId="0" borderId="0" xfId="0" applyAlignment="1">
      <alignment horizontal="center" wrapText="1"/>
    </xf>
    <xf numFmtId="0" fontId="0" fillId="4" borderId="7" xfId="0" applyFill="1" applyBorder="1" applyAlignment="1">
      <alignment horizontal="center" wrapText="1"/>
    </xf>
    <xf numFmtId="0" fontId="0" fillId="4" borderId="8" xfId="0" applyFill="1" applyBorder="1" applyAlignment="1">
      <alignment horizontal="center" wrapText="1"/>
    </xf>
    <xf numFmtId="0" fontId="0" fillId="0" borderId="0" xfId="0" applyAlignment="1">
      <alignment horizontal="center" vertical="center" wrapText="1"/>
    </xf>
    <xf numFmtId="0" fontId="0" fillId="6" borderId="1" xfId="0" applyFill="1" applyBorder="1" applyAlignment="1">
      <alignment horizontal="center" vertical="center"/>
    </xf>
    <xf numFmtId="0" fontId="27" fillId="2" borderId="24" xfId="0" applyFont="1" applyFill="1" applyBorder="1" applyAlignment="1">
      <alignment horizontal="center" vertical="center"/>
    </xf>
    <xf numFmtId="0" fontId="0" fillId="6" borderId="28" xfId="0" applyFill="1" applyBorder="1" applyAlignment="1">
      <alignment horizontal="left" vertical="center" wrapText="1"/>
    </xf>
    <xf numFmtId="0" fontId="0" fillId="6" borderId="29" xfId="0" applyFill="1" applyBorder="1" applyAlignment="1">
      <alignment horizontal="left" vertical="center" wrapText="1"/>
    </xf>
    <xf numFmtId="0" fontId="0" fillId="6" borderId="30" xfId="0" applyFill="1" applyBorder="1" applyAlignment="1">
      <alignment horizontal="left" vertical="center" wrapText="1"/>
    </xf>
    <xf numFmtId="0" fontId="0" fillId="2" borderId="5" xfId="0" applyFill="1" applyBorder="1" applyAlignment="1">
      <alignment horizontal="right" vertical="center"/>
    </xf>
    <xf numFmtId="0" fontId="0" fillId="2" borderId="0" xfId="0" applyFill="1" applyBorder="1" applyAlignment="1">
      <alignment horizontal="right" vertical="center"/>
    </xf>
    <xf numFmtId="0" fontId="0" fillId="2" borderId="10" xfId="0" applyFill="1" applyBorder="1" applyAlignment="1">
      <alignment horizontal="right" vertical="center"/>
    </xf>
    <xf numFmtId="0" fontId="0" fillId="2" borderId="24" xfId="0" applyFill="1" applyBorder="1" applyAlignment="1">
      <alignment horizontal="right" vertical="center"/>
    </xf>
    <xf numFmtId="0" fontId="0" fillId="2" borderId="0" xfId="0" applyFill="1" applyBorder="1" applyAlignment="1">
      <alignment horizontal="left" vertical="center"/>
    </xf>
    <xf numFmtId="0" fontId="0" fillId="2" borderId="9" xfId="0" applyFill="1" applyBorder="1" applyAlignment="1">
      <alignment horizontal="left" vertical="center"/>
    </xf>
    <xf numFmtId="0" fontId="27" fillId="2" borderId="5" xfId="0" applyFont="1" applyFill="1" applyBorder="1" applyAlignment="1">
      <alignment horizontal="right" vertical="center"/>
    </xf>
    <xf numFmtId="0" fontId="27" fillId="2" borderId="0" xfId="0" applyFont="1" applyFill="1" applyBorder="1" applyAlignment="1">
      <alignment horizontal="right" vertical="center"/>
    </xf>
    <xf numFmtId="0" fontId="27" fillId="2" borderId="0" xfId="0" applyFont="1" applyFill="1" applyBorder="1" applyAlignment="1">
      <alignment horizontal="center" vertical="center"/>
    </xf>
    <xf numFmtId="0" fontId="27" fillId="2" borderId="5" xfId="0" applyFont="1" applyFill="1" applyBorder="1" applyAlignment="1">
      <alignment horizontal="right" vertical="center" wrapText="1"/>
    </xf>
    <xf numFmtId="0" fontId="27" fillId="2" borderId="0" xfId="0" applyFont="1" applyFill="1" applyBorder="1" applyAlignment="1">
      <alignment horizontal="right" vertical="center" wrapText="1"/>
    </xf>
    <xf numFmtId="0" fontId="35" fillId="2" borderId="10"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0" fillId="2" borderId="0" xfId="0" applyFill="1" applyBorder="1" applyAlignment="1">
      <alignment horizontal="center" vertical="center"/>
    </xf>
    <xf numFmtId="0" fontId="0" fillId="2" borderId="9" xfId="0" applyFill="1" applyBorder="1" applyAlignment="1">
      <alignment horizontal="center" vertical="center"/>
    </xf>
    <xf numFmtId="0" fontId="15" fillId="0" borderId="28" xfId="7" applyFont="1" applyFill="1" applyBorder="1" applyAlignment="1">
      <alignment horizontal="center" vertical="center"/>
    </xf>
    <xf numFmtId="0" fontId="15" fillId="0" borderId="29" xfId="7" applyFont="1" applyFill="1" applyBorder="1" applyAlignment="1">
      <alignment horizontal="center" vertical="center"/>
    </xf>
    <xf numFmtId="0" fontId="15" fillId="0" borderId="30" xfId="7" applyFont="1" applyFill="1" applyBorder="1" applyAlignment="1">
      <alignment horizontal="center" vertical="center"/>
    </xf>
    <xf numFmtId="0" fontId="14" fillId="0" borderId="24" xfId="7" applyFont="1" applyFill="1" applyBorder="1" applyAlignment="1">
      <alignment horizontal="center"/>
    </xf>
    <xf numFmtId="0" fontId="15" fillId="0" borderId="0" xfId="7" applyFont="1" applyFill="1" applyAlignment="1">
      <alignment horizontal="right"/>
    </xf>
    <xf numFmtId="0" fontId="15" fillId="0" borderId="9" xfId="7" applyFont="1" applyFill="1" applyBorder="1" applyAlignment="1">
      <alignment horizontal="right"/>
    </xf>
    <xf numFmtId="0" fontId="15" fillId="0" borderId="28" xfId="7" applyFont="1" applyFill="1" applyBorder="1" applyAlignment="1" applyProtection="1">
      <alignment horizontal="center" vertical="center"/>
      <protection locked="0"/>
    </xf>
    <xf numFmtId="0" fontId="15" fillId="0" borderId="29" xfId="7" applyFont="1" applyFill="1" applyBorder="1" applyAlignment="1" applyProtection="1">
      <alignment horizontal="center" vertical="center"/>
      <protection locked="0"/>
    </xf>
    <xf numFmtId="0" fontId="15" fillId="0" borderId="30" xfId="7" applyFont="1" applyFill="1" applyBorder="1" applyAlignment="1" applyProtection="1">
      <alignment horizontal="center" vertical="center"/>
      <protection locked="0"/>
    </xf>
    <xf numFmtId="0" fontId="31" fillId="0" borderId="0" xfId="0" applyFont="1" applyAlignment="1">
      <alignment horizontal="left"/>
    </xf>
    <xf numFmtId="14" fontId="15" fillId="0" borderId="28" xfId="7" applyNumberFormat="1" applyFont="1" applyFill="1" applyBorder="1" applyAlignment="1">
      <alignment horizontal="center" vertical="center"/>
    </xf>
    <xf numFmtId="14" fontId="15" fillId="0" borderId="30" xfId="7" applyNumberFormat="1" applyFont="1" applyFill="1" applyBorder="1" applyAlignment="1">
      <alignment horizontal="center" vertical="center"/>
    </xf>
    <xf numFmtId="0" fontId="15" fillId="0" borderId="0" xfId="7" applyFont="1" applyFill="1" applyBorder="1" applyAlignment="1"/>
    <xf numFmtId="49" fontId="15" fillId="0" borderId="28" xfId="7" applyNumberFormat="1" applyFont="1" applyFill="1" applyBorder="1" applyAlignment="1" applyProtection="1">
      <alignment horizontal="center" vertical="center"/>
      <protection locked="0"/>
    </xf>
    <xf numFmtId="49" fontId="15" fillId="0" borderId="29" xfId="7" applyNumberFormat="1" applyFont="1" applyFill="1" applyBorder="1" applyAlignment="1" applyProtection="1">
      <alignment horizontal="center" vertical="center"/>
      <protection locked="0"/>
    </xf>
    <xf numFmtId="49" fontId="15" fillId="0" borderId="30" xfId="7" applyNumberFormat="1" applyFont="1" applyFill="1" applyBorder="1" applyAlignment="1" applyProtection="1">
      <alignment horizontal="center" vertical="center"/>
      <protection locked="0"/>
    </xf>
    <xf numFmtId="0" fontId="15" fillId="0" borderId="28" xfId="7" applyFont="1" applyFill="1" applyBorder="1" applyAlignment="1">
      <alignment horizontal="center"/>
    </xf>
    <xf numFmtId="0" fontId="15" fillId="0" borderId="29" xfId="7" applyFont="1" applyFill="1" applyBorder="1" applyAlignment="1">
      <alignment horizontal="center"/>
    </xf>
    <xf numFmtId="0" fontId="15" fillId="0" borderId="30" xfId="7" applyFont="1" applyFill="1" applyBorder="1" applyAlignment="1">
      <alignment horizontal="center"/>
    </xf>
    <xf numFmtId="14" fontId="15" fillId="0" borderId="29" xfId="7" applyNumberFormat="1" applyFont="1" applyFill="1" applyBorder="1" applyAlignment="1">
      <alignment horizontal="center" vertical="center"/>
    </xf>
    <xf numFmtId="165" fontId="15" fillId="0" borderId="28" xfId="7" applyNumberFormat="1" applyFont="1" applyFill="1" applyBorder="1" applyAlignment="1">
      <alignment horizontal="center" vertical="center"/>
    </xf>
    <xf numFmtId="165" fontId="15" fillId="0" borderId="30" xfId="7" applyNumberFormat="1" applyFont="1" applyFill="1" applyBorder="1" applyAlignment="1">
      <alignment horizontal="center" vertical="center"/>
    </xf>
    <xf numFmtId="0" fontId="31" fillId="0" borderId="0" xfId="0" applyFont="1" applyAlignment="1">
      <alignment horizontal="left" wrapText="1"/>
    </xf>
    <xf numFmtId="14" fontId="0" fillId="0" borderId="30" xfId="0" applyNumberFormat="1" applyFont="1" applyBorder="1" applyAlignment="1">
      <alignment horizontal="center" vertical="center"/>
    </xf>
    <xf numFmtId="0" fontId="15" fillId="0" borderId="0" xfId="7" applyFont="1" applyFill="1" applyAlignment="1">
      <alignment horizontal="left" wrapText="1"/>
    </xf>
    <xf numFmtId="0" fontId="27" fillId="0" borderId="28" xfId="0" applyFont="1" applyBorder="1" applyAlignment="1">
      <alignment horizontal="left" vertical="center" wrapText="1"/>
    </xf>
    <xf numFmtId="0" fontId="27" fillId="0" borderId="29" xfId="0" applyFont="1" applyBorder="1" applyAlignment="1">
      <alignment horizontal="left" vertical="center" wrapText="1"/>
    </xf>
    <xf numFmtId="0" fontId="27" fillId="0" borderId="30" xfId="0" applyFont="1" applyBorder="1" applyAlignment="1">
      <alignment horizontal="left" vertical="center" wrapText="1"/>
    </xf>
    <xf numFmtId="0" fontId="14" fillId="0" borderId="0" xfId="7" applyFont="1" applyFill="1" applyBorder="1" applyAlignment="1">
      <alignment wrapText="1"/>
    </xf>
    <xf numFmtId="0" fontId="15" fillId="0" borderId="0" xfId="7" applyFont="1" applyFill="1" applyBorder="1" applyAlignment="1">
      <alignment wrapText="1"/>
    </xf>
  </cellXfs>
  <cellStyles count="9">
    <cellStyle name="Comma 2" xfId="1"/>
    <cellStyle name="Comma 2 2" xfId="2"/>
    <cellStyle name="Hyperlink" xfId="3" builtinId="8"/>
    <cellStyle name="Normal" xfId="0" builtinId="0"/>
    <cellStyle name="Normal 2" xfId="4"/>
    <cellStyle name="Normal 2 2" xfId="5"/>
    <cellStyle name="Normal 3" xfId="6"/>
    <cellStyle name="Normal 4" xfId="7"/>
    <cellStyle name="Percent 2" xfId="8"/>
  </cellStyles>
  <dxfs count="7">
    <dxf>
      <fill>
        <patternFill>
          <bgColor rgb="FFF7F7F7"/>
        </patternFill>
      </fill>
    </dxf>
    <dxf>
      <fill>
        <patternFill>
          <bgColor rgb="FFEDEDED"/>
        </patternFill>
      </fill>
    </dxf>
    <dxf>
      <fill>
        <patternFill>
          <bgColor rgb="FFF7F7F7"/>
        </patternFill>
      </fill>
    </dxf>
    <dxf>
      <fill>
        <patternFill>
          <bgColor rgb="FFEDEDED"/>
        </patternFill>
      </fill>
    </dxf>
    <dxf>
      <font>
        <color rgb="FFFFFFCC"/>
      </font>
      <fill>
        <patternFill patternType="solid">
          <bgColor rgb="FFFFFFCC"/>
        </patternFill>
      </fill>
    </dxf>
    <dxf>
      <fill>
        <patternFill>
          <bgColor theme="0"/>
        </patternFill>
      </fill>
      <border>
        <left style="thin">
          <color indexed="64"/>
        </left>
        <right style="thin">
          <color indexed="64"/>
        </right>
        <top style="thin">
          <color indexed="64"/>
        </top>
        <bottom style="thin">
          <color indexed="64"/>
        </bottom>
      </border>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238125</xdr:colOff>
      <xdr:row>41</xdr:row>
      <xdr:rowOff>146182</xdr:rowOff>
    </xdr:from>
    <xdr:to>
      <xdr:col>7</xdr:col>
      <xdr:colOff>190500</xdr:colOff>
      <xdr:row>43</xdr:row>
      <xdr:rowOff>288230</xdr:rowOff>
    </xdr:to>
    <xdr:sp macro="[0]!ViewRegularContsEstimate2" textlink="">
      <xdr:nvSpPr>
        <xdr:cNvPr id="4" name="Rounded Rectangle 3"/>
        <xdr:cNvSpPr/>
      </xdr:nvSpPr>
      <xdr:spPr>
        <a:xfrm>
          <a:off x="7369451" y="6051682"/>
          <a:ext cx="1791114" cy="572744"/>
        </a:xfrm>
        <a:prstGeom prst="roundRect">
          <a:avLst/>
        </a:prstGeom>
        <a:solidFill>
          <a:schemeClr val="tx2">
            <a:lumMod val="20000"/>
            <a:lumOff val="80000"/>
          </a:schemeClr>
        </a:solidFill>
        <a:ln>
          <a:no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a:solidFill>
                <a:sysClr val="windowText" lastClr="000000"/>
              </a:solidFill>
              <a:latin typeface="Arial" pitchFamily="34" charset="0"/>
              <a:cs typeface="Arial" pitchFamily="34" charset="0"/>
            </a:rPr>
            <a:t>View Printable Estimate</a:t>
          </a:r>
        </a:p>
      </xdr:txBody>
    </xdr:sp>
    <xdr:clientData/>
  </xdr:twoCellAnchor>
  <xdr:twoCellAnchor>
    <xdr:from>
      <xdr:col>4</xdr:col>
      <xdr:colOff>266700</xdr:colOff>
      <xdr:row>26</xdr:row>
      <xdr:rowOff>28575</xdr:rowOff>
    </xdr:from>
    <xdr:to>
      <xdr:col>7</xdr:col>
      <xdr:colOff>219075</xdr:colOff>
      <xdr:row>29</xdr:row>
      <xdr:rowOff>95250</xdr:rowOff>
    </xdr:to>
    <xdr:sp macro="[0]!ViewLumpSumEstimate2" textlink="">
      <xdr:nvSpPr>
        <xdr:cNvPr id="5" name="Rounded Rectangle 4"/>
        <xdr:cNvSpPr/>
      </xdr:nvSpPr>
      <xdr:spPr>
        <a:xfrm>
          <a:off x="8286750" y="3714750"/>
          <a:ext cx="1781175" cy="581025"/>
        </a:xfrm>
        <a:prstGeom prst="roundRect">
          <a:avLst/>
        </a:prstGeom>
        <a:solidFill>
          <a:schemeClr val="tx2">
            <a:lumMod val="20000"/>
            <a:lumOff val="80000"/>
          </a:schemeClr>
        </a:solidFill>
        <a:ln>
          <a:no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a:solidFill>
                <a:sysClr val="windowText" lastClr="000000"/>
              </a:solidFill>
              <a:latin typeface="Arial" pitchFamily="34" charset="0"/>
              <a:cs typeface="Arial" pitchFamily="34" charset="0"/>
            </a:rPr>
            <a:t>View Printable Estimate</a:t>
          </a:r>
        </a:p>
      </xdr:txBody>
    </xdr:sp>
    <xdr:clientData/>
  </xdr:twoCellAnchor>
  <xdr:twoCellAnchor>
    <xdr:from>
      <xdr:col>2</xdr:col>
      <xdr:colOff>1444901</xdr:colOff>
      <xdr:row>46</xdr:row>
      <xdr:rowOff>158198</xdr:rowOff>
    </xdr:from>
    <xdr:to>
      <xdr:col>2</xdr:col>
      <xdr:colOff>3921401</xdr:colOff>
      <xdr:row>51</xdr:row>
      <xdr:rowOff>2070</xdr:rowOff>
    </xdr:to>
    <xdr:sp macro="[0]!ViewGuidanceNotes" textlink="">
      <xdr:nvSpPr>
        <xdr:cNvPr id="6" name="Rounded Rectangle 5"/>
        <xdr:cNvSpPr/>
      </xdr:nvSpPr>
      <xdr:spPr>
        <a:xfrm>
          <a:off x="2182053" y="1930676"/>
          <a:ext cx="2476500" cy="672133"/>
        </a:xfrm>
        <a:prstGeom prst="roundRect">
          <a:avLst/>
        </a:prstGeom>
        <a:solidFill>
          <a:schemeClr val="tx2">
            <a:lumMod val="20000"/>
            <a:lumOff val="80000"/>
          </a:schemeClr>
        </a:solidFill>
        <a:ln>
          <a:no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a:solidFill>
                <a:sysClr val="windowText" lastClr="000000"/>
              </a:solidFill>
              <a:latin typeface="Arial" pitchFamily="34" charset="0"/>
              <a:cs typeface="Arial" pitchFamily="34" charset="0"/>
            </a:rPr>
            <a:t>View</a:t>
          </a:r>
          <a:r>
            <a:rPr lang="en-GB" sz="1400" b="0" baseline="0">
              <a:solidFill>
                <a:sysClr val="windowText" lastClr="000000"/>
              </a:solidFill>
              <a:latin typeface="Arial" pitchFamily="34" charset="0"/>
              <a:cs typeface="Arial" pitchFamily="34" charset="0"/>
            </a:rPr>
            <a:t> Guidance Notes</a:t>
          </a:r>
          <a:endParaRPr lang="en-GB" sz="1400" b="0">
            <a:solidFill>
              <a:sysClr val="windowText" lastClr="000000"/>
            </a:solidFill>
            <a:latin typeface="Arial" pitchFamily="34" charset="0"/>
            <a:cs typeface="Arial" pitchFamily="34" charset="0"/>
          </a:endParaRPr>
        </a:p>
      </xdr:txBody>
    </xdr:sp>
    <xdr:clientData/>
  </xdr:twoCellAnchor>
  <xdr:twoCellAnchor>
    <xdr:from>
      <xdr:col>2</xdr:col>
      <xdr:colOff>3978551</xdr:colOff>
      <xdr:row>46</xdr:row>
      <xdr:rowOff>158198</xdr:rowOff>
    </xdr:from>
    <xdr:to>
      <xdr:col>3</xdr:col>
      <xdr:colOff>882926</xdr:colOff>
      <xdr:row>51</xdr:row>
      <xdr:rowOff>2070</xdr:rowOff>
    </xdr:to>
    <xdr:sp macro="[0]!ClearForm" textlink="">
      <xdr:nvSpPr>
        <xdr:cNvPr id="9" name="Rounded Rectangle 8"/>
        <xdr:cNvSpPr/>
      </xdr:nvSpPr>
      <xdr:spPr>
        <a:xfrm>
          <a:off x="4715703" y="1930676"/>
          <a:ext cx="2279788" cy="672133"/>
        </a:xfrm>
        <a:prstGeom prst="roundRect">
          <a:avLst/>
        </a:prstGeom>
        <a:solidFill>
          <a:schemeClr val="tx2">
            <a:lumMod val="20000"/>
            <a:lumOff val="80000"/>
          </a:schemeClr>
        </a:solidFill>
        <a:ln>
          <a:no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a:solidFill>
                <a:sysClr val="windowText" lastClr="000000"/>
              </a:solidFill>
              <a:latin typeface="Arial" pitchFamily="34" charset="0"/>
              <a:cs typeface="Arial" pitchFamily="34" charset="0"/>
            </a:rPr>
            <a:t>Clear Form</a:t>
          </a:r>
        </a:p>
      </xdr:txBody>
    </xdr:sp>
    <xdr:clientData/>
  </xdr:twoCellAnchor>
  <xdr:twoCellAnchor>
    <xdr:from>
      <xdr:col>4</xdr:col>
      <xdr:colOff>219075</xdr:colOff>
      <xdr:row>37</xdr:row>
      <xdr:rowOff>180975</xdr:rowOff>
    </xdr:from>
    <xdr:to>
      <xdr:col>7</xdr:col>
      <xdr:colOff>171450</xdr:colOff>
      <xdr:row>40</xdr:row>
      <xdr:rowOff>0</xdr:rowOff>
    </xdr:to>
    <xdr:sp macro="[0]!ViewRegularContsEstimate1" textlink="">
      <xdr:nvSpPr>
        <xdr:cNvPr id="11" name="Rounded Rectangle 10"/>
        <xdr:cNvSpPr/>
      </xdr:nvSpPr>
      <xdr:spPr>
        <a:xfrm>
          <a:off x="7572375" y="3619500"/>
          <a:ext cx="1781175" cy="561975"/>
        </a:xfrm>
        <a:prstGeom prst="roundRect">
          <a:avLst/>
        </a:prstGeom>
        <a:solidFill>
          <a:schemeClr val="tx2">
            <a:lumMod val="20000"/>
            <a:lumOff val="80000"/>
          </a:schemeClr>
        </a:solidFill>
        <a:ln>
          <a:no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a:solidFill>
                <a:sysClr val="windowText" lastClr="000000"/>
              </a:solidFill>
              <a:latin typeface="Arial" pitchFamily="34" charset="0"/>
              <a:cs typeface="Arial" pitchFamily="34" charset="0"/>
            </a:rPr>
            <a:t>View Printable Estimate</a:t>
          </a:r>
        </a:p>
      </xdr:txBody>
    </xdr:sp>
    <xdr:clientData/>
  </xdr:twoCellAnchor>
  <xdr:twoCellAnchor>
    <xdr:from>
      <xdr:col>4</xdr:col>
      <xdr:colOff>247650</xdr:colOff>
      <xdr:row>22</xdr:row>
      <xdr:rowOff>19050</xdr:rowOff>
    </xdr:from>
    <xdr:to>
      <xdr:col>7</xdr:col>
      <xdr:colOff>200025</xdr:colOff>
      <xdr:row>25</xdr:row>
      <xdr:rowOff>114300</xdr:rowOff>
    </xdr:to>
    <xdr:sp macro="[0]!ViewLumpSumEstimate1" textlink="">
      <xdr:nvSpPr>
        <xdr:cNvPr id="14" name="Rounded Rectangle 13"/>
        <xdr:cNvSpPr/>
      </xdr:nvSpPr>
      <xdr:spPr>
        <a:xfrm>
          <a:off x="8267700" y="2781300"/>
          <a:ext cx="1781175" cy="581025"/>
        </a:xfrm>
        <a:prstGeom prst="roundRect">
          <a:avLst/>
        </a:prstGeom>
        <a:solidFill>
          <a:schemeClr val="tx2">
            <a:lumMod val="20000"/>
            <a:lumOff val="80000"/>
          </a:schemeClr>
        </a:solidFill>
        <a:ln>
          <a:no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a:solidFill>
                <a:sysClr val="windowText" lastClr="000000"/>
              </a:solidFill>
              <a:latin typeface="Arial" pitchFamily="34" charset="0"/>
              <a:cs typeface="Arial" pitchFamily="34" charset="0"/>
            </a:rPr>
            <a:t>View Printable Estimate</a:t>
          </a:r>
        </a:p>
      </xdr:txBody>
    </xdr:sp>
    <xdr:clientData/>
  </xdr:twoCellAnchor>
  <mc:AlternateContent xmlns:mc="http://schemas.openxmlformats.org/markup-compatibility/2006">
    <mc:Choice xmlns:a14="http://schemas.microsoft.com/office/drawing/2010/main" Requires="a14">
      <xdr:twoCellAnchor>
        <xdr:from>
          <xdr:col>2</xdr:col>
          <xdr:colOff>198120</xdr:colOff>
          <xdr:row>1</xdr:row>
          <xdr:rowOff>30480</xdr:rowOff>
        </xdr:from>
        <xdr:to>
          <xdr:col>2</xdr:col>
          <xdr:colOff>2019300</xdr:colOff>
          <xdr:row>1</xdr:row>
          <xdr:rowOff>464820</xdr:rowOff>
        </xdr:to>
        <xdr:sp macro="" textlink="">
          <xdr:nvSpPr>
            <xdr:cNvPr id="1470" name="Object 446" hidden="1">
              <a:extLst>
                <a:ext uri="{63B3BB69-23CF-44E3-9099-C40C66FF867C}">
                  <a14:compatExt spid="_x0000_s1470"/>
                </a:ext>
              </a:extLst>
            </xdr:cNvPr>
            <xdr:cNvSpPr/>
          </xdr:nvSpPr>
          <xdr:spPr bwMode="auto">
            <a:xfrm>
              <a:off x="0" y="0"/>
              <a:ext cx="0" cy="0"/>
            </a:xfrm>
            <a:prstGeom prst="rect">
              <a:avLst/>
            </a:prstGeom>
            <a:noFill/>
            <a:extLst>
              <a:ext uri="{909E8E84-426E-40DD-AFC4-6F175D3DCCD1}">
                <a14:hiddenFill>
                  <a:solidFill>
                    <a:srgbClr val="BBE0E3"/>
                  </a:solidFill>
                </a14:hiddenFill>
              </a:ext>
            </a:extLst>
          </xdr:spPr>
        </xdr:sp>
        <xdr:clientData/>
      </xdr:twoCellAnchor>
    </mc:Choice>
    <mc:Fallback/>
  </mc:AlternateContent>
  <xdr:twoCellAnchor>
    <xdr:from>
      <xdr:col>3</xdr:col>
      <xdr:colOff>38099</xdr:colOff>
      <xdr:row>21</xdr:row>
      <xdr:rowOff>209550</xdr:rowOff>
    </xdr:from>
    <xdr:to>
      <xdr:col>5</xdr:col>
      <xdr:colOff>152400</xdr:colOff>
      <xdr:row>21</xdr:row>
      <xdr:rowOff>657225</xdr:rowOff>
    </xdr:to>
    <xdr:sp macro="[0]!LS_HowMuchAP" textlink="">
      <xdr:nvSpPr>
        <xdr:cNvPr id="2" name="Rectangle 1"/>
        <xdr:cNvSpPr/>
      </xdr:nvSpPr>
      <xdr:spPr>
        <a:xfrm>
          <a:off x="6143624" y="2286000"/>
          <a:ext cx="1971676" cy="447675"/>
        </a:xfrm>
        <a:prstGeom prst="rect">
          <a:avLst/>
        </a:prstGeom>
        <a:solidFill>
          <a:schemeClr val="bg1">
            <a:lumMod val="95000"/>
          </a:schemeClr>
        </a:solidFill>
        <a:ln>
          <a:solidFill>
            <a:schemeClr val="accent6">
              <a:lumMod val="20000"/>
              <a:lumOff val="8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rgbClr val="000000"/>
              </a:solidFill>
            </a:rPr>
            <a:t>How much added pension</a:t>
          </a:r>
          <a:r>
            <a:rPr lang="en-GB" sz="1100" b="1" baseline="0">
              <a:solidFill>
                <a:srgbClr val="000000"/>
              </a:solidFill>
            </a:rPr>
            <a:t> </a:t>
          </a:r>
          <a:r>
            <a:rPr lang="en-GB" sz="1100" b="1">
              <a:solidFill>
                <a:srgbClr val="000000"/>
              </a:solidFill>
            </a:rPr>
            <a:t>a set lump sum will buy</a:t>
          </a:r>
        </a:p>
      </xdr:txBody>
    </xdr:sp>
    <xdr:clientData/>
  </xdr:twoCellAnchor>
  <xdr:twoCellAnchor>
    <xdr:from>
      <xdr:col>5</xdr:col>
      <xdr:colOff>209550</xdr:colOff>
      <xdr:row>21</xdr:row>
      <xdr:rowOff>209550</xdr:rowOff>
    </xdr:from>
    <xdr:to>
      <xdr:col>7</xdr:col>
      <xdr:colOff>962026</xdr:colOff>
      <xdr:row>21</xdr:row>
      <xdr:rowOff>657225</xdr:rowOff>
    </xdr:to>
    <xdr:sp macro="[0]!LS_HowMuchLS" textlink="">
      <xdr:nvSpPr>
        <xdr:cNvPr id="15" name="Rectangle 14"/>
        <xdr:cNvSpPr/>
      </xdr:nvSpPr>
      <xdr:spPr>
        <a:xfrm>
          <a:off x="8172450" y="2286000"/>
          <a:ext cx="1971676" cy="447675"/>
        </a:xfrm>
        <a:prstGeom prst="rect">
          <a:avLst/>
        </a:prstGeom>
        <a:solidFill>
          <a:schemeClr val="bg1">
            <a:lumMod val="95000"/>
          </a:schemeClr>
        </a:solidFill>
        <a:ln>
          <a:solidFill>
            <a:schemeClr val="accent6">
              <a:lumMod val="20000"/>
              <a:lumOff val="8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rgbClr val="000000"/>
              </a:solidFill>
            </a:rPr>
            <a:t>Lump sum required to buy a set amount of added pension</a:t>
          </a:r>
        </a:p>
      </xdr:txBody>
    </xdr:sp>
    <xdr:clientData/>
  </xdr:twoCellAnchor>
  <xdr:twoCellAnchor>
    <xdr:from>
      <xdr:col>3</xdr:col>
      <xdr:colOff>28575</xdr:colOff>
      <xdr:row>35</xdr:row>
      <xdr:rowOff>133350</xdr:rowOff>
    </xdr:from>
    <xdr:to>
      <xdr:col>5</xdr:col>
      <xdr:colOff>142876</xdr:colOff>
      <xdr:row>35</xdr:row>
      <xdr:rowOff>761999</xdr:rowOff>
    </xdr:to>
    <xdr:sp macro="[0]!RC_LevelContributions" textlink="">
      <xdr:nvSpPr>
        <xdr:cNvPr id="17" name="Rectangle 16"/>
        <xdr:cNvSpPr/>
      </xdr:nvSpPr>
      <xdr:spPr>
        <a:xfrm>
          <a:off x="6134100" y="2581275"/>
          <a:ext cx="1971676" cy="628649"/>
        </a:xfrm>
        <a:prstGeom prst="rect">
          <a:avLst/>
        </a:prstGeom>
        <a:solidFill>
          <a:schemeClr val="bg1">
            <a:lumMod val="95000"/>
          </a:schemeClr>
        </a:solidFill>
        <a:ln>
          <a:solidFill>
            <a:schemeClr val="accent6">
              <a:lumMod val="20000"/>
              <a:lumOff val="8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000000"/>
              </a:solidFill>
            </a:rPr>
            <a:t>Added pension balance if I pay level contributions</a:t>
          </a:r>
        </a:p>
      </xdr:txBody>
    </xdr:sp>
    <xdr:clientData/>
  </xdr:twoCellAnchor>
  <xdr:twoCellAnchor>
    <xdr:from>
      <xdr:col>5</xdr:col>
      <xdr:colOff>200025</xdr:colOff>
      <xdr:row>35</xdr:row>
      <xdr:rowOff>133349</xdr:rowOff>
    </xdr:from>
    <xdr:to>
      <xdr:col>7</xdr:col>
      <xdr:colOff>952501</xdr:colOff>
      <xdr:row>35</xdr:row>
      <xdr:rowOff>763349</xdr:rowOff>
    </xdr:to>
    <xdr:sp macro="[0]!RC_SetAmount" textlink="">
      <xdr:nvSpPr>
        <xdr:cNvPr id="19" name="Rectangle 18"/>
        <xdr:cNvSpPr/>
      </xdr:nvSpPr>
      <xdr:spPr>
        <a:xfrm>
          <a:off x="8162925" y="2581274"/>
          <a:ext cx="1971676" cy="630000"/>
        </a:xfrm>
        <a:prstGeom prst="rect">
          <a:avLst/>
        </a:prstGeom>
        <a:solidFill>
          <a:schemeClr val="bg1">
            <a:lumMod val="95000"/>
          </a:schemeClr>
        </a:solidFill>
        <a:ln>
          <a:solidFill>
            <a:schemeClr val="accent6">
              <a:lumMod val="20000"/>
              <a:lumOff val="8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rgbClr val="000000"/>
              </a:solidFill>
            </a:rPr>
            <a:t>Contribution required to buy a set amount of added pension each year</a:t>
          </a:r>
        </a:p>
      </xdr:txBody>
    </xdr:sp>
    <xdr:clientData/>
  </xdr:twoCellAnchor>
  <xdr:twoCellAnchor>
    <xdr:from>
      <xdr:col>3</xdr:col>
      <xdr:colOff>1085850</xdr:colOff>
      <xdr:row>17</xdr:row>
      <xdr:rowOff>123825</xdr:rowOff>
    </xdr:from>
    <xdr:to>
      <xdr:col>5</xdr:col>
      <xdr:colOff>219075</xdr:colOff>
      <xdr:row>17</xdr:row>
      <xdr:rowOff>561975</xdr:rowOff>
    </xdr:to>
    <xdr:sp macro="[0]!PeriodicContributions" textlink="">
      <xdr:nvSpPr>
        <xdr:cNvPr id="20" name="Rectangle 19"/>
        <xdr:cNvSpPr/>
      </xdr:nvSpPr>
      <xdr:spPr>
        <a:xfrm>
          <a:off x="7191375" y="1123950"/>
          <a:ext cx="990600" cy="438150"/>
        </a:xfrm>
        <a:prstGeom prst="rect">
          <a:avLst/>
        </a:prstGeom>
        <a:solidFill>
          <a:schemeClr val="bg1">
            <a:lumMod val="95000"/>
          </a:schemeClr>
        </a:solidFill>
        <a:ln>
          <a:solidFill>
            <a:schemeClr val="accent6">
              <a:lumMod val="20000"/>
              <a:lumOff val="8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000000"/>
              </a:solidFill>
            </a:rPr>
            <a:t>Monthly Contributions</a:t>
          </a:r>
        </a:p>
      </xdr:txBody>
    </xdr:sp>
    <xdr:clientData/>
  </xdr:twoCellAnchor>
  <xdr:twoCellAnchor>
    <xdr:from>
      <xdr:col>3</xdr:col>
      <xdr:colOff>28575</xdr:colOff>
      <xdr:row>17</xdr:row>
      <xdr:rowOff>123825</xdr:rowOff>
    </xdr:from>
    <xdr:to>
      <xdr:col>3</xdr:col>
      <xdr:colOff>1019175</xdr:colOff>
      <xdr:row>17</xdr:row>
      <xdr:rowOff>561975</xdr:rowOff>
    </xdr:to>
    <xdr:sp macro="[0]!LumpSum" textlink="">
      <xdr:nvSpPr>
        <xdr:cNvPr id="21" name="Rectangle 20"/>
        <xdr:cNvSpPr/>
      </xdr:nvSpPr>
      <xdr:spPr>
        <a:xfrm>
          <a:off x="6134100" y="1123950"/>
          <a:ext cx="990600" cy="438150"/>
        </a:xfrm>
        <a:prstGeom prst="rect">
          <a:avLst/>
        </a:prstGeom>
        <a:solidFill>
          <a:schemeClr val="bg1">
            <a:lumMod val="95000"/>
          </a:schemeClr>
        </a:solidFill>
        <a:ln>
          <a:solidFill>
            <a:schemeClr val="accent6">
              <a:lumMod val="20000"/>
              <a:lumOff val="8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000000"/>
              </a:solidFill>
            </a:rPr>
            <a:t>Lump Sum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935101</xdr:colOff>
      <xdr:row>2</xdr:row>
      <xdr:rowOff>66261</xdr:rowOff>
    </xdr:from>
    <xdr:to>
      <xdr:col>2</xdr:col>
      <xdr:colOff>2965169</xdr:colOff>
      <xdr:row>2</xdr:row>
      <xdr:rowOff>628236</xdr:rowOff>
    </xdr:to>
    <xdr:sp macro="[0]!ReturnToCalculator" textlink="">
      <xdr:nvSpPr>
        <xdr:cNvPr id="2" name="Rounded Rectangle 1"/>
        <xdr:cNvSpPr/>
      </xdr:nvSpPr>
      <xdr:spPr>
        <a:xfrm>
          <a:off x="1630840" y="472109"/>
          <a:ext cx="2030068" cy="561975"/>
        </a:xfrm>
        <a:prstGeom prst="roundRect">
          <a:avLst/>
        </a:prstGeom>
        <a:solidFill>
          <a:schemeClr val="tx2">
            <a:lumMod val="20000"/>
            <a:lumOff val="80000"/>
          </a:schemeClr>
        </a:solidFill>
        <a:ln>
          <a:no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a:solidFill>
                <a:sysClr val="windowText" lastClr="000000"/>
              </a:solidFill>
              <a:latin typeface="Arial" pitchFamily="34" charset="0"/>
              <a:cs typeface="Arial" pitchFamily="34" charset="0"/>
            </a:rPr>
            <a:t>Return to calculator</a:t>
          </a:r>
        </a:p>
      </xdr:txBody>
    </xdr:sp>
    <xdr:clientData/>
  </xdr:twoCellAnchor>
  <xdr:twoCellAnchor>
    <xdr:from>
      <xdr:col>2</xdr:col>
      <xdr:colOff>3006581</xdr:colOff>
      <xdr:row>2</xdr:row>
      <xdr:rowOff>66261</xdr:rowOff>
    </xdr:from>
    <xdr:to>
      <xdr:col>3</xdr:col>
      <xdr:colOff>844820</xdr:colOff>
      <xdr:row>2</xdr:row>
      <xdr:rowOff>628236</xdr:rowOff>
    </xdr:to>
    <xdr:sp macro="[0]!LumpSum1_app" textlink="">
      <xdr:nvSpPr>
        <xdr:cNvPr id="3" name="Rounded Rectangle 2"/>
        <xdr:cNvSpPr/>
      </xdr:nvSpPr>
      <xdr:spPr>
        <a:xfrm>
          <a:off x="3702320" y="472109"/>
          <a:ext cx="2037522" cy="561975"/>
        </a:xfrm>
        <a:prstGeom prst="roundRect">
          <a:avLst/>
        </a:prstGeom>
        <a:solidFill>
          <a:schemeClr val="tx2">
            <a:lumMod val="20000"/>
            <a:lumOff val="80000"/>
          </a:schemeClr>
        </a:solidFill>
        <a:ln>
          <a:no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a:solidFill>
                <a:sysClr val="windowText" lastClr="000000"/>
              </a:solidFill>
              <a:latin typeface="Arial" pitchFamily="34" charset="0"/>
              <a:cs typeface="Arial" pitchFamily="34" charset="0"/>
            </a:rPr>
            <a:t>Proceed to application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721830</xdr:colOff>
      <xdr:row>2</xdr:row>
      <xdr:rowOff>125896</xdr:rowOff>
    </xdr:from>
    <xdr:to>
      <xdr:col>2</xdr:col>
      <xdr:colOff>2774674</xdr:colOff>
      <xdr:row>3</xdr:row>
      <xdr:rowOff>24848</xdr:rowOff>
    </xdr:to>
    <xdr:sp macro="[0]!ReturnToCalculator" textlink="">
      <xdr:nvSpPr>
        <xdr:cNvPr id="2" name="Rounded Rectangle 1"/>
        <xdr:cNvSpPr/>
      </xdr:nvSpPr>
      <xdr:spPr>
        <a:xfrm>
          <a:off x="1417569" y="374374"/>
          <a:ext cx="2052844" cy="553278"/>
        </a:xfrm>
        <a:prstGeom prst="roundRect">
          <a:avLst/>
        </a:prstGeom>
        <a:solidFill>
          <a:schemeClr val="tx2">
            <a:lumMod val="20000"/>
            <a:lumOff val="80000"/>
          </a:schemeClr>
        </a:solidFill>
        <a:ln>
          <a:no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a:solidFill>
                <a:sysClr val="windowText" lastClr="000000"/>
              </a:solidFill>
              <a:latin typeface="Arial" pitchFamily="34" charset="0"/>
              <a:cs typeface="Arial" pitchFamily="34" charset="0"/>
            </a:rPr>
            <a:t>Return to calculator</a:t>
          </a:r>
        </a:p>
      </xdr:txBody>
    </xdr:sp>
    <xdr:clientData/>
  </xdr:twoCellAnchor>
  <xdr:twoCellAnchor>
    <xdr:from>
      <xdr:col>2</xdr:col>
      <xdr:colOff>2824370</xdr:colOff>
      <xdr:row>2</xdr:row>
      <xdr:rowOff>124239</xdr:rowOff>
    </xdr:from>
    <xdr:to>
      <xdr:col>3</xdr:col>
      <xdr:colOff>662609</xdr:colOff>
      <xdr:row>3</xdr:row>
      <xdr:rowOff>31888</xdr:rowOff>
    </xdr:to>
    <xdr:sp macro="[0]!LumpSum2_app" textlink="">
      <xdr:nvSpPr>
        <xdr:cNvPr id="4" name="Rounded Rectangle 3"/>
        <xdr:cNvSpPr/>
      </xdr:nvSpPr>
      <xdr:spPr>
        <a:xfrm>
          <a:off x="3520109" y="372717"/>
          <a:ext cx="2037522" cy="561975"/>
        </a:xfrm>
        <a:prstGeom prst="roundRect">
          <a:avLst/>
        </a:prstGeom>
        <a:solidFill>
          <a:schemeClr val="tx2">
            <a:lumMod val="20000"/>
            <a:lumOff val="80000"/>
          </a:schemeClr>
        </a:solidFill>
        <a:ln>
          <a:no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a:solidFill>
                <a:sysClr val="windowText" lastClr="000000"/>
              </a:solidFill>
              <a:latin typeface="Arial" pitchFamily="34" charset="0"/>
              <a:cs typeface="Arial" pitchFamily="34" charset="0"/>
            </a:rPr>
            <a:t>Proceed to application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400050</xdr:colOff>
      <xdr:row>1</xdr:row>
      <xdr:rowOff>76200</xdr:rowOff>
    </xdr:from>
    <xdr:to>
      <xdr:col>2</xdr:col>
      <xdr:colOff>2743200</xdr:colOff>
      <xdr:row>2</xdr:row>
      <xdr:rowOff>552450</xdr:rowOff>
    </xdr:to>
    <xdr:sp macro="[0]!ReturnToCalculator" textlink="">
      <xdr:nvSpPr>
        <xdr:cNvPr id="2" name="Rounded Rectangle 1"/>
        <xdr:cNvSpPr/>
      </xdr:nvSpPr>
      <xdr:spPr>
        <a:xfrm>
          <a:off x="1095375" y="819150"/>
          <a:ext cx="2343150" cy="561975"/>
        </a:xfrm>
        <a:prstGeom prst="roundRect">
          <a:avLst/>
        </a:prstGeom>
        <a:solidFill>
          <a:schemeClr val="tx2">
            <a:lumMod val="20000"/>
            <a:lumOff val="80000"/>
          </a:schemeClr>
        </a:solidFill>
        <a:ln>
          <a:no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a:solidFill>
                <a:sysClr val="windowText" lastClr="000000"/>
              </a:solidFill>
              <a:latin typeface="Arial" pitchFamily="34" charset="0"/>
              <a:cs typeface="Arial" pitchFamily="34" charset="0"/>
            </a:rPr>
            <a:t>Return to calculator</a:t>
          </a:r>
        </a:p>
      </xdr:txBody>
    </xdr:sp>
    <xdr:clientData/>
  </xdr:twoCellAnchor>
  <xdr:twoCellAnchor>
    <xdr:from>
      <xdr:col>2</xdr:col>
      <xdr:colOff>2800350</xdr:colOff>
      <xdr:row>1</xdr:row>
      <xdr:rowOff>76200</xdr:rowOff>
    </xdr:from>
    <xdr:to>
      <xdr:col>3</xdr:col>
      <xdr:colOff>1304925</xdr:colOff>
      <xdr:row>2</xdr:row>
      <xdr:rowOff>552450</xdr:rowOff>
    </xdr:to>
    <xdr:sp macro="[0]!RegularConts1_app" textlink="">
      <xdr:nvSpPr>
        <xdr:cNvPr id="3" name="Rounded Rectangle 2"/>
        <xdr:cNvSpPr/>
      </xdr:nvSpPr>
      <xdr:spPr>
        <a:xfrm>
          <a:off x="3495675" y="819150"/>
          <a:ext cx="2343150" cy="561975"/>
        </a:xfrm>
        <a:prstGeom prst="roundRect">
          <a:avLst/>
        </a:prstGeom>
        <a:solidFill>
          <a:schemeClr val="tx2">
            <a:lumMod val="20000"/>
            <a:lumOff val="80000"/>
          </a:schemeClr>
        </a:solidFill>
        <a:ln>
          <a:no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a:solidFill>
                <a:sysClr val="windowText" lastClr="000000"/>
              </a:solidFill>
              <a:latin typeface="Arial" pitchFamily="34" charset="0"/>
              <a:cs typeface="Arial" pitchFamily="34" charset="0"/>
            </a:rPr>
            <a:t>Proceed to application</a:t>
          </a:r>
        </a:p>
      </xdr:txBody>
    </xdr:sp>
    <xdr:clientData/>
  </xdr:twoCellAnchor>
  <xdr:twoCellAnchor>
    <xdr:from>
      <xdr:col>3</xdr:col>
      <xdr:colOff>1362075</xdr:colOff>
      <xdr:row>1</xdr:row>
      <xdr:rowOff>76200</xdr:rowOff>
    </xdr:from>
    <xdr:to>
      <xdr:col>5</xdr:col>
      <xdr:colOff>923925</xdr:colOff>
      <xdr:row>2</xdr:row>
      <xdr:rowOff>552450</xdr:rowOff>
    </xdr:to>
    <xdr:sp macro="[0]!Print1" textlink="">
      <xdr:nvSpPr>
        <xdr:cNvPr id="4" name="Rounded Rectangle 3"/>
        <xdr:cNvSpPr/>
      </xdr:nvSpPr>
      <xdr:spPr>
        <a:xfrm>
          <a:off x="5895975" y="819150"/>
          <a:ext cx="2343150" cy="561975"/>
        </a:xfrm>
        <a:prstGeom prst="roundRect">
          <a:avLst/>
        </a:prstGeom>
        <a:solidFill>
          <a:schemeClr val="tx2">
            <a:lumMod val="20000"/>
            <a:lumOff val="80000"/>
          </a:schemeClr>
        </a:solidFill>
        <a:ln>
          <a:no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a:solidFill>
                <a:sysClr val="windowText" lastClr="000000"/>
              </a:solidFill>
              <a:latin typeface="Arial" pitchFamily="34" charset="0"/>
              <a:cs typeface="Arial" pitchFamily="34" charset="0"/>
            </a:rPr>
            <a:t>Print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590549</xdr:colOff>
      <xdr:row>2</xdr:row>
      <xdr:rowOff>9525</xdr:rowOff>
    </xdr:from>
    <xdr:to>
      <xdr:col>2</xdr:col>
      <xdr:colOff>2752725</xdr:colOff>
      <xdr:row>2</xdr:row>
      <xdr:rowOff>571500</xdr:rowOff>
    </xdr:to>
    <xdr:sp macro="[0]!ReturnToCalculator" textlink="">
      <xdr:nvSpPr>
        <xdr:cNvPr id="2" name="Rounded Rectangle 1"/>
        <xdr:cNvSpPr/>
      </xdr:nvSpPr>
      <xdr:spPr>
        <a:xfrm>
          <a:off x="1285874" y="838200"/>
          <a:ext cx="2162176" cy="561975"/>
        </a:xfrm>
        <a:prstGeom prst="roundRect">
          <a:avLst/>
        </a:prstGeom>
        <a:solidFill>
          <a:schemeClr val="tx2">
            <a:lumMod val="20000"/>
            <a:lumOff val="80000"/>
          </a:schemeClr>
        </a:solidFill>
        <a:ln>
          <a:no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a:solidFill>
                <a:sysClr val="windowText" lastClr="000000"/>
              </a:solidFill>
              <a:latin typeface="Arial" pitchFamily="34" charset="0"/>
              <a:cs typeface="Arial" pitchFamily="34" charset="0"/>
            </a:rPr>
            <a:t>Return to calculator</a:t>
          </a:r>
        </a:p>
      </xdr:txBody>
    </xdr:sp>
    <xdr:clientData/>
  </xdr:twoCellAnchor>
  <xdr:twoCellAnchor>
    <xdr:from>
      <xdr:col>2</xdr:col>
      <xdr:colOff>2809875</xdr:colOff>
      <xdr:row>2</xdr:row>
      <xdr:rowOff>9525</xdr:rowOff>
    </xdr:from>
    <xdr:to>
      <xdr:col>4</xdr:col>
      <xdr:colOff>38100</xdr:colOff>
      <xdr:row>2</xdr:row>
      <xdr:rowOff>571500</xdr:rowOff>
    </xdr:to>
    <xdr:sp macro="[0]!RegularConts2_app" textlink="">
      <xdr:nvSpPr>
        <xdr:cNvPr id="3" name="Rounded Rectangle 2"/>
        <xdr:cNvSpPr/>
      </xdr:nvSpPr>
      <xdr:spPr>
        <a:xfrm>
          <a:off x="3505200" y="838200"/>
          <a:ext cx="2343150" cy="561975"/>
        </a:xfrm>
        <a:prstGeom prst="roundRect">
          <a:avLst/>
        </a:prstGeom>
        <a:solidFill>
          <a:schemeClr val="tx2">
            <a:lumMod val="20000"/>
            <a:lumOff val="80000"/>
          </a:schemeClr>
        </a:solidFill>
        <a:ln>
          <a:no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a:solidFill>
                <a:sysClr val="windowText" lastClr="000000"/>
              </a:solidFill>
              <a:latin typeface="Arial" pitchFamily="34" charset="0"/>
              <a:cs typeface="Arial" pitchFamily="34" charset="0"/>
            </a:rPr>
            <a:t>Proceed to application</a:t>
          </a:r>
        </a:p>
      </xdr:txBody>
    </xdr:sp>
    <xdr:clientData/>
  </xdr:twoCellAnchor>
  <xdr:twoCellAnchor>
    <xdr:from>
      <xdr:col>4</xdr:col>
      <xdr:colOff>85725</xdr:colOff>
      <xdr:row>2</xdr:row>
      <xdr:rowOff>9525</xdr:rowOff>
    </xdr:from>
    <xdr:to>
      <xdr:col>5</xdr:col>
      <xdr:colOff>723900</xdr:colOff>
      <xdr:row>2</xdr:row>
      <xdr:rowOff>571500</xdr:rowOff>
    </xdr:to>
    <xdr:sp macro="[0]!Print1" textlink="">
      <xdr:nvSpPr>
        <xdr:cNvPr id="5" name="Rounded Rectangle 4"/>
        <xdr:cNvSpPr/>
      </xdr:nvSpPr>
      <xdr:spPr>
        <a:xfrm>
          <a:off x="5895975" y="838200"/>
          <a:ext cx="2343150" cy="561975"/>
        </a:xfrm>
        <a:prstGeom prst="roundRect">
          <a:avLst/>
        </a:prstGeom>
        <a:solidFill>
          <a:schemeClr val="tx2">
            <a:lumMod val="20000"/>
            <a:lumOff val="80000"/>
          </a:schemeClr>
        </a:solidFill>
        <a:ln>
          <a:no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a:solidFill>
                <a:sysClr val="windowText" lastClr="000000"/>
              </a:solidFill>
              <a:latin typeface="Arial" pitchFamily="34" charset="0"/>
              <a:cs typeface="Arial" pitchFamily="34" charset="0"/>
            </a:rPr>
            <a:t>Print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1043608</xdr:colOff>
      <xdr:row>0</xdr:row>
      <xdr:rowOff>157369</xdr:rowOff>
    </xdr:from>
    <xdr:to>
      <xdr:col>7</xdr:col>
      <xdr:colOff>48867</xdr:colOff>
      <xdr:row>0</xdr:row>
      <xdr:rowOff>719344</xdr:rowOff>
    </xdr:to>
    <xdr:sp macro="[0]!ReturnToCalculator" textlink="">
      <xdr:nvSpPr>
        <xdr:cNvPr id="2" name="Rounded Rectangle 1"/>
        <xdr:cNvSpPr/>
      </xdr:nvSpPr>
      <xdr:spPr>
        <a:xfrm>
          <a:off x="2004391" y="157369"/>
          <a:ext cx="2343150" cy="561975"/>
        </a:xfrm>
        <a:prstGeom prst="roundRect">
          <a:avLst/>
        </a:prstGeom>
        <a:solidFill>
          <a:schemeClr val="tx2">
            <a:lumMod val="20000"/>
            <a:lumOff val="80000"/>
          </a:schemeClr>
        </a:solidFill>
        <a:ln>
          <a:no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a:solidFill>
                <a:sysClr val="windowText" lastClr="000000"/>
              </a:solidFill>
              <a:latin typeface="Arial" pitchFamily="34" charset="0"/>
              <a:cs typeface="Arial" pitchFamily="34" charset="0"/>
            </a:rPr>
            <a:t>Return to calculator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9</xdr:row>
      <xdr:rowOff>0</xdr:rowOff>
    </xdr:from>
    <xdr:to>
      <xdr:col>6</xdr:col>
      <xdr:colOff>561975</xdr:colOff>
      <xdr:row>12</xdr:row>
      <xdr:rowOff>76200</xdr:rowOff>
    </xdr:to>
    <xdr:sp macro="[0]!ReturnToCalculator" textlink="">
      <xdr:nvSpPr>
        <xdr:cNvPr id="2" name="Rounded Rectangle 1"/>
        <xdr:cNvSpPr/>
      </xdr:nvSpPr>
      <xdr:spPr>
        <a:xfrm>
          <a:off x="2438400" y="809625"/>
          <a:ext cx="1781175" cy="561975"/>
        </a:xfrm>
        <a:prstGeom prst="roundRect">
          <a:avLst/>
        </a:prstGeom>
        <a:solidFill>
          <a:schemeClr val="tx2">
            <a:lumMod val="20000"/>
            <a:lumOff val="80000"/>
          </a:schemeClr>
        </a:solidFill>
        <a:ln>
          <a:no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a:solidFill>
                <a:sysClr val="windowText" lastClr="000000"/>
              </a:solidFill>
              <a:latin typeface="Arial" pitchFamily="34" charset="0"/>
              <a:cs typeface="Arial" pitchFamily="34" charset="0"/>
            </a:rPr>
            <a:t>Return to calculator</a:t>
          </a:r>
        </a:p>
      </xdr:txBody>
    </xdr:sp>
    <xdr:clientData/>
  </xdr:twoCellAnchor>
  <xdr:twoCellAnchor>
    <xdr:from>
      <xdr:col>1</xdr:col>
      <xdr:colOff>2187729</xdr:colOff>
      <xdr:row>8</xdr:row>
      <xdr:rowOff>83289</xdr:rowOff>
    </xdr:from>
    <xdr:to>
      <xdr:col>1</xdr:col>
      <xdr:colOff>4349344</xdr:colOff>
      <xdr:row>8</xdr:row>
      <xdr:rowOff>645264</xdr:rowOff>
    </xdr:to>
    <xdr:sp macro="[0]!ReturnToCalculator" textlink="">
      <xdr:nvSpPr>
        <xdr:cNvPr id="4" name="Rounded Rectangle 3"/>
        <xdr:cNvSpPr/>
      </xdr:nvSpPr>
      <xdr:spPr>
        <a:xfrm>
          <a:off x="2800642" y="7695006"/>
          <a:ext cx="2161615" cy="561975"/>
        </a:xfrm>
        <a:prstGeom prst="roundRect">
          <a:avLst/>
        </a:prstGeom>
        <a:solidFill>
          <a:schemeClr val="tx2">
            <a:lumMod val="20000"/>
            <a:lumOff val="80000"/>
          </a:schemeClr>
        </a:solidFill>
        <a:ln>
          <a:noFill/>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a:solidFill>
                <a:sysClr val="windowText" lastClr="000000"/>
              </a:solidFill>
              <a:latin typeface="Arial" pitchFamily="34" charset="0"/>
              <a:cs typeface="Arial" pitchFamily="34" charset="0"/>
            </a:rPr>
            <a:t>Go to Calculator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prstShdw prst="shdw17" dist="17961" dir="2700000">
            <a:srgbClr xmlns:mc="http://schemas.openxmlformats.org/markup-compatibility/2006" xmlns:a14="http://schemas.microsoft.com/office/drawing/2010/main" val="400000" mc:Ignorable="a14" a14:legacySpreadsheetColorIndex="64">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prstShdw prst="shdw17" dist="17961" dir="2700000">
            <a:srgbClr xmlns:mc="http://schemas.openxmlformats.org/markup-compatibility/2006" xmlns:a14="http://schemas.microsoft.com/office/drawing/2010/main" val="400000" mc:Ignorable="a14" a14:legacySpreadsheetColorIndex="64">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54"/>
  <sheetViews>
    <sheetView tabSelected="1" zoomScale="115" zoomScaleNormal="115" workbookViewId="0">
      <selection activeCell="D4" sqref="D4:E4"/>
    </sheetView>
  </sheetViews>
  <sheetFormatPr defaultColWidth="0" defaultRowHeight="13.2" zeroHeight="1" x14ac:dyDescent="0.25"/>
  <cols>
    <col min="1" max="1" width="4.5546875" style="147" customWidth="1"/>
    <col min="2" max="2" width="1.88671875" style="148" customWidth="1"/>
    <col min="3" max="3" width="80.5546875" style="148" customWidth="1"/>
    <col min="4" max="4" width="19.88671875" style="148" customWidth="1"/>
    <col min="5" max="7" width="9.109375" style="148" customWidth="1"/>
    <col min="8" max="8" width="16.5546875" style="148" customWidth="1"/>
    <col min="9" max="9" width="10.33203125" style="148" customWidth="1"/>
    <col min="10" max="10" width="19.5546875" style="148" hidden="1" customWidth="1"/>
    <col min="11" max="11" width="19.109375" style="182" hidden="1" customWidth="1"/>
    <col min="12" max="12" width="11.88671875" style="183" hidden="1" customWidth="1"/>
    <col min="13" max="13" width="17.5546875" style="182" hidden="1" customWidth="1"/>
    <col min="14" max="14" width="10.109375" style="183" hidden="1" customWidth="1"/>
    <col min="15" max="16384" width="9.109375" style="148" hidden="1"/>
  </cols>
  <sheetData>
    <row r="1" spans="2:15" ht="13.8" thickBot="1" x14ac:dyDescent="0.3"/>
    <row r="2" spans="2:15" ht="39.75" customHeight="1" thickBot="1" x14ac:dyDescent="0.3">
      <c r="B2" s="323" t="s">
        <v>179</v>
      </c>
      <c r="C2" s="324"/>
      <c r="D2" s="324"/>
      <c r="E2" s="324"/>
      <c r="F2" s="324"/>
      <c r="G2" s="324"/>
      <c r="H2" s="149"/>
    </row>
    <row r="3" spans="2:15" x14ac:dyDescent="0.25">
      <c r="B3" s="150"/>
      <c r="C3" s="151" t="s">
        <v>0</v>
      </c>
      <c r="D3" s="152"/>
      <c r="E3" s="153"/>
      <c r="F3" s="153"/>
      <c r="G3" s="154"/>
      <c r="H3" s="155"/>
    </row>
    <row r="4" spans="2:15" ht="15" customHeight="1" x14ac:dyDescent="0.25">
      <c r="B4" s="150"/>
      <c r="C4" s="156" t="s">
        <v>139</v>
      </c>
      <c r="D4" s="328"/>
      <c r="E4" s="328"/>
      <c r="F4" s="173" t="s">
        <v>153</v>
      </c>
      <c r="G4" s="108"/>
      <c r="H4" s="155"/>
      <c r="K4" s="182" t="str">
        <f>Codes!A23</f>
        <v>Mr</v>
      </c>
      <c r="L4" s="183" t="str">
        <f>Codes!A20</f>
        <v>Male</v>
      </c>
    </row>
    <row r="5" spans="2:15" ht="15" customHeight="1" x14ac:dyDescent="0.25">
      <c r="B5" s="150"/>
      <c r="C5" s="156" t="s">
        <v>140</v>
      </c>
      <c r="D5" s="328"/>
      <c r="E5" s="328"/>
      <c r="F5" s="153"/>
      <c r="G5" s="154"/>
      <c r="H5" s="155"/>
      <c r="K5" s="182" t="str">
        <f>Codes!A24</f>
        <v>Dr</v>
      </c>
      <c r="L5" s="183" t="str">
        <f>Codes!A21</f>
        <v>Female</v>
      </c>
    </row>
    <row r="6" spans="2:15" ht="15" customHeight="1" x14ac:dyDescent="0.25">
      <c r="B6" s="150"/>
      <c r="C6" s="156" t="s">
        <v>141</v>
      </c>
      <c r="D6" s="328"/>
      <c r="E6" s="328"/>
      <c r="F6" s="153"/>
      <c r="G6" s="173" t="s">
        <v>172</v>
      </c>
      <c r="H6" s="317" t="s">
        <v>211</v>
      </c>
      <c r="K6" s="182" t="str">
        <f>Codes!A25</f>
        <v>Ms</v>
      </c>
    </row>
    <row r="7" spans="2:15" ht="15" customHeight="1" x14ac:dyDescent="0.25">
      <c r="B7" s="150"/>
      <c r="C7" s="156" t="s">
        <v>142</v>
      </c>
      <c r="D7" s="329"/>
      <c r="E7" s="329"/>
      <c r="F7" s="153"/>
      <c r="G7" s="154"/>
      <c r="H7" s="155"/>
      <c r="K7" s="182" t="str">
        <f>Codes!A26</f>
        <v>Mrs</v>
      </c>
    </row>
    <row r="8" spans="2:15" ht="15" customHeight="1" x14ac:dyDescent="0.25">
      <c r="B8" s="150"/>
      <c r="C8" s="156"/>
      <c r="D8" s="329"/>
      <c r="E8" s="329"/>
      <c r="F8" s="153"/>
      <c r="G8" s="154"/>
      <c r="H8" s="155"/>
      <c r="K8" s="182" t="str">
        <f>Codes!A27</f>
        <v>Miss</v>
      </c>
    </row>
    <row r="9" spans="2:15" ht="15" customHeight="1" x14ac:dyDescent="0.25">
      <c r="B9" s="150"/>
      <c r="C9" s="156"/>
      <c r="D9" s="329"/>
      <c r="E9" s="329"/>
      <c r="F9" s="153"/>
      <c r="G9" s="154"/>
      <c r="H9" s="155"/>
      <c r="K9" s="182" t="str">
        <f>Codes!A28</f>
        <v>Other</v>
      </c>
    </row>
    <row r="10" spans="2:15" ht="15" customHeight="1" x14ac:dyDescent="0.25">
      <c r="B10" s="150"/>
      <c r="C10" s="156" t="s">
        <v>143</v>
      </c>
      <c r="D10" s="283"/>
      <c r="E10" s="153"/>
      <c r="F10" s="153"/>
      <c r="G10" s="154"/>
      <c r="H10" s="155"/>
    </row>
    <row r="11" spans="2:15" ht="15" customHeight="1" x14ac:dyDescent="0.25">
      <c r="B11" s="150"/>
      <c r="C11" s="156" t="s">
        <v>144</v>
      </c>
      <c r="D11" s="318"/>
      <c r="E11" s="153"/>
      <c r="F11" s="153"/>
      <c r="G11" s="154"/>
      <c r="H11" s="155"/>
    </row>
    <row r="12" spans="2:15" ht="15" customHeight="1" x14ac:dyDescent="0.25">
      <c r="B12" s="150"/>
      <c r="C12" s="156" t="s">
        <v>145</v>
      </c>
      <c r="D12" s="318"/>
      <c r="E12" s="153"/>
      <c r="F12" s="153"/>
      <c r="G12" s="154"/>
      <c r="H12" s="155"/>
    </row>
    <row r="13" spans="2:15" ht="15" customHeight="1" x14ac:dyDescent="0.25">
      <c r="B13" s="150"/>
      <c r="C13" s="156" t="s">
        <v>146</v>
      </c>
      <c r="D13" s="284"/>
      <c r="E13" s="153"/>
      <c r="F13" s="153"/>
      <c r="G13" s="154"/>
      <c r="H13" s="155"/>
    </row>
    <row r="14" spans="2:15" ht="15" customHeight="1" x14ac:dyDescent="0.25">
      <c r="B14" s="150"/>
      <c r="C14" s="156" t="s">
        <v>147</v>
      </c>
      <c r="D14" s="283"/>
      <c r="E14" s="153"/>
      <c r="F14" s="153"/>
      <c r="G14" s="154"/>
      <c r="H14" s="155"/>
    </row>
    <row r="15" spans="2:15" ht="15" customHeight="1" x14ac:dyDescent="0.25">
      <c r="B15" s="150"/>
      <c r="C15" s="156" t="s">
        <v>78</v>
      </c>
      <c r="D15" s="108"/>
      <c r="E15" s="157"/>
      <c r="F15" s="153"/>
      <c r="G15" s="325" t="str">
        <f ca="1">IF(Codes!K27=60, "You may only pay by lump sum. You must be 2 years from NPA to pay by monthly contributions","")</f>
        <v/>
      </c>
      <c r="H15" s="326"/>
      <c r="K15" s="184" t="s">
        <v>103</v>
      </c>
      <c r="L15" s="185">
        <f ca="1">Codes!B15</f>
        <v>21896</v>
      </c>
      <c r="M15" s="184" t="s">
        <v>104</v>
      </c>
      <c r="N15" s="185">
        <f ca="1">Codes!B16</f>
        <v>37236.5</v>
      </c>
      <c r="O15" s="187"/>
    </row>
    <row r="16" spans="2:15" ht="15" customHeight="1" x14ac:dyDescent="0.25">
      <c r="B16" s="150"/>
      <c r="C16" s="156" t="s">
        <v>148</v>
      </c>
      <c r="D16" s="247"/>
      <c r="E16" s="157"/>
      <c r="F16" s="153"/>
      <c r="G16" s="325"/>
      <c r="H16" s="326"/>
      <c r="K16" s="189"/>
      <c r="L16" s="246"/>
      <c r="M16" s="189"/>
      <c r="N16" s="246"/>
      <c r="O16" s="188"/>
    </row>
    <row r="17" spans="2:15" ht="15" customHeight="1" x14ac:dyDescent="0.25">
      <c r="B17" s="150"/>
      <c r="C17" s="156" t="s">
        <v>149</v>
      </c>
      <c r="D17" s="328"/>
      <c r="E17" s="328"/>
      <c r="F17" s="153"/>
      <c r="G17" s="325"/>
      <c r="H17" s="326"/>
      <c r="K17" s="189"/>
      <c r="L17" s="246"/>
      <c r="M17" s="189"/>
      <c r="N17" s="246"/>
      <c r="O17" s="188"/>
    </row>
    <row r="18" spans="2:15" ht="46.5" customHeight="1" x14ac:dyDescent="0.25">
      <c r="B18" s="150"/>
      <c r="C18" s="158" t="s">
        <v>218</v>
      </c>
      <c r="D18" s="156"/>
      <c r="E18" s="156"/>
      <c r="F18" s="153"/>
      <c r="G18" s="325"/>
      <c r="H18" s="326"/>
      <c r="J18" s="315" t="s">
        <v>37</v>
      </c>
      <c r="K18" s="189"/>
      <c r="L18" s="190"/>
      <c r="M18" s="189"/>
      <c r="N18" s="190"/>
      <c r="O18" s="188"/>
    </row>
    <row r="19" spans="2:15" ht="12.75" hidden="1" customHeight="1" x14ac:dyDescent="0.25">
      <c r="B19" s="150"/>
      <c r="C19" s="151" t="s">
        <v>1</v>
      </c>
      <c r="D19" s="152"/>
      <c r="E19" s="153"/>
      <c r="F19" s="153"/>
      <c r="G19" s="154"/>
      <c r="H19" s="155"/>
      <c r="K19" s="191"/>
      <c r="L19" s="192"/>
      <c r="M19" s="191"/>
      <c r="N19" s="192"/>
      <c r="O19" s="188"/>
    </row>
    <row r="20" spans="2:15" ht="12.75" hidden="1" customHeight="1" x14ac:dyDescent="0.25">
      <c r="B20" s="150"/>
      <c r="C20" s="153"/>
      <c r="D20" s="152"/>
      <c r="E20" s="153"/>
      <c r="F20" s="153"/>
      <c r="G20" s="154"/>
      <c r="H20" s="159"/>
      <c r="K20" s="193"/>
      <c r="L20" s="194"/>
      <c r="M20" s="193"/>
      <c r="N20" s="194"/>
      <c r="O20" s="188"/>
    </row>
    <row r="21" spans="2:15" ht="12.75" hidden="1" customHeight="1" x14ac:dyDescent="0.25">
      <c r="B21" s="150"/>
      <c r="C21" s="156" t="s">
        <v>101</v>
      </c>
      <c r="D21" s="2"/>
      <c r="E21" s="157"/>
      <c r="F21" s="153"/>
      <c r="G21" s="154"/>
      <c r="H21" s="155"/>
      <c r="K21" s="184" t="s">
        <v>105</v>
      </c>
      <c r="L21" s="185">
        <f>Codes!G40</f>
        <v>42095</v>
      </c>
      <c r="M21" s="184" t="s">
        <v>106</v>
      </c>
      <c r="N21" s="185">
        <f>Codes!G41</f>
        <v>21914</v>
      </c>
      <c r="O21" s="187"/>
    </row>
    <row r="22" spans="2:15" ht="69.75" hidden="1" customHeight="1" x14ac:dyDescent="0.25">
      <c r="B22" s="150"/>
      <c r="C22" s="160" t="s">
        <v>65</v>
      </c>
      <c r="D22" s="152"/>
      <c r="E22" s="157"/>
      <c r="F22" s="153"/>
      <c r="G22" s="154"/>
      <c r="H22" s="155"/>
      <c r="K22" s="195"/>
      <c r="L22" s="196"/>
      <c r="M22" s="195"/>
      <c r="N22" s="196"/>
      <c r="O22" s="188"/>
    </row>
    <row r="23" spans="2:15" ht="12.75" hidden="1" customHeight="1" x14ac:dyDescent="0.25">
      <c r="B23" s="150"/>
      <c r="C23" s="161" t="s">
        <v>70</v>
      </c>
      <c r="D23" s="4"/>
      <c r="E23" s="153"/>
      <c r="F23" s="153"/>
      <c r="G23" s="154"/>
      <c r="H23" s="155"/>
      <c r="K23" s="184" t="s">
        <v>108</v>
      </c>
      <c r="L23" s="186">
        <v>0</v>
      </c>
      <c r="M23" s="184" t="s">
        <v>93</v>
      </c>
      <c r="N23" s="186" t="str">
        <f ca="1">Codes!G42</f>
        <v/>
      </c>
      <c r="O23" s="187"/>
    </row>
    <row r="24" spans="2:15" ht="4.5" hidden="1" customHeight="1" thickBot="1" x14ac:dyDescent="0.3">
      <c r="B24" s="150"/>
      <c r="C24" s="161"/>
      <c r="D24" s="161"/>
      <c r="E24" s="153"/>
      <c r="F24" s="153"/>
      <c r="G24" s="154"/>
      <c r="H24" s="155"/>
      <c r="K24" s="189"/>
      <c r="L24" s="190"/>
      <c r="M24" s="189"/>
      <c r="N24" s="190"/>
      <c r="O24" s="188"/>
    </row>
    <row r="25" spans="2:15" ht="21" hidden="1" customHeight="1" thickBot="1" x14ac:dyDescent="0.3">
      <c r="B25" s="150"/>
      <c r="C25" s="162" t="s">
        <v>220</v>
      </c>
      <c r="D25" s="163" t="str">
        <f ca="1">IF(ISERROR(Codes!G26),"",Codes!G26)</f>
        <v/>
      </c>
      <c r="E25" s="153"/>
      <c r="F25" s="153"/>
      <c r="G25" s="154"/>
      <c r="H25" s="155"/>
      <c r="K25" s="191"/>
      <c r="L25" s="192"/>
      <c r="M25" s="191"/>
      <c r="N25" s="192"/>
      <c r="O25" s="188"/>
    </row>
    <row r="26" spans="2:15" ht="18.75" hidden="1" customHeight="1" x14ac:dyDescent="0.25">
      <c r="B26" s="150"/>
      <c r="C26" s="164"/>
      <c r="D26" s="152"/>
      <c r="E26" s="153"/>
      <c r="F26" s="153"/>
      <c r="G26" s="154"/>
      <c r="H26" s="155"/>
      <c r="K26" s="193"/>
      <c r="L26" s="194"/>
      <c r="M26" s="193"/>
      <c r="N26" s="194"/>
      <c r="O26" s="188"/>
    </row>
    <row r="27" spans="2:15" ht="12.75" hidden="1" customHeight="1" x14ac:dyDescent="0.25">
      <c r="B27" s="150"/>
      <c r="C27" s="161" t="s">
        <v>221</v>
      </c>
      <c r="D27" s="4"/>
      <c r="E27" s="153"/>
      <c r="F27" s="153"/>
      <c r="G27" s="154"/>
      <c r="H27" s="155"/>
      <c r="K27" s="184" t="s">
        <v>109</v>
      </c>
      <c r="L27" s="186">
        <v>0</v>
      </c>
      <c r="M27" s="184" t="s">
        <v>107</v>
      </c>
      <c r="N27" s="186">
        <f>Codes!B14</f>
        <v>6500</v>
      </c>
      <c r="O27" s="187"/>
    </row>
    <row r="28" spans="2:15" ht="5.25" hidden="1" customHeight="1" thickBot="1" x14ac:dyDescent="0.3">
      <c r="B28" s="150"/>
      <c r="C28" s="161"/>
      <c r="D28" s="161"/>
      <c r="E28" s="153"/>
      <c r="F28" s="153"/>
      <c r="G28" s="154"/>
      <c r="H28" s="155"/>
      <c r="K28" s="189"/>
      <c r="L28" s="190"/>
      <c r="M28" s="189"/>
      <c r="N28" s="190"/>
      <c r="O28" s="188"/>
    </row>
    <row r="29" spans="2:15" ht="22.5" hidden="1" customHeight="1" thickBot="1" x14ac:dyDescent="0.3">
      <c r="B29" s="150"/>
      <c r="C29" s="162" t="s">
        <v>52</v>
      </c>
      <c r="D29" s="163" t="str">
        <f ca="1">IF(ISERROR(Codes!G36),"",Codes!G36)</f>
        <v/>
      </c>
      <c r="E29" s="153"/>
      <c r="F29" s="153"/>
      <c r="G29" s="154"/>
      <c r="H29" s="155"/>
      <c r="K29" s="191"/>
      <c r="L29" s="192"/>
      <c r="M29" s="191"/>
      <c r="N29" s="192"/>
      <c r="O29" s="188"/>
    </row>
    <row r="30" spans="2:15" ht="12.75" hidden="1" customHeight="1" x14ac:dyDescent="0.25">
      <c r="B30" s="150"/>
      <c r="C30" s="153"/>
      <c r="D30" s="152"/>
      <c r="E30" s="153"/>
      <c r="F30" s="153"/>
      <c r="G30" s="154"/>
      <c r="H30" s="155"/>
      <c r="K30" s="191"/>
      <c r="L30" s="192"/>
      <c r="M30" s="191"/>
      <c r="N30" s="192"/>
      <c r="O30" s="188"/>
    </row>
    <row r="31" spans="2:15" ht="16.5" hidden="1" customHeight="1" x14ac:dyDescent="0.25">
      <c r="B31" s="150"/>
      <c r="C31" s="151" t="s">
        <v>35</v>
      </c>
      <c r="D31" s="153"/>
      <c r="E31" s="153"/>
      <c r="F31" s="153"/>
      <c r="G31" s="154"/>
      <c r="H31" s="155"/>
      <c r="K31" s="191"/>
      <c r="L31" s="192"/>
      <c r="M31" s="191"/>
      <c r="N31" s="192"/>
      <c r="O31" s="188"/>
    </row>
    <row r="32" spans="2:15" ht="12.75" hidden="1" customHeight="1" x14ac:dyDescent="0.25">
      <c r="B32" s="150"/>
      <c r="C32" s="151"/>
      <c r="D32" s="152"/>
      <c r="E32" s="153"/>
      <c r="F32" s="153"/>
      <c r="G32" s="154"/>
      <c r="H32" s="155"/>
      <c r="K32" s="193"/>
      <c r="L32" s="194"/>
      <c r="M32" s="193"/>
      <c r="N32" s="194"/>
      <c r="O32" s="188"/>
    </row>
    <row r="33" spans="2:15" hidden="1" x14ac:dyDescent="0.25">
      <c r="B33" s="150"/>
      <c r="C33" s="161" t="s">
        <v>77</v>
      </c>
      <c r="D33" s="2"/>
      <c r="E33" s="165"/>
      <c r="F33" s="154"/>
      <c r="G33" s="154"/>
      <c r="H33" s="155"/>
      <c r="K33" s="184" t="s">
        <v>110</v>
      </c>
      <c r="L33" s="185">
        <f>Codes!K36</f>
        <v>42095</v>
      </c>
      <c r="M33" s="184" t="s">
        <v>69</v>
      </c>
      <c r="N33" s="185">
        <f>Codes!K37</f>
        <v>21640</v>
      </c>
      <c r="O33" s="187"/>
    </row>
    <row r="34" spans="2:15" hidden="1" x14ac:dyDescent="0.25">
      <c r="B34" s="166"/>
      <c r="C34" s="167"/>
      <c r="D34" s="168"/>
      <c r="E34" s="169"/>
      <c r="F34" s="170"/>
      <c r="G34" s="154"/>
      <c r="H34" s="155"/>
      <c r="K34" s="195"/>
      <c r="L34" s="196"/>
      <c r="M34" s="195"/>
      <c r="N34" s="196"/>
      <c r="O34" s="188"/>
    </row>
    <row r="35" spans="2:15" ht="12.75" hidden="1" customHeight="1" x14ac:dyDescent="0.25">
      <c r="B35" s="166"/>
      <c r="C35" s="245" t="str">
        <f ca="1">"End date of periodic contributions (if blank, will quote to end of scheme year 31 March "&amp;YEAR(Codes!K17)&amp;")"</f>
        <v>End date of periodic contributions (if blank, will quote to end of scheme year 31 March 2020)</v>
      </c>
      <c r="D35" s="2"/>
      <c r="E35" s="169"/>
      <c r="F35" s="170"/>
      <c r="G35" s="171"/>
      <c r="H35" s="172"/>
      <c r="K35" s="184" t="s">
        <v>111</v>
      </c>
      <c r="L35" s="185">
        <f ca="1">Codes!K33</f>
        <v>21640</v>
      </c>
      <c r="M35" s="184" t="s">
        <v>112</v>
      </c>
      <c r="N35" s="185">
        <f>Codes!K34</f>
        <v>21640</v>
      </c>
      <c r="O35" s="187"/>
    </row>
    <row r="36" spans="2:15" ht="73.5" hidden="1" customHeight="1" x14ac:dyDescent="0.25">
      <c r="B36" s="166"/>
      <c r="C36" s="245" t="s">
        <v>65</v>
      </c>
      <c r="D36" s="167"/>
      <c r="E36" s="167"/>
      <c r="F36" s="170"/>
      <c r="G36" s="171"/>
      <c r="H36" s="172"/>
      <c r="K36" s="195"/>
      <c r="L36" s="196"/>
      <c r="M36" s="195"/>
      <c r="N36" s="196"/>
      <c r="O36" s="188"/>
    </row>
    <row r="37" spans="2:15" hidden="1" x14ac:dyDescent="0.25">
      <c r="B37" s="150"/>
      <c r="C37" s="173" t="s">
        <v>66</v>
      </c>
      <c r="D37" s="6"/>
      <c r="E37" s="153"/>
      <c r="F37" s="153"/>
      <c r="G37" s="154"/>
      <c r="H37" s="155"/>
      <c r="K37" s="184" t="s">
        <v>113</v>
      </c>
      <c r="L37" s="186"/>
      <c r="M37" s="184" t="s">
        <v>114</v>
      </c>
      <c r="N37" s="186"/>
      <c r="O37" s="187"/>
    </row>
    <row r="38" spans="2:15" ht="21.75" hidden="1" customHeight="1" thickBot="1" x14ac:dyDescent="0.3">
      <c r="B38" s="150"/>
      <c r="C38" s="174" t="str">
        <f ca="1">IF(OR(D40="",D40&lt;=Codes!B14),"","*Your added pension balance must not exceed £"&amp;Codes!B14&amp;". Please review your contribution period or monthly contribution amount.")</f>
        <v/>
      </c>
      <c r="D38" s="173"/>
      <c r="E38" s="173"/>
      <c r="F38" s="153"/>
      <c r="G38" s="154"/>
      <c r="H38" s="155"/>
      <c r="K38" s="189"/>
      <c r="L38" s="190"/>
      <c r="M38" s="189"/>
      <c r="N38" s="190"/>
      <c r="O38" s="188"/>
    </row>
    <row r="39" spans="2:15" ht="17.399999999999999" hidden="1" x14ac:dyDescent="0.25">
      <c r="B39" s="150"/>
      <c r="C39" s="175" t="str">
        <f ca="1">"In "&amp;YEAR(Codes!K17)-1&amp;"/"&amp;YEAR(Codes!K17)&amp;" it will buy this much added pension per year"</f>
        <v>In 2019/2020 it will buy this much added pension per year</v>
      </c>
      <c r="D39" s="176" t="str">
        <f>IF(ISERROR(Codes!AA8),"",Codes!AA8)</f>
        <v/>
      </c>
      <c r="E39" s="153"/>
      <c r="F39" s="153"/>
      <c r="G39" s="153"/>
      <c r="H39" s="155"/>
    </row>
    <row r="40" spans="2:15" ht="18" hidden="1" thickBot="1" x14ac:dyDescent="0.3">
      <c r="B40" s="150"/>
      <c r="C40" s="177" t="s">
        <v>178</v>
      </c>
      <c r="D40" s="178">
        <f ca="1">Codes!AA55</f>
        <v>0</v>
      </c>
      <c r="E40" s="153"/>
      <c r="F40" s="153"/>
      <c r="G40" s="153"/>
      <c r="H40" s="155"/>
    </row>
    <row r="41" spans="2:15" ht="25.5" hidden="1" customHeight="1" x14ac:dyDescent="0.25">
      <c r="B41" s="150"/>
      <c r="C41" s="179"/>
      <c r="D41" s="153"/>
      <c r="E41" s="153"/>
      <c r="F41" s="153"/>
      <c r="G41" s="153"/>
      <c r="H41" s="155"/>
    </row>
    <row r="42" spans="2:15" hidden="1" x14ac:dyDescent="0.25">
      <c r="B42" s="150"/>
      <c r="C42" s="161" t="s">
        <v>184</v>
      </c>
      <c r="D42" s="6"/>
      <c r="E42" s="153"/>
      <c r="F42" s="153"/>
      <c r="G42" s="154"/>
      <c r="H42" s="155"/>
    </row>
    <row r="43" spans="2:15" ht="21" hidden="1" customHeight="1" thickBot="1" x14ac:dyDescent="0.3">
      <c r="B43" s="150"/>
      <c r="C43" s="174" t="str">
        <f>IF(OR(RegularContsPrint2!F62="",RegularContsPrint2!F62&lt;=Codes!B14),"","*Your added pension balance must not exceed £"&amp;Codes!B14&amp;".Please review your contribution period or amount.")</f>
        <v/>
      </c>
      <c r="D43" s="153"/>
      <c r="E43" s="153"/>
      <c r="F43" s="153"/>
      <c r="G43" s="154"/>
      <c r="H43" s="155"/>
    </row>
    <row r="44" spans="2:15" ht="23.25" hidden="1" customHeight="1" x14ac:dyDescent="0.25">
      <c r="B44" s="166"/>
      <c r="C44" s="175" t="str">
        <f ca="1">"For "&amp;YEAR(Codes!K17)-1&amp;"/"&amp;YEAR(Codes!K17)&amp;" required monthly instalments will be"</f>
        <v>For 2019/2020 required monthly instalments will be</v>
      </c>
      <c r="D44" s="176" t="str">
        <f>IF(ISERROR(Codes!AC8),"",Codes!AC8)</f>
        <v/>
      </c>
      <c r="E44" s="169"/>
      <c r="F44" s="170"/>
      <c r="G44" s="171"/>
      <c r="H44" s="172"/>
    </row>
    <row r="45" spans="2:15" ht="18" hidden="1" thickBot="1" x14ac:dyDescent="0.3">
      <c r="B45" s="166"/>
      <c r="C45" s="177" t="s">
        <v>178</v>
      </c>
      <c r="D45" s="178">
        <f ca="1">Codes!AB55</f>
        <v>0</v>
      </c>
      <c r="E45" s="169"/>
      <c r="F45" s="170"/>
      <c r="G45" s="171"/>
      <c r="H45" s="172"/>
    </row>
    <row r="46" spans="2:15" ht="12" customHeight="1" thickBot="1" x14ac:dyDescent="0.3">
      <c r="B46" s="180"/>
      <c r="C46" s="181"/>
      <c r="D46" s="321"/>
      <c r="E46" s="321"/>
      <c r="F46" s="321"/>
      <c r="G46" s="321"/>
      <c r="H46" s="322"/>
    </row>
    <row r="47" spans="2:15" x14ac:dyDescent="0.25"/>
    <row r="48" spans="2:15" x14ac:dyDescent="0.25"/>
    <row r="49" spans="3:8" x14ac:dyDescent="0.25"/>
    <row r="50" spans="3:8" x14ac:dyDescent="0.25"/>
    <row r="51" spans="3:8" x14ac:dyDescent="0.25"/>
    <row r="52" spans="3:8" x14ac:dyDescent="0.25"/>
    <row r="53" spans="3:8" x14ac:dyDescent="0.25"/>
    <row r="54" spans="3:8" ht="15" customHeight="1" x14ac:dyDescent="0.25">
      <c r="C54" s="327"/>
      <c r="D54" s="327"/>
      <c r="E54" s="327"/>
      <c r="F54" s="327"/>
      <c r="G54" s="327"/>
      <c r="H54" s="327"/>
    </row>
  </sheetData>
  <sheetProtection password="970B" sheet="1" formatRows="0" insertRows="0" selectLockedCells="1"/>
  <dataConsolidate/>
  <mergeCells count="11">
    <mergeCell ref="D46:H46"/>
    <mergeCell ref="B2:G2"/>
    <mergeCell ref="G15:H18"/>
    <mergeCell ref="C54:H54"/>
    <mergeCell ref="D4:E4"/>
    <mergeCell ref="D5:E5"/>
    <mergeCell ref="D6:E6"/>
    <mergeCell ref="D7:E7"/>
    <mergeCell ref="D8:E8"/>
    <mergeCell ref="D9:E9"/>
    <mergeCell ref="D17:E17"/>
  </mergeCells>
  <conditionalFormatting sqref="D25 D27 D39:D40 D42">
    <cfRule type="expression" dxfId="6" priority="10" stopIfTrue="1">
      <formula>$D25&gt;6500</formula>
    </cfRule>
  </conditionalFormatting>
  <conditionalFormatting sqref="H6">
    <cfRule type="expression" dxfId="5" priority="2" stopIfTrue="1">
      <formula>$G$4="Other"</formula>
    </cfRule>
  </conditionalFormatting>
  <conditionalFormatting sqref="G6:H6">
    <cfRule type="expression" dxfId="4" priority="1" stopIfTrue="1">
      <formula>$G$4&lt;&gt;"Other"</formula>
    </cfRule>
  </conditionalFormatting>
  <dataValidations count="9">
    <dataValidation type="date" allowBlank="1" showInputMessage="1" showErrorMessage="1" errorTitle="There's a problem with this date" error="You must be between 18 and 59 years old._x000a_Additional pension became available on 1 April 2015" sqref="D21">
      <formula1>L21</formula1>
      <formula2>N21</formula2>
    </dataValidation>
    <dataValidation type="decimal" allowBlank="1" showInputMessage="1" showErrorMessage="1" errorTitle="Limit exceeded" error="This amount of lump sum would buy you more additional pension than the limit.  Please reduce the lump sum payment amount." sqref="D23">
      <formula1>L23</formula1>
      <formula2>N23</formula2>
    </dataValidation>
    <dataValidation type="whole" errorStyle="warning" allowBlank="1" showInputMessage="1" showErrorMessage="1" errorTitle="Limit exceeded" error="The amount is greater than the current added pension limit. Please review. " sqref="D27">
      <formula1>L27</formula1>
      <formula2>N27</formula2>
    </dataValidation>
    <dataValidation type="date" allowBlank="1" showInputMessage="1" showErrorMessage="1" errorTitle="There's a problem with this date" error="You must be over 18 years old at election date and under 59 at the next 31 March._x000a_Additional pension became available on 1 April 2015." sqref="D33">
      <formula1>L33</formula1>
      <formula2>N33</formula2>
    </dataValidation>
    <dataValidation type="date" allowBlank="1" showInputMessage="1" showErrorMessage="1" errorTitle="There's a problem with this date" error="31 March before your 59th birthday is the latest end date allowed" sqref="D35">
      <formula1>L35</formula1>
      <formula2>N35</formula2>
    </dataValidation>
    <dataValidation type="date" allowBlank="1" showInputMessage="1" showErrorMessage="1" errorTitle="Invalid DOB" error="To be in the pension scheme you should be between 18 and 60 years old." sqref="D15">
      <formula1>L15</formula1>
      <formula2>N15</formula2>
    </dataValidation>
    <dataValidation type="textLength" operator="equal" allowBlank="1" showInputMessage="1" showErrorMessage="1" errorTitle="Invalid NI" error="Your NI number should be 9 characters long" sqref="D14">
      <formula1>9</formula1>
    </dataValidation>
    <dataValidation type="list" allowBlank="1" showInputMessage="1" showErrorMessage="1" sqref="G4">
      <formula1>$K$4:$K$9</formula1>
    </dataValidation>
    <dataValidation type="list" allowBlank="1" showInputMessage="1" showErrorMessage="1" sqref="D16">
      <formula1>$L$4:$L$5</formula1>
    </dataValidation>
  </dataValidations>
  <pageMargins left="0.7" right="0.7" top="0.75" bottom="0.75" header="0.3" footer="0.3"/>
  <pageSetup paperSize="9" scale="64" orientation="portrait" r:id="rId1"/>
  <colBreaks count="1" manualBreakCount="1">
    <brk id="8" max="1048575" man="1"/>
  </colBreaks>
  <drawing r:id="rId2"/>
  <legacyDrawing r:id="rId3"/>
  <oleObjects>
    <mc:AlternateContent xmlns:mc="http://schemas.openxmlformats.org/markup-compatibility/2006">
      <mc:Choice Requires="x14">
        <oleObject shapeId="1470" r:id="rId4">
          <objectPr defaultSize="0" autoPict="0" r:id="rId5">
            <anchor moveWithCells="1" sizeWithCells="1">
              <from>
                <xdr:col>2</xdr:col>
                <xdr:colOff>198120</xdr:colOff>
                <xdr:row>1</xdr:row>
                <xdr:rowOff>30480</xdr:rowOff>
              </from>
              <to>
                <xdr:col>2</xdr:col>
                <xdr:colOff>2019300</xdr:colOff>
                <xdr:row>1</xdr:row>
                <xdr:rowOff>464820</xdr:rowOff>
              </to>
            </anchor>
          </objectPr>
        </oleObject>
      </mc:Choice>
      <mc:Fallback>
        <oleObject shapeId="1470"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O168"/>
  <sheetViews>
    <sheetView topLeftCell="B1" workbookViewId="0">
      <selection activeCell="B14" sqref="B14"/>
    </sheetView>
  </sheetViews>
  <sheetFormatPr defaultRowHeight="13.2" x14ac:dyDescent="0.25"/>
  <cols>
    <col min="1" max="1" width="33.5546875" customWidth="1"/>
    <col min="2" max="2" width="15.33203125" style="205" customWidth="1"/>
    <col min="3" max="3" width="2.33203125" style="205" customWidth="1"/>
    <col min="4" max="4" width="3.33203125" style="102" bestFit="1" customWidth="1"/>
    <col min="5" max="5" width="2.33203125" style="1" customWidth="1"/>
    <col min="6" max="6" width="27.5546875" style="5" customWidth="1"/>
    <col min="7" max="7" width="47" customWidth="1"/>
    <col min="8" max="8" width="10.109375" bestFit="1" customWidth="1"/>
    <col min="9" max="9" width="3.33203125" style="102" bestFit="1" customWidth="1"/>
    <col min="10" max="10" width="31" style="1" customWidth="1"/>
    <col min="11" max="11" width="47.44140625" style="1" customWidth="1"/>
    <col min="12" max="12" width="7.5546875" style="1" customWidth="1"/>
    <col min="13" max="13" width="14" customWidth="1"/>
    <col min="14" max="14" width="7.88671875" style="1" customWidth="1"/>
    <col min="15" max="15" width="15" style="1" hidden="1" customWidth="1"/>
    <col min="16" max="16" width="16.44140625" customWidth="1"/>
    <col min="17" max="17" width="16.44140625" style="1" hidden="1" customWidth="1"/>
    <col min="18" max="18" width="17" style="8" customWidth="1"/>
    <col min="19" max="19" width="12.109375" customWidth="1"/>
    <col min="20" max="20" width="11.6640625" style="106" customWidth="1"/>
    <col min="21" max="21" width="14.5546875" customWidth="1"/>
    <col min="22" max="22" width="12" customWidth="1"/>
    <col min="23" max="23" width="11.109375" customWidth="1"/>
    <col min="24" max="24" width="10.44140625" style="205" customWidth="1"/>
    <col min="25" max="25" width="9.44140625" style="205" customWidth="1"/>
    <col min="26" max="26" width="20.33203125" customWidth="1"/>
    <col min="27" max="27" width="19" customWidth="1"/>
    <col min="28" max="28" width="15.44140625" style="205" customWidth="1"/>
    <col min="29" max="29" width="26.88671875" style="205" customWidth="1"/>
    <col min="30" max="30" width="10.109375" customWidth="1"/>
    <col min="31" max="31" width="13.6640625" bestFit="1" customWidth="1"/>
    <col min="32" max="32" width="10.109375" hidden="1" customWidth="1"/>
    <col min="33" max="33" width="13.6640625" bestFit="1" customWidth="1"/>
    <col min="34" max="34" width="4" hidden="1" customWidth="1"/>
    <col min="35" max="35" width="13.6640625" bestFit="1" customWidth="1"/>
    <col min="36" max="36" width="5.109375" hidden="1" customWidth="1"/>
    <col min="37" max="37" width="13.6640625" bestFit="1" customWidth="1"/>
    <col min="38" max="38" width="14" hidden="1" customWidth="1"/>
    <col min="39" max="39" width="13.6640625" bestFit="1" customWidth="1"/>
    <col min="40" max="40" width="10.109375" customWidth="1"/>
    <col min="41" max="41" width="10.5546875" customWidth="1"/>
    <col min="47" max="47" width="22" bestFit="1" customWidth="1"/>
  </cols>
  <sheetData>
    <row r="1" spans="1:41" s="1" customFormat="1" ht="14.25" customHeight="1" x14ac:dyDescent="0.25">
      <c r="A1" s="30" t="s">
        <v>129</v>
      </c>
      <c r="B1" s="30"/>
      <c r="C1" s="30"/>
      <c r="D1" s="102"/>
      <c r="E1" s="30"/>
      <c r="F1" s="29"/>
      <c r="G1" s="30" t="s">
        <v>37</v>
      </c>
      <c r="H1" s="30"/>
      <c r="I1" s="102"/>
      <c r="J1" s="29"/>
      <c r="K1" s="30" t="s">
        <v>55</v>
      </c>
      <c r="L1" s="30"/>
      <c r="M1" s="30"/>
      <c r="N1" s="30"/>
      <c r="O1" s="30"/>
      <c r="P1" s="30"/>
      <c r="Q1" s="30"/>
      <c r="R1" s="30"/>
      <c r="S1" s="30"/>
      <c r="T1" s="30"/>
      <c r="U1" s="30"/>
      <c r="V1" s="105"/>
      <c r="W1" s="30"/>
      <c r="X1" s="105"/>
      <c r="Y1" s="105"/>
      <c r="Z1" s="30"/>
      <c r="AA1" s="30"/>
      <c r="AB1" s="105"/>
      <c r="AC1" s="105"/>
      <c r="AD1" s="30"/>
      <c r="AE1" s="30"/>
      <c r="AF1" s="30"/>
      <c r="AG1" s="30"/>
      <c r="AH1" s="30"/>
      <c r="AI1" s="30"/>
      <c r="AJ1" s="30"/>
      <c r="AK1" s="30"/>
      <c r="AL1" s="30"/>
      <c r="AM1" s="30"/>
      <c r="AN1" s="30"/>
      <c r="AO1" s="30"/>
    </row>
    <row r="2" spans="1:41" s="203" customFormat="1" ht="21" customHeight="1" x14ac:dyDescent="0.25">
      <c r="A2" s="226" t="s">
        <v>38</v>
      </c>
      <c r="B2" s="209">
        <f>Calculator!D15</f>
        <v>0</v>
      </c>
      <c r="C2" s="199"/>
      <c r="D2" s="102"/>
      <c r="E2" s="8"/>
      <c r="F2" s="40"/>
      <c r="G2" s="41" t="s">
        <v>199</v>
      </c>
      <c r="I2" s="102"/>
      <c r="J2" s="1"/>
      <c r="K2" s="293" t="s">
        <v>199</v>
      </c>
      <c r="L2" s="1"/>
      <c r="R2" s="199"/>
      <c r="T2" s="205"/>
      <c r="U2" s="205"/>
      <c r="V2" s="205"/>
      <c r="W2" s="205"/>
      <c r="X2" s="205"/>
      <c r="Y2" s="205"/>
      <c r="Z2" s="330" t="s">
        <v>208</v>
      </c>
      <c r="AA2" s="331"/>
      <c r="AB2" s="310" t="s">
        <v>206</v>
      </c>
      <c r="AC2" s="311"/>
    </row>
    <row r="3" spans="1:41" x14ac:dyDescent="0.25">
      <c r="A3" s="218" t="s">
        <v>16</v>
      </c>
      <c r="B3" s="210">
        <f>DATE(YEAR(Calculator!D15)+60,MONTH(Calculator!D15),DAY(Calculator!D15))</f>
        <v>21915</v>
      </c>
      <c r="C3" s="199"/>
      <c r="F3" s="37" t="s">
        <v>13</v>
      </c>
      <c r="G3" s="43" t="s">
        <v>14</v>
      </c>
      <c r="J3" s="5" t="s">
        <v>43</v>
      </c>
      <c r="K3" s="1" t="s">
        <v>44</v>
      </c>
      <c r="M3" s="203"/>
      <c r="N3" s="203"/>
      <c r="O3" s="203"/>
      <c r="P3" s="203"/>
      <c r="Q3" s="203"/>
      <c r="R3" s="199"/>
      <c r="S3" s="203"/>
      <c r="T3" s="205"/>
      <c r="U3" s="205"/>
      <c r="V3" s="205"/>
      <c r="W3" s="205"/>
      <c r="Z3" s="338" t="s">
        <v>207</v>
      </c>
      <c r="AA3" s="339"/>
      <c r="AB3" s="338" t="s">
        <v>205</v>
      </c>
      <c r="AC3" s="339"/>
      <c r="AE3" s="1"/>
      <c r="AG3" s="1"/>
      <c r="AI3" s="1"/>
      <c r="AK3" s="1"/>
      <c r="AM3" s="1"/>
      <c r="AO3" s="1"/>
    </row>
    <row r="4" spans="1:41" ht="12.75" customHeight="1" x14ac:dyDescent="0.25">
      <c r="A4" s="220" t="s">
        <v>18</v>
      </c>
      <c r="B4" s="210">
        <f>DATE(YEAR(B3),3,31)</f>
        <v>21640</v>
      </c>
      <c r="C4" s="199"/>
      <c r="E4" s="8"/>
      <c r="F4" s="37" t="s">
        <v>5</v>
      </c>
      <c r="G4" s="43" t="s">
        <v>6</v>
      </c>
      <c r="J4" s="5" t="s">
        <v>45</v>
      </c>
      <c r="K4" s="343" t="s">
        <v>46</v>
      </c>
      <c r="M4" s="203"/>
      <c r="N4" s="203"/>
      <c r="O4" s="203"/>
      <c r="P4" s="203"/>
      <c r="Q4" s="203"/>
      <c r="R4" s="199"/>
      <c r="S4" s="203"/>
      <c r="T4" s="205"/>
      <c r="U4" s="205"/>
      <c r="V4" s="205"/>
      <c r="W4" s="205"/>
      <c r="Z4" s="338"/>
      <c r="AA4" s="339"/>
      <c r="AB4" s="338"/>
      <c r="AC4" s="339"/>
      <c r="AE4" s="8"/>
      <c r="AG4" s="8"/>
      <c r="AI4" s="8"/>
      <c r="AK4" s="8"/>
      <c r="AM4" s="8"/>
      <c r="AN4" s="1"/>
      <c r="AO4" s="8"/>
    </row>
    <row r="5" spans="1:41" x14ac:dyDescent="0.25">
      <c r="A5" s="220" t="s">
        <v>19</v>
      </c>
      <c r="B5" s="210">
        <f>IF(B4&gt;B3,DATE(YEAR(B4)-1,3,31),DATE(YEAR(B4),3,31))</f>
        <v>21640</v>
      </c>
      <c r="C5" s="199"/>
      <c r="E5" s="8"/>
      <c r="F5" s="37" t="s">
        <v>7</v>
      </c>
      <c r="G5" s="43" t="s">
        <v>8</v>
      </c>
      <c r="J5" s="198"/>
      <c r="K5" s="343"/>
      <c r="M5" s="203"/>
      <c r="P5" s="1"/>
      <c r="S5" s="1"/>
      <c r="U5" s="205"/>
      <c r="V5" s="205"/>
      <c r="W5" s="205"/>
      <c r="Z5" s="340"/>
      <c r="AA5" s="341"/>
      <c r="AB5" s="340"/>
      <c r="AC5" s="341"/>
      <c r="AD5" s="3"/>
      <c r="AE5" s="8"/>
      <c r="AF5" s="3"/>
      <c r="AG5" s="8"/>
      <c r="AH5" s="3"/>
      <c r="AI5" s="8"/>
      <c r="AJ5" s="3"/>
      <c r="AK5" s="8"/>
      <c r="AL5" s="3"/>
      <c r="AM5" s="8"/>
      <c r="AN5" s="3"/>
      <c r="AO5" s="8"/>
    </row>
    <row r="6" spans="1:41" ht="15" customHeight="1" x14ac:dyDescent="0.25">
      <c r="A6" s="220" t="s">
        <v>102</v>
      </c>
      <c r="B6" s="210" t="str">
        <f>IF(Calculator!D15="","",B5+1)</f>
        <v/>
      </c>
      <c r="C6" s="199"/>
      <c r="E6" s="8"/>
      <c r="F6" s="37"/>
      <c r="G6" s="43"/>
      <c r="J6" s="5" t="s">
        <v>7</v>
      </c>
      <c r="K6" s="33" t="s">
        <v>47</v>
      </c>
      <c r="M6" s="347"/>
      <c r="N6" s="347" t="s">
        <v>119</v>
      </c>
      <c r="O6" s="332" t="s">
        <v>120</v>
      </c>
      <c r="P6" s="334" t="s">
        <v>121</v>
      </c>
      <c r="Q6" s="332" t="s">
        <v>122</v>
      </c>
      <c r="R6" s="334" t="s">
        <v>123</v>
      </c>
      <c r="S6" s="334" t="s">
        <v>115</v>
      </c>
      <c r="T6" s="336" t="s">
        <v>39</v>
      </c>
      <c r="U6" s="334" t="s">
        <v>124</v>
      </c>
      <c r="V6" s="335" t="s">
        <v>125</v>
      </c>
      <c r="W6" s="335" t="s">
        <v>130</v>
      </c>
      <c r="X6" s="335" t="s">
        <v>127</v>
      </c>
      <c r="Y6" s="335" t="s">
        <v>131</v>
      </c>
      <c r="Z6" s="342" t="s">
        <v>126</v>
      </c>
      <c r="AA6" s="334" t="s">
        <v>51</v>
      </c>
      <c r="AB6" s="342" t="s">
        <v>128</v>
      </c>
      <c r="AC6" s="334" t="s">
        <v>50</v>
      </c>
      <c r="AD6" s="3"/>
      <c r="AE6" s="8"/>
      <c r="AF6" s="3"/>
      <c r="AG6" s="8"/>
      <c r="AH6" s="3"/>
      <c r="AI6" s="8"/>
      <c r="AJ6" s="3"/>
      <c r="AK6" s="8"/>
      <c r="AL6" s="3"/>
      <c r="AM6" s="8"/>
      <c r="AN6" s="3"/>
      <c r="AO6" s="8"/>
    </row>
    <row r="7" spans="1:41" ht="18.75" customHeight="1" x14ac:dyDescent="0.25">
      <c r="A7" s="220" t="s">
        <v>200</v>
      </c>
      <c r="B7" s="299">
        <f>DATE(YEAR(Calculator!D15)+18,MONTH(Calculator!D15),DAY(Calculator!D15))</f>
        <v>6575</v>
      </c>
      <c r="C7" s="316"/>
      <c r="F7" s="216" t="s">
        <v>11</v>
      </c>
      <c r="G7" s="217" t="s">
        <v>9</v>
      </c>
      <c r="J7" s="34" t="s">
        <v>57</v>
      </c>
      <c r="K7" s="36" t="s">
        <v>58</v>
      </c>
      <c r="M7" s="347"/>
      <c r="N7" s="347"/>
      <c r="O7" s="333"/>
      <c r="P7" s="334"/>
      <c r="Q7" s="333"/>
      <c r="R7" s="334"/>
      <c r="S7" s="334"/>
      <c r="T7" s="336"/>
      <c r="U7" s="334"/>
      <c r="V7" s="335"/>
      <c r="W7" s="335"/>
      <c r="X7" s="335"/>
      <c r="Y7" s="335"/>
      <c r="Z7" s="342"/>
      <c r="AA7" s="334"/>
      <c r="AB7" s="342"/>
      <c r="AC7" s="334"/>
      <c r="AD7" s="3"/>
      <c r="AE7" s="8"/>
      <c r="AF7" s="3"/>
      <c r="AG7" s="8"/>
      <c r="AH7" s="3"/>
      <c r="AI7" s="8"/>
      <c r="AJ7" s="3"/>
      <c r="AK7" s="8"/>
      <c r="AL7" s="3"/>
      <c r="AM7" s="8"/>
      <c r="AN7" s="3"/>
      <c r="AO7" s="8"/>
    </row>
    <row r="8" spans="1:41" s="1" customFormat="1" ht="15.75" customHeight="1" x14ac:dyDescent="0.35">
      <c r="A8" s="227" t="s">
        <v>68</v>
      </c>
      <c r="B8" s="229">
        <f ca="1">IF(Calculator!D15="",0,ROUNDDOWN((TODAY()-Calculator!D15)/365.25,0))</f>
        <v>0</v>
      </c>
      <c r="C8" s="46"/>
      <c r="D8" s="102"/>
      <c r="F8" s="37" t="s">
        <v>12</v>
      </c>
      <c r="G8" s="339" t="s">
        <v>60</v>
      </c>
      <c r="I8" s="102"/>
      <c r="J8" s="35" t="s">
        <v>11</v>
      </c>
      <c r="K8" s="32" t="s">
        <v>204</v>
      </c>
      <c r="L8" s="35"/>
      <c r="M8" s="230" t="str">
        <f>IF(Calculator!D15="","",YEAR(Codes!K17)-1&amp;" / "&amp;YEAR(Codes!K17))</f>
        <v/>
      </c>
      <c r="N8" s="207">
        <v>1</v>
      </c>
      <c r="O8" s="207">
        <f ca="1">MONTH(K15)</f>
        <v>12</v>
      </c>
      <c r="P8" s="207">
        <f ca="1">IF(OR(O8=1,O8=2,O8=3),O8+9,O8-3)</f>
        <v>9</v>
      </c>
      <c r="Q8" s="207">
        <v>3</v>
      </c>
      <c r="R8" s="207" t="str">
        <f t="shared" ref="R8:R53" si="0">IF(M8="","",IF(M9="",K$25,IF(OR(Q8=1,Q8=2,Q8=3),Q8+9,Q8-3)))</f>
        <v/>
      </c>
      <c r="S8" s="231">
        <f ca="1">DATE(YEAR(T8)-1,4,1)</f>
        <v>43556</v>
      </c>
      <c r="T8" s="231">
        <f ca="1">K17</f>
        <v>43921</v>
      </c>
      <c r="U8" s="207" t="str">
        <f>IF(M8="","",R8-P8+1)</f>
        <v/>
      </c>
      <c r="V8" s="207">
        <f>IF(Calculator!$D$15="",0,K27)</f>
        <v>0</v>
      </c>
      <c r="W8" s="207" t="e">
        <f>IF(V8="","",VLOOKUP(V8,Factors!$A$10:$B$51,2,FALSE))</f>
        <v>#N/A</v>
      </c>
      <c r="X8" s="232" t="e">
        <f ca="1">DATEDIF(K17,B5,"y")</f>
        <v>#NUM!</v>
      </c>
      <c r="Y8" s="232" t="e">
        <f ca="1">IF(X8="","",VLOOKUP(X8,Factors!$F$10:$G$50,2,FALSE))</f>
        <v>#NUM!</v>
      </c>
      <c r="Z8" s="206" t="str">
        <f>IF(M8="","",Calculator!$D$37*U8)</f>
        <v/>
      </c>
      <c r="AA8" s="233" t="str">
        <f t="shared" ref="AA8:AA53" si="1">IF(M8="","",(1.025*Z8)/(W8*Y8))</f>
        <v/>
      </c>
      <c r="AB8" s="232" t="str">
        <f>IF(M8="","",Calculator!$D$42)</f>
        <v/>
      </c>
      <c r="AC8" s="234" t="str">
        <f>IF(M8="","",(AB8*W8*Y8)/(U8*1.025))</f>
        <v/>
      </c>
      <c r="AD8" s="3"/>
      <c r="AE8" s="8"/>
      <c r="AF8" s="3"/>
      <c r="AG8" s="8"/>
      <c r="AH8" s="3"/>
      <c r="AI8" s="8"/>
      <c r="AJ8" s="3"/>
      <c r="AK8" s="8"/>
      <c r="AL8" s="3"/>
      <c r="AM8" s="8"/>
      <c r="AN8" s="3"/>
      <c r="AO8" s="8"/>
    </row>
    <row r="9" spans="1:41" ht="15.6" x14ac:dyDescent="0.25">
      <c r="A9" s="286"/>
      <c r="B9" s="46"/>
      <c r="C9" s="46"/>
      <c r="F9" s="37"/>
      <c r="G9" s="339"/>
      <c r="H9" s="210"/>
      <c r="J9" s="35" t="s">
        <v>12</v>
      </c>
      <c r="K9" s="346" t="s">
        <v>59</v>
      </c>
      <c r="L9" s="35"/>
      <c r="M9" s="230" t="str">
        <f ca="1">IF(S9&lt;&gt;"",YEAR(Codes!$K$17)+(N9-2)&amp;" / "&amp;YEAR(Codes!$K$17)+(N9-1),"")</f>
        <v/>
      </c>
      <c r="N9" s="207" t="str">
        <f t="shared" ref="N9:N53" ca="1" si="2">IF(S9="","",N8+1)</f>
        <v/>
      </c>
      <c r="O9" s="207"/>
      <c r="P9" s="207" t="str">
        <f t="shared" ref="P9:P53" ca="1" si="3">IF(M9="","",1)</f>
        <v/>
      </c>
      <c r="Q9" s="207" t="str">
        <f t="shared" ref="Q9:Q53" ca="1" si="4">IF(OR(M9="",M10=""),"",IF(T9&lt;=K$19,3,MONTH(I$8)))</f>
        <v/>
      </c>
      <c r="R9" s="207" t="str">
        <f t="shared" ca="1" si="0"/>
        <v/>
      </c>
      <c r="S9" s="231" t="str">
        <f t="shared" ref="S9:S53" ca="1" si="5">IF(S8="","",IF(DATE(YEAR(S8)+1,4,1)&lt;K$19,DATE(YEAR(S8)+1,4,1),""))</f>
        <v/>
      </c>
      <c r="T9" s="231" t="str">
        <f t="shared" ref="T9:T53" ca="1" si="6">IF(M9="","",IF(DATE(YEAR(T8)+1,3,31)&lt;=K$19,DATE(YEAR(T8)+1,3,31),""))</f>
        <v/>
      </c>
      <c r="U9" s="207" t="str">
        <f t="shared" ref="U9:U53" ca="1" si="7">IF(M9="","",R9-P9+1)</f>
        <v/>
      </c>
      <c r="V9" s="207" t="str">
        <f t="shared" ref="V9:V53" ca="1" si="8">IF(M9="","",V8+1)</f>
        <v/>
      </c>
      <c r="W9" s="207" t="str">
        <f ca="1">IF(V9="","",VLOOKUP(V9,Factors!$A$10:$B$51,2,FALSE))</f>
        <v/>
      </c>
      <c r="X9" s="232" t="str">
        <f t="shared" ref="X9:X53" ca="1" si="9">IF(M9="","",X8-1)</f>
        <v/>
      </c>
      <c r="Y9" s="232" t="str">
        <f ca="1">IF(X9="","",VLOOKUP(X9,Factors!$F$10:$G$50,2,FALSE))</f>
        <v/>
      </c>
      <c r="Z9" s="206" t="str">
        <f ca="1">IF(M9="","",Calculator!$D$37*U9)</f>
        <v/>
      </c>
      <c r="AA9" s="233" t="str">
        <f t="shared" ca="1" si="1"/>
        <v/>
      </c>
      <c r="AB9" s="232" t="str">
        <f ca="1">IF(M9="","",Calculator!$D$42)</f>
        <v/>
      </c>
      <c r="AC9" s="234" t="str">
        <f t="shared" ref="AC9:AC53" ca="1" si="10">IF(M9="","",(AB9*W9*Y9)/(U9*1.025))</f>
        <v/>
      </c>
      <c r="AD9" s="3"/>
      <c r="AE9" s="8"/>
      <c r="AF9" s="3"/>
      <c r="AG9" s="8"/>
      <c r="AH9" s="3"/>
      <c r="AI9" s="8"/>
      <c r="AJ9" s="3"/>
      <c r="AK9" s="8"/>
      <c r="AL9" s="3"/>
      <c r="AM9" s="8"/>
      <c r="AN9" s="3"/>
      <c r="AO9" s="8"/>
    </row>
    <row r="10" spans="1:41" s="1" customFormat="1" ht="12.75" customHeight="1" x14ac:dyDescent="0.25">
      <c r="A10" s="291" t="s">
        <v>196</v>
      </c>
      <c r="B10" s="292">
        <f ca="1">TODAY()</f>
        <v>43810</v>
      </c>
      <c r="C10" s="215"/>
      <c r="D10" s="103"/>
      <c r="F10" s="201"/>
      <c r="G10" s="341"/>
      <c r="H10" s="199"/>
      <c r="I10" s="103"/>
      <c r="J10" s="200"/>
      <c r="K10" s="346"/>
      <c r="L10" s="200"/>
      <c r="M10" s="230" t="str">
        <f ca="1">IF(S10&lt;&gt;"",YEAR(Codes!$K$17)+(N10-2)&amp;" / "&amp;YEAR(Codes!$K$17)+(N10-1),"")</f>
        <v/>
      </c>
      <c r="N10" s="207" t="str">
        <f t="shared" ca="1" si="2"/>
        <v/>
      </c>
      <c r="O10" s="207"/>
      <c r="P10" s="207" t="str">
        <f t="shared" ca="1" si="3"/>
        <v/>
      </c>
      <c r="Q10" s="207" t="str">
        <f t="shared" ca="1" si="4"/>
        <v/>
      </c>
      <c r="R10" s="207" t="str">
        <f t="shared" ca="1" si="0"/>
        <v/>
      </c>
      <c r="S10" s="231" t="str">
        <f t="shared" ca="1" si="5"/>
        <v/>
      </c>
      <c r="T10" s="231" t="str">
        <f t="shared" ca="1" si="6"/>
        <v/>
      </c>
      <c r="U10" s="207" t="str">
        <f t="shared" ca="1" si="7"/>
        <v/>
      </c>
      <c r="V10" s="207" t="str">
        <f t="shared" ca="1" si="8"/>
        <v/>
      </c>
      <c r="W10" s="207" t="str">
        <f ca="1">IF(V10="","",VLOOKUP(V10,Factors!$A$10:$B$51,2,FALSE))</f>
        <v/>
      </c>
      <c r="X10" s="232" t="str">
        <f t="shared" ca="1" si="9"/>
        <v/>
      </c>
      <c r="Y10" s="232" t="str">
        <f ca="1">IF(X10="","",VLOOKUP(X10,Factors!$F$10:$G$50,2,FALSE))</f>
        <v/>
      </c>
      <c r="Z10" s="206" t="str">
        <f ca="1">IF(M10="","",Calculator!$D$37*U10)</f>
        <v/>
      </c>
      <c r="AA10" s="233" t="str">
        <f t="shared" ca="1" si="1"/>
        <v/>
      </c>
      <c r="AB10" s="232" t="str">
        <f ca="1">IF(M10="","",Calculator!$D$42)</f>
        <v/>
      </c>
      <c r="AC10" s="234" t="str">
        <f t="shared" ca="1" si="10"/>
        <v/>
      </c>
      <c r="AD10" s="3"/>
      <c r="AE10" s="8"/>
      <c r="AF10" s="3"/>
      <c r="AG10" s="8"/>
      <c r="AH10" s="3"/>
      <c r="AI10" s="8"/>
      <c r="AJ10" s="3"/>
      <c r="AK10" s="8"/>
      <c r="AL10" s="3"/>
      <c r="AM10" s="8"/>
      <c r="AN10" s="3"/>
      <c r="AO10" s="8"/>
    </row>
    <row r="11" spans="1:41" x14ac:dyDescent="0.25">
      <c r="A11" s="201" t="s">
        <v>84</v>
      </c>
      <c r="B11" s="115">
        <v>42095</v>
      </c>
      <c r="C11" s="215"/>
      <c r="D11" s="337"/>
      <c r="F11" s="38"/>
      <c r="G11" s="294"/>
      <c r="H11" s="199"/>
      <c r="I11" s="337"/>
      <c r="J11" s="200"/>
      <c r="K11" s="346"/>
      <c r="L11" s="35"/>
      <c r="M11" s="230" t="str">
        <f ca="1">IF(S11&lt;&gt;"",YEAR(Codes!$K$17)+(N11-2)&amp;" / "&amp;YEAR(Codes!$K$17)+(N11-1),"")</f>
        <v/>
      </c>
      <c r="N11" s="207" t="str">
        <f t="shared" ca="1" si="2"/>
        <v/>
      </c>
      <c r="O11" s="207"/>
      <c r="P11" s="207" t="str">
        <f t="shared" ca="1" si="3"/>
        <v/>
      </c>
      <c r="Q11" s="207" t="str">
        <f t="shared" ca="1" si="4"/>
        <v/>
      </c>
      <c r="R11" s="207" t="str">
        <f t="shared" ca="1" si="0"/>
        <v/>
      </c>
      <c r="S11" s="231" t="str">
        <f t="shared" ca="1" si="5"/>
        <v/>
      </c>
      <c r="T11" s="231" t="str">
        <f t="shared" ca="1" si="6"/>
        <v/>
      </c>
      <c r="U11" s="207" t="str">
        <f t="shared" ca="1" si="7"/>
        <v/>
      </c>
      <c r="V11" s="207" t="str">
        <f t="shared" ca="1" si="8"/>
        <v/>
      </c>
      <c r="W11" s="207" t="str">
        <f ca="1">IF(V11="","",VLOOKUP(V11,Factors!$A$10:$B$51,2,FALSE))</f>
        <v/>
      </c>
      <c r="X11" s="232" t="str">
        <f t="shared" ca="1" si="9"/>
        <v/>
      </c>
      <c r="Y11" s="232" t="str">
        <f ca="1">IF(X11="","",VLOOKUP(X11,Factors!$F$10:$G$50,2,FALSE))</f>
        <v/>
      </c>
      <c r="Z11" s="206" t="str">
        <f ca="1">IF(M11="","",Calculator!$D$37*U11)</f>
        <v/>
      </c>
      <c r="AA11" s="233" t="str">
        <f t="shared" ca="1" si="1"/>
        <v/>
      </c>
      <c r="AB11" s="232" t="str">
        <f ca="1">IF(M11="","",Calculator!$D$42)</f>
        <v/>
      </c>
      <c r="AC11" s="234" t="str">
        <f t="shared" ca="1" si="10"/>
        <v/>
      </c>
      <c r="AD11" s="3"/>
      <c r="AE11" s="8"/>
      <c r="AF11" s="3"/>
      <c r="AG11" s="8"/>
      <c r="AH11" s="3"/>
      <c r="AI11" s="8"/>
      <c r="AJ11" s="3"/>
      <c r="AK11" s="8"/>
      <c r="AL11" s="3"/>
      <c r="AM11" s="8"/>
      <c r="AN11" s="3"/>
      <c r="AO11" s="8"/>
    </row>
    <row r="12" spans="1:41" s="1" customFormat="1" x14ac:dyDescent="0.25">
      <c r="A12" s="286"/>
      <c r="B12" s="46"/>
      <c r="C12" s="46"/>
      <c r="D12" s="337"/>
      <c r="F12" s="344" t="s">
        <v>20</v>
      </c>
      <c r="G12" s="345"/>
      <c r="H12" s="199"/>
      <c r="I12" s="337"/>
      <c r="J12" s="5" t="s">
        <v>48</v>
      </c>
      <c r="K12" s="1" t="s">
        <v>49</v>
      </c>
      <c r="L12" s="35"/>
      <c r="M12" s="230" t="str">
        <f ca="1">IF(S12&lt;&gt;"",YEAR(Codes!$K$17)+(N12-2)&amp;" / "&amp;YEAR(Codes!$K$17)+(N12-1),"")</f>
        <v/>
      </c>
      <c r="N12" s="207" t="str">
        <f t="shared" ca="1" si="2"/>
        <v/>
      </c>
      <c r="O12" s="207"/>
      <c r="P12" s="207" t="str">
        <f t="shared" ca="1" si="3"/>
        <v/>
      </c>
      <c r="Q12" s="207" t="str">
        <f t="shared" ca="1" si="4"/>
        <v/>
      </c>
      <c r="R12" s="207" t="str">
        <f t="shared" ca="1" si="0"/>
        <v/>
      </c>
      <c r="S12" s="231" t="str">
        <f t="shared" ca="1" si="5"/>
        <v/>
      </c>
      <c r="T12" s="231" t="str">
        <f t="shared" ca="1" si="6"/>
        <v/>
      </c>
      <c r="U12" s="207" t="str">
        <f t="shared" ca="1" si="7"/>
        <v/>
      </c>
      <c r="V12" s="207" t="str">
        <f t="shared" ca="1" si="8"/>
        <v/>
      </c>
      <c r="W12" s="207" t="str">
        <f ca="1">IF(V12="","",VLOOKUP(V12,Factors!$A$10:$B$51,2,FALSE))</f>
        <v/>
      </c>
      <c r="X12" s="232" t="str">
        <f t="shared" ca="1" si="9"/>
        <v/>
      </c>
      <c r="Y12" s="232" t="str">
        <f ca="1">IF(X12="","",VLOOKUP(X12,Factors!$F$10:$G$50,2,FALSE))</f>
        <v/>
      </c>
      <c r="Z12" s="206" t="str">
        <f ca="1">IF(M12="","",Calculator!$D$37*U12)</f>
        <v/>
      </c>
      <c r="AA12" s="233" t="str">
        <f t="shared" ca="1" si="1"/>
        <v/>
      </c>
      <c r="AB12" s="232" t="str">
        <f ca="1">IF(M12="","",Calculator!$D$42)</f>
        <v/>
      </c>
      <c r="AC12" s="234" t="str">
        <f t="shared" ca="1" si="10"/>
        <v/>
      </c>
      <c r="AD12" s="3"/>
      <c r="AE12" s="8"/>
      <c r="AF12" s="3"/>
      <c r="AG12" s="8"/>
      <c r="AH12" s="3"/>
      <c r="AI12" s="8"/>
      <c r="AJ12" s="3"/>
      <c r="AK12" s="8"/>
      <c r="AL12" s="3"/>
      <c r="AM12" s="8"/>
      <c r="AN12" s="3"/>
      <c r="AO12" s="8"/>
    </row>
    <row r="13" spans="1:41" x14ac:dyDescent="0.25">
      <c r="A13" s="112" t="s">
        <v>197</v>
      </c>
      <c r="B13" s="113"/>
      <c r="C13" s="46"/>
      <c r="D13" s="337"/>
      <c r="F13" s="218"/>
      <c r="G13" s="219"/>
      <c r="H13" s="199"/>
      <c r="I13" s="337"/>
      <c r="L13" s="5"/>
      <c r="M13" s="230" t="str">
        <f ca="1">IF(S13&lt;&gt;"",YEAR(Codes!$K$17)+(N13-2)&amp;" / "&amp;YEAR(Codes!$K$17)+(N13-1),"")</f>
        <v/>
      </c>
      <c r="N13" s="207" t="str">
        <f t="shared" ca="1" si="2"/>
        <v/>
      </c>
      <c r="O13" s="207"/>
      <c r="P13" s="207" t="str">
        <f t="shared" ca="1" si="3"/>
        <v/>
      </c>
      <c r="Q13" s="207" t="str">
        <f t="shared" ca="1" si="4"/>
        <v/>
      </c>
      <c r="R13" s="207" t="str">
        <f t="shared" ca="1" si="0"/>
        <v/>
      </c>
      <c r="S13" s="231" t="str">
        <f t="shared" ca="1" si="5"/>
        <v/>
      </c>
      <c r="T13" s="231" t="str">
        <f t="shared" ca="1" si="6"/>
        <v/>
      </c>
      <c r="U13" s="207" t="str">
        <f t="shared" ca="1" si="7"/>
        <v/>
      </c>
      <c r="V13" s="207" t="str">
        <f t="shared" ca="1" si="8"/>
        <v/>
      </c>
      <c r="W13" s="207" t="str">
        <f ca="1">IF(V13="","",VLOOKUP(V13,Factors!$A$10:$B$51,2,FALSE))</f>
        <v/>
      </c>
      <c r="X13" s="232" t="str">
        <f t="shared" ca="1" si="9"/>
        <v/>
      </c>
      <c r="Y13" s="232" t="str">
        <f ca="1">IF(X13="","",VLOOKUP(X13,Factors!$F$10:$G$50,2,FALSE))</f>
        <v/>
      </c>
      <c r="Z13" s="206" t="str">
        <f ca="1">IF(M13="","",Calculator!$D$37*U13)</f>
        <v/>
      </c>
      <c r="AA13" s="233" t="str">
        <f t="shared" ca="1" si="1"/>
        <v/>
      </c>
      <c r="AB13" s="232" t="str">
        <f ca="1">IF(M13="","",Calculator!$D$42)</f>
        <v/>
      </c>
      <c r="AC13" s="234" t="str">
        <f t="shared" ca="1" si="10"/>
        <v/>
      </c>
      <c r="AD13" s="3"/>
      <c r="AE13" s="8"/>
      <c r="AF13" s="3"/>
      <c r="AG13" s="8"/>
      <c r="AH13" s="3"/>
      <c r="AI13" s="8"/>
      <c r="AJ13" s="3"/>
      <c r="AK13" s="8"/>
      <c r="AL13" s="3"/>
      <c r="AM13" s="8"/>
      <c r="AN13" s="3"/>
      <c r="AO13" s="8"/>
    </row>
    <row r="14" spans="1:41" ht="13.8" x14ac:dyDescent="0.25">
      <c r="A14" s="290" t="s">
        <v>107</v>
      </c>
      <c r="B14" s="314">
        <v>6500</v>
      </c>
      <c r="C14" s="46"/>
      <c r="D14" s="337"/>
      <c r="F14" s="220" t="s">
        <v>87</v>
      </c>
      <c r="G14" s="221">
        <f ca="1">IF(Calculator!D21="",TODAY(),Calculator!D21)</f>
        <v>43810</v>
      </c>
      <c r="H14" s="199"/>
      <c r="I14" s="337"/>
      <c r="L14" s="31"/>
      <c r="M14" s="230" t="str">
        <f ca="1">IF(S14&lt;&gt;"",YEAR(Codes!$K$17)+(N14-2)&amp;" / "&amp;YEAR(Codes!$K$17)+(N14-1),"")</f>
        <v/>
      </c>
      <c r="N14" s="207" t="str">
        <f t="shared" ca="1" si="2"/>
        <v/>
      </c>
      <c r="O14" s="207"/>
      <c r="P14" s="207" t="str">
        <f t="shared" ca="1" si="3"/>
        <v/>
      </c>
      <c r="Q14" s="207" t="str">
        <f t="shared" ca="1" si="4"/>
        <v/>
      </c>
      <c r="R14" s="207" t="str">
        <f t="shared" ca="1" si="0"/>
        <v/>
      </c>
      <c r="S14" s="231" t="str">
        <f t="shared" ca="1" si="5"/>
        <v/>
      </c>
      <c r="T14" s="231" t="str">
        <f t="shared" ca="1" si="6"/>
        <v/>
      </c>
      <c r="U14" s="207" t="str">
        <f t="shared" ca="1" si="7"/>
        <v/>
      </c>
      <c r="V14" s="207" t="str">
        <f t="shared" ca="1" si="8"/>
        <v/>
      </c>
      <c r="W14" s="207" t="str">
        <f ca="1">IF(V14="","",VLOOKUP(V14,Factors!$A$10:$B$51,2,FALSE))</f>
        <v/>
      </c>
      <c r="X14" s="232" t="str">
        <f t="shared" ca="1" si="9"/>
        <v/>
      </c>
      <c r="Y14" s="232" t="str">
        <f ca="1">IF(X14="","",VLOOKUP(X14,Factors!$F$10:$G$50,2,FALSE))</f>
        <v/>
      </c>
      <c r="Z14" s="206" t="str">
        <f ca="1">IF(M14="","",Calculator!$D$37*U14)</f>
        <v/>
      </c>
      <c r="AA14" s="233" t="str">
        <f t="shared" ca="1" si="1"/>
        <v/>
      </c>
      <c r="AB14" s="232" t="str">
        <f ca="1">IF(M14="","",Calculator!$D$42)</f>
        <v/>
      </c>
      <c r="AC14" s="234" t="str">
        <f t="shared" ca="1" si="10"/>
        <v/>
      </c>
      <c r="AD14" s="8"/>
      <c r="AE14" s="3"/>
      <c r="AF14" s="8"/>
      <c r="AG14" s="3"/>
      <c r="AH14" s="8"/>
      <c r="AI14" s="3"/>
      <c r="AJ14" s="8"/>
      <c r="AK14" s="3"/>
      <c r="AL14" s="8"/>
      <c r="AM14" s="3"/>
      <c r="AN14" s="8"/>
    </row>
    <row r="15" spans="1:41" x14ac:dyDescent="0.25">
      <c r="A15" s="37" t="s">
        <v>194</v>
      </c>
      <c r="B15" s="114">
        <f ca="1">TODAY()-(60*365.25)+1</f>
        <v>21896</v>
      </c>
      <c r="C15" s="46"/>
      <c r="D15" s="337"/>
      <c r="F15" s="220" t="s">
        <v>17</v>
      </c>
      <c r="G15" s="210">
        <f ca="1">IF(MONTH(G14)&gt;3,DATE(YEAR(G14)+1,4,1),DATE(YEAR(G14),4,1))</f>
        <v>43922</v>
      </c>
      <c r="H15" s="199"/>
      <c r="I15" s="337"/>
      <c r="J15" s="208" t="s">
        <v>36</v>
      </c>
      <c r="K15" s="209">
        <f ca="1">IF(Calculator!D33="",TODAY(),Calculator!D33)</f>
        <v>43810</v>
      </c>
      <c r="L15" s="5"/>
      <c r="M15" s="230" t="str">
        <f ca="1">IF(S15&lt;&gt;"",YEAR(Codes!$K$17)+(N15-2)&amp;" / "&amp;YEAR(Codes!$K$17)+(N15-1),"")</f>
        <v/>
      </c>
      <c r="N15" s="207" t="str">
        <f t="shared" ca="1" si="2"/>
        <v/>
      </c>
      <c r="O15" s="207"/>
      <c r="P15" s="207" t="str">
        <f t="shared" ca="1" si="3"/>
        <v/>
      </c>
      <c r="Q15" s="207" t="str">
        <f t="shared" ca="1" si="4"/>
        <v/>
      </c>
      <c r="R15" s="207" t="str">
        <f t="shared" ca="1" si="0"/>
        <v/>
      </c>
      <c r="S15" s="231" t="str">
        <f t="shared" ca="1" si="5"/>
        <v/>
      </c>
      <c r="T15" s="231" t="str">
        <f t="shared" ca="1" si="6"/>
        <v/>
      </c>
      <c r="U15" s="207" t="str">
        <f t="shared" ca="1" si="7"/>
        <v/>
      </c>
      <c r="V15" s="207" t="str">
        <f t="shared" ca="1" si="8"/>
        <v/>
      </c>
      <c r="W15" s="207" t="str">
        <f ca="1">IF(V15="","",VLOOKUP(V15,Factors!$A$10:$B$51,2,FALSE))</f>
        <v/>
      </c>
      <c r="X15" s="232" t="str">
        <f t="shared" ca="1" si="9"/>
        <v/>
      </c>
      <c r="Y15" s="232" t="str">
        <f ca="1">IF(X15="","",VLOOKUP(X15,Factors!$F$10:$G$50,2,FALSE))</f>
        <v/>
      </c>
      <c r="Z15" s="206" t="str">
        <f ca="1">IF(M15="","",Calculator!$D$37*U15)</f>
        <v/>
      </c>
      <c r="AA15" s="233" t="str">
        <f t="shared" ca="1" si="1"/>
        <v/>
      </c>
      <c r="AB15" s="232" t="str">
        <f ca="1">IF(M15="","",Calculator!$D$42)</f>
        <v/>
      </c>
      <c r="AC15" s="234" t="str">
        <f t="shared" ca="1" si="10"/>
        <v/>
      </c>
      <c r="AD15" s="8"/>
      <c r="AE15" s="3"/>
      <c r="AF15" s="8"/>
      <c r="AG15" s="3"/>
      <c r="AH15" s="8"/>
      <c r="AI15" s="3"/>
      <c r="AJ15" s="8"/>
      <c r="AK15" s="3"/>
      <c r="AL15" s="8"/>
      <c r="AM15" s="3"/>
      <c r="AN15" s="8"/>
    </row>
    <row r="16" spans="1:41" x14ac:dyDescent="0.25">
      <c r="A16" s="201" t="s">
        <v>195</v>
      </c>
      <c r="B16" s="115">
        <f ca="1">TODAY()-(18*365.25-1)</f>
        <v>37236.5</v>
      </c>
      <c r="C16" s="46"/>
      <c r="D16" s="337"/>
      <c r="F16" s="222" t="s">
        <v>40</v>
      </c>
      <c r="G16" s="223">
        <f ca="1">DATEDIF(Calculator!D15,Codes!G14,"y")</f>
        <v>119</v>
      </c>
      <c r="H16" s="199"/>
      <c r="I16" s="337"/>
      <c r="J16" s="202" t="s">
        <v>18</v>
      </c>
      <c r="K16" s="210">
        <f ca="1">DATE(YEAR(K15),3,31)</f>
        <v>43555</v>
      </c>
      <c r="M16" s="230" t="str">
        <f ca="1">IF(S16&lt;&gt;"",YEAR(Codes!$K$17)+(N16-2)&amp;" / "&amp;YEAR(Codes!$K$17)+(N16-1),"")</f>
        <v/>
      </c>
      <c r="N16" s="207" t="str">
        <f t="shared" ca="1" si="2"/>
        <v/>
      </c>
      <c r="O16" s="207"/>
      <c r="P16" s="207" t="str">
        <f t="shared" ca="1" si="3"/>
        <v/>
      </c>
      <c r="Q16" s="207" t="str">
        <f t="shared" ca="1" si="4"/>
        <v/>
      </c>
      <c r="R16" s="207" t="str">
        <f t="shared" ca="1" si="0"/>
        <v/>
      </c>
      <c r="S16" s="231" t="str">
        <f t="shared" ca="1" si="5"/>
        <v/>
      </c>
      <c r="T16" s="231" t="str">
        <f t="shared" ca="1" si="6"/>
        <v/>
      </c>
      <c r="U16" s="207" t="str">
        <f t="shared" ca="1" si="7"/>
        <v/>
      </c>
      <c r="V16" s="207" t="str">
        <f t="shared" ca="1" si="8"/>
        <v/>
      </c>
      <c r="W16" s="207" t="str">
        <f ca="1">IF(V16="","",VLOOKUP(V16,Factors!$A$10:$B$51,2,FALSE))</f>
        <v/>
      </c>
      <c r="X16" s="232" t="str">
        <f t="shared" ca="1" si="9"/>
        <v/>
      </c>
      <c r="Y16" s="232" t="str">
        <f ca="1">IF(X16="","",VLOOKUP(X16,Factors!$F$10:$G$50,2,FALSE))</f>
        <v/>
      </c>
      <c r="Z16" s="206" t="str">
        <f ca="1">IF(M16="","",Calculator!$D$37*U16)</f>
        <v/>
      </c>
      <c r="AA16" s="233" t="str">
        <f t="shared" ca="1" si="1"/>
        <v/>
      </c>
      <c r="AB16" s="232" t="str">
        <f ca="1">IF(M16="","",Calculator!$D$42)</f>
        <v/>
      </c>
      <c r="AC16" s="234" t="str">
        <f t="shared" ca="1" si="10"/>
        <v/>
      </c>
      <c r="AD16" s="3"/>
      <c r="AE16" s="8"/>
      <c r="AF16" s="3"/>
      <c r="AG16" s="8"/>
      <c r="AH16" s="3"/>
      <c r="AI16" s="8"/>
    </row>
    <row r="17" spans="1:30" x14ac:dyDescent="0.25">
      <c r="A17" s="203"/>
      <c r="D17" s="104"/>
      <c r="F17" s="224" t="s">
        <v>41</v>
      </c>
      <c r="G17" s="225" t="str">
        <f ca="1">IF(OR(B6="",G15=""),"",DATEDIF(G15,B6,"y"))</f>
        <v/>
      </c>
      <c r="H17" s="199"/>
      <c r="I17" s="104"/>
      <c r="J17" s="201" t="s">
        <v>39</v>
      </c>
      <c r="K17" s="211">
        <f ca="1">IF(K16&lt;K15,DATE(YEAR(K16)+1,3,31),DATE(YEAR(K16),3,31))</f>
        <v>43921</v>
      </c>
      <c r="M17" s="230" t="str">
        <f ca="1">IF(S17&lt;&gt;"",YEAR(Codes!$K$17)+(N17-2)&amp;" / "&amp;YEAR(Codes!$K$17)+(N17-1),"")</f>
        <v/>
      </c>
      <c r="N17" s="207" t="str">
        <f t="shared" ca="1" si="2"/>
        <v/>
      </c>
      <c r="O17" s="207"/>
      <c r="P17" s="207" t="str">
        <f t="shared" ca="1" si="3"/>
        <v/>
      </c>
      <c r="Q17" s="207" t="str">
        <f t="shared" ca="1" si="4"/>
        <v/>
      </c>
      <c r="R17" s="207" t="str">
        <f t="shared" ca="1" si="0"/>
        <v/>
      </c>
      <c r="S17" s="231" t="str">
        <f t="shared" ca="1" si="5"/>
        <v/>
      </c>
      <c r="T17" s="231" t="str">
        <f t="shared" ca="1" si="6"/>
        <v/>
      </c>
      <c r="U17" s="207" t="str">
        <f t="shared" ca="1" si="7"/>
        <v/>
      </c>
      <c r="V17" s="207" t="str">
        <f t="shared" ca="1" si="8"/>
        <v/>
      </c>
      <c r="W17" s="207" t="str">
        <f ca="1">IF(V17="","",VLOOKUP(V17,Factors!$A$10:$B$51,2,FALSE))</f>
        <v/>
      </c>
      <c r="X17" s="232" t="str">
        <f t="shared" ca="1" si="9"/>
        <v/>
      </c>
      <c r="Y17" s="232" t="str">
        <f ca="1">IF(X17="","",VLOOKUP(X17,Factors!$F$10:$G$50,2,FALSE))</f>
        <v/>
      </c>
      <c r="Z17" s="206" t="str">
        <f ca="1">IF(M17="","",Calculator!$D$37*U17)</f>
        <v/>
      </c>
      <c r="AA17" s="233" t="str">
        <f t="shared" ca="1" si="1"/>
        <v/>
      </c>
      <c r="AB17" s="232" t="str">
        <f ca="1">IF(M17="","",Calculator!$D$42)</f>
        <v/>
      </c>
      <c r="AC17" s="234" t="str">
        <f t="shared" ca="1" si="10"/>
        <v/>
      </c>
      <c r="AD17" s="1"/>
    </row>
    <row r="18" spans="1:30" x14ac:dyDescent="0.25">
      <c r="D18" s="104"/>
      <c r="H18" s="199"/>
      <c r="I18" s="104"/>
      <c r="J18" s="198"/>
      <c r="K18" s="199"/>
      <c r="M18" s="230" t="str">
        <f ca="1">IF(S18&lt;&gt;"",YEAR(Codes!$K$17)+(N18-2)&amp;" / "&amp;YEAR(Codes!$K$17)+(N18-1),"")</f>
        <v/>
      </c>
      <c r="N18" s="207" t="str">
        <f t="shared" ca="1" si="2"/>
        <v/>
      </c>
      <c r="O18" s="207"/>
      <c r="P18" s="207" t="str">
        <f t="shared" ca="1" si="3"/>
        <v/>
      </c>
      <c r="Q18" s="207" t="str">
        <f t="shared" ca="1" si="4"/>
        <v/>
      </c>
      <c r="R18" s="207" t="str">
        <f t="shared" ca="1" si="0"/>
        <v/>
      </c>
      <c r="S18" s="231" t="str">
        <f t="shared" ca="1" si="5"/>
        <v/>
      </c>
      <c r="T18" s="231" t="str">
        <f t="shared" ca="1" si="6"/>
        <v/>
      </c>
      <c r="U18" s="207" t="str">
        <f t="shared" ca="1" si="7"/>
        <v/>
      </c>
      <c r="V18" s="207" t="str">
        <f t="shared" ca="1" si="8"/>
        <v/>
      </c>
      <c r="W18" s="207" t="str">
        <f ca="1">IF(V18="","",VLOOKUP(V18,Factors!$A$10:$B$51,2,FALSE))</f>
        <v/>
      </c>
      <c r="X18" s="232" t="str">
        <f t="shared" ca="1" si="9"/>
        <v/>
      </c>
      <c r="Y18" s="232" t="str">
        <f ca="1">IF(X18="","",VLOOKUP(X18,Factors!$F$10:$G$50,2,FALSE))</f>
        <v/>
      </c>
      <c r="Z18" s="206" t="str">
        <f ca="1">IF(M18="","",Calculator!$D$37*U18)</f>
        <v/>
      </c>
      <c r="AA18" s="233" t="str">
        <f t="shared" ca="1" si="1"/>
        <v/>
      </c>
      <c r="AB18" s="232" t="str">
        <f ca="1">IF(M18="","",Calculator!$D$42)</f>
        <v/>
      </c>
      <c r="AC18" s="234" t="str">
        <f t="shared" ca="1" si="10"/>
        <v/>
      </c>
    </row>
    <row r="19" spans="1:30" x14ac:dyDescent="0.25">
      <c r="A19" s="300" t="s">
        <v>198</v>
      </c>
      <c r="F19" s="40" t="s">
        <v>2</v>
      </c>
      <c r="G19" s="41"/>
      <c r="H19" s="111"/>
      <c r="J19" s="208" t="s">
        <v>42</v>
      </c>
      <c r="K19" s="209">
        <f ca="1">IF(Calculator!D35="",K17,Calculator!D35)</f>
        <v>43921</v>
      </c>
      <c r="L19" s="8"/>
      <c r="M19" s="230" t="str">
        <f ca="1">IF(S19&lt;&gt;"",YEAR(Codes!$K$17)+(N19-2)&amp;" / "&amp;YEAR(Codes!$K$17)+(N19-1),"")</f>
        <v/>
      </c>
      <c r="N19" s="207" t="str">
        <f t="shared" ca="1" si="2"/>
        <v/>
      </c>
      <c r="O19" s="207"/>
      <c r="P19" s="207" t="str">
        <f t="shared" ca="1" si="3"/>
        <v/>
      </c>
      <c r="Q19" s="207" t="str">
        <f t="shared" ca="1" si="4"/>
        <v/>
      </c>
      <c r="R19" s="207" t="str">
        <f t="shared" ca="1" si="0"/>
        <v/>
      </c>
      <c r="S19" s="231" t="str">
        <f t="shared" ca="1" si="5"/>
        <v/>
      </c>
      <c r="T19" s="231" t="str">
        <f t="shared" ca="1" si="6"/>
        <v/>
      </c>
      <c r="U19" s="207" t="str">
        <f t="shared" ca="1" si="7"/>
        <v/>
      </c>
      <c r="V19" s="207" t="str">
        <f t="shared" ca="1" si="8"/>
        <v/>
      </c>
      <c r="W19" s="207" t="str">
        <f ca="1">IF(V19="","",VLOOKUP(V19,Factors!$A$10:$B$51,2,FALSE))</f>
        <v/>
      </c>
      <c r="X19" s="232" t="str">
        <f t="shared" ca="1" si="9"/>
        <v/>
      </c>
      <c r="Y19" s="232" t="str">
        <f ca="1">IF(X19="","",VLOOKUP(X19,Factors!$F$10:$G$50,2,FALSE))</f>
        <v/>
      </c>
      <c r="Z19" s="206" t="str">
        <f ca="1">IF(M19="","",Calculator!$D$37*U19)</f>
        <v/>
      </c>
      <c r="AA19" s="233" t="str">
        <f t="shared" ca="1" si="1"/>
        <v/>
      </c>
      <c r="AB19" s="232" t="str">
        <f ca="1">IF(M19="","",Calculator!$D$42)</f>
        <v/>
      </c>
      <c r="AC19" s="234" t="str">
        <f t="shared" ca="1" si="10"/>
        <v/>
      </c>
    </row>
    <row r="20" spans="1:30" x14ac:dyDescent="0.25">
      <c r="A20" s="301" t="s">
        <v>164</v>
      </c>
      <c r="F20" s="42"/>
      <c r="G20" s="43"/>
      <c r="H20" s="1"/>
      <c r="J20" s="202" t="s">
        <v>18</v>
      </c>
      <c r="K20" s="210">
        <f ca="1">DATE(YEAR(K19),3,31)</f>
        <v>43921</v>
      </c>
      <c r="L20" s="199"/>
      <c r="M20" s="230" t="str">
        <f ca="1">IF(S20&lt;&gt;"",YEAR(Codes!$K$17)+(N20-2)&amp;" / "&amp;YEAR(Codes!$K$17)+(N20-1),"")</f>
        <v/>
      </c>
      <c r="N20" s="207" t="str">
        <f t="shared" ca="1" si="2"/>
        <v/>
      </c>
      <c r="O20" s="207"/>
      <c r="P20" s="207" t="str">
        <f t="shared" ca="1" si="3"/>
        <v/>
      </c>
      <c r="Q20" s="207" t="str">
        <f t="shared" ca="1" si="4"/>
        <v/>
      </c>
      <c r="R20" s="207" t="str">
        <f t="shared" ca="1" si="0"/>
        <v/>
      </c>
      <c r="S20" s="231" t="str">
        <f t="shared" ca="1" si="5"/>
        <v/>
      </c>
      <c r="T20" s="231" t="str">
        <f t="shared" ca="1" si="6"/>
        <v/>
      </c>
      <c r="U20" s="207" t="str">
        <f t="shared" ca="1" si="7"/>
        <v/>
      </c>
      <c r="V20" s="207" t="str">
        <f t="shared" ca="1" si="8"/>
        <v/>
      </c>
      <c r="W20" s="207" t="str">
        <f ca="1">IF(V20="","",VLOOKUP(V20,Factors!$A$10:$B$51,2,FALSE))</f>
        <v/>
      </c>
      <c r="X20" s="232" t="str">
        <f t="shared" ca="1" si="9"/>
        <v/>
      </c>
      <c r="Y20" s="232" t="str">
        <f ca="1">IF(X20="","",VLOOKUP(X20,Factors!$F$10:$G$50,2,FALSE))</f>
        <v/>
      </c>
      <c r="Z20" s="206" t="str">
        <f ca="1">IF(M20="","",Calculator!$D$37*U20)</f>
        <v/>
      </c>
      <c r="AA20" s="233" t="str">
        <f t="shared" ca="1" si="1"/>
        <v/>
      </c>
      <c r="AB20" s="232" t="str">
        <f ca="1">IF(M20="","",Calculator!$D$42)</f>
        <v/>
      </c>
      <c r="AC20" s="234" t="str">
        <f t="shared" ca="1" si="10"/>
        <v/>
      </c>
    </row>
    <row r="21" spans="1:30" x14ac:dyDescent="0.25">
      <c r="A21" s="301" t="s">
        <v>165</v>
      </c>
      <c r="F21" s="37" t="s">
        <v>5</v>
      </c>
      <c r="G21" s="295">
        <f>Calculator!D23</f>
        <v>0</v>
      </c>
      <c r="J21" s="201" t="s">
        <v>39</v>
      </c>
      <c r="K21" s="211">
        <f ca="1">IF(K20&lt;K19,DATE(YEAR(K20)+1,3,31),DATE(YEAR(K20),3,31))</f>
        <v>43921</v>
      </c>
      <c r="L21" s="8"/>
      <c r="M21" s="230" t="str">
        <f ca="1">IF(S21&lt;&gt;"",YEAR(Codes!$K$17)+(N21-2)&amp;" / "&amp;YEAR(Codes!$K$17)+(N21-1),"")</f>
        <v/>
      </c>
      <c r="N21" s="207" t="str">
        <f t="shared" ca="1" si="2"/>
        <v/>
      </c>
      <c r="O21" s="207"/>
      <c r="P21" s="207" t="str">
        <f t="shared" ca="1" si="3"/>
        <v/>
      </c>
      <c r="Q21" s="207" t="str">
        <f t="shared" ca="1" si="4"/>
        <v/>
      </c>
      <c r="R21" s="207" t="str">
        <f t="shared" ca="1" si="0"/>
        <v/>
      </c>
      <c r="S21" s="231" t="str">
        <f t="shared" ca="1" si="5"/>
        <v/>
      </c>
      <c r="T21" s="231" t="str">
        <f t="shared" ca="1" si="6"/>
        <v/>
      </c>
      <c r="U21" s="207" t="str">
        <f t="shared" ca="1" si="7"/>
        <v/>
      </c>
      <c r="V21" s="207" t="str">
        <f t="shared" ca="1" si="8"/>
        <v/>
      </c>
      <c r="W21" s="207" t="str">
        <f ca="1">IF(V21="","",VLOOKUP(V21,Factors!$A$10:$B$51,2,FALSE))</f>
        <v/>
      </c>
      <c r="X21" s="232" t="str">
        <f t="shared" ca="1" si="9"/>
        <v/>
      </c>
      <c r="Y21" s="232" t="str">
        <f ca="1">IF(X21="","",VLOOKUP(X21,Factors!$F$10:$G$50,2,FALSE))</f>
        <v/>
      </c>
      <c r="Z21" s="206" t="str">
        <f ca="1">IF(M21="","",Calculator!$D$37*U21)</f>
        <v/>
      </c>
      <c r="AA21" s="233" t="str">
        <f t="shared" ca="1" si="1"/>
        <v/>
      </c>
      <c r="AB21" s="232" t="str">
        <f ca="1">IF(M21="","",Calculator!$D$42)</f>
        <v/>
      </c>
      <c r="AC21" s="234" t="str">
        <f t="shared" ca="1" si="10"/>
        <v/>
      </c>
    </row>
    <row r="22" spans="1:30" ht="15.6" x14ac:dyDescent="0.35">
      <c r="A22" s="301"/>
      <c r="F22" s="37" t="s">
        <v>11</v>
      </c>
      <c r="G22" s="228" t="e">
        <f ca="1">VLOOKUP(G16,Factors!A10:B51,2,FALSE)</f>
        <v>#N/A</v>
      </c>
      <c r="J22" s="198"/>
      <c r="K22" s="199"/>
      <c r="L22" s="8"/>
      <c r="M22" s="230" t="str">
        <f ca="1">IF(S22&lt;&gt;"",YEAR(Codes!$K$17)+(N22-2)&amp;" / "&amp;YEAR(Codes!$K$17)+(N22-1),"")</f>
        <v/>
      </c>
      <c r="N22" s="207" t="str">
        <f t="shared" ca="1" si="2"/>
        <v/>
      </c>
      <c r="O22" s="207"/>
      <c r="P22" s="207" t="str">
        <f t="shared" ca="1" si="3"/>
        <v/>
      </c>
      <c r="Q22" s="207" t="str">
        <f t="shared" ca="1" si="4"/>
        <v/>
      </c>
      <c r="R22" s="207" t="str">
        <f t="shared" ca="1" si="0"/>
        <v/>
      </c>
      <c r="S22" s="231" t="str">
        <f t="shared" ca="1" si="5"/>
        <v/>
      </c>
      <c r="T22" s="231" t="str">
        <f t="shared" ca="1" si="6"/>
        <v/>
      </c>
      <c r="U22" s="207" t="str">
        <f t="shared" ca="1" si="7"/>
        <v/>
      </c>
      <c r="V22" s="207" t="str">
        <f t="shared" ca="1" si="8"/>
        <v/>
      </c>
      <c r="W22" s="207" t="str">
        <f ca="1">IF(V22="","",VLOOKUP(V22,Factors!$A$10:$B$51,2,FALSE))</f>
        <v/>
      </c>
      <c r="X22" s="232" t="str">
        <f t="shared" ca="1" si="9"/>
        <v/>
      </c>
      <c r="Y22" s="232" t="str">
        <f ca="1">IF(X22="","",VLOOKUP(X22,Factors!$F$10:$G$50,2,FALSE))</f>
        <v/>
      </c>
      <c r="Z22" s="206" t="str">
        <f ca="1">IF(M22="","",Calculator!$D$37*U22)</f>
        <v/>
      </c>
      <c r="AA22" s="233" t="str">
        <f t="shared" ca="1" si="1"/>
        <v/>
      </c>
      <c r="AB22" s="232" t="str">
        <f ca="1">IF(M22="","",Calculator!$D$42)</f>
        <v/>
      </c>
      <c r="AC22" s="234" t="str">
        <f t="shared" ca="1" si="10"/>
        <v/>
      </c>
    </row>
    <row r="23" spans="1:30" ht="16.8" x14ac:dyDescent="0.35">
      <c r="A23" s="301" t="s">
        <v>166</v>
      </c>
      <c r="F23" s="37" t="s">
        <v>12</v>
      </c>
      <c r="G23" s="228" t="e">
        <f ca="1">VLOOKUP(G17,Factors!F10:G50,2,FALSE)</f>
        <v>#N/A</v>
      </c>
      <c r="J23" s="208" t="s">
        <v>203</v>
      </c>
      <c r="K23" s="305">
        <f ca="1">DATE(YEAR(K19),MONTH(K19),DAY(K15))</f>
        <v>43901</v>
      </c>
      <c r="L23" s="8"/>
      <c r="M23" s="230" t="str">
        <f ca="1">IF(S23&lt;&gt;"",YEAR(Codes!$K$17)+(N23-2)&amp;" / "&amp;YEAR(Codes!$K$17)+(N23-1),"")</f>
        <v/>
      </c>
      <c r="N23" s="207" t="str">
        <f t="shared" ca="1" si="2"/>
        <v/>
      </c>
      <c r="O23" s="207"/>
      <c r="P23" s="207" t="str">
        <f t="shared" ca="1" si="3"/>
        <v/>
      </c>
      <c r="Q23" s="207" t="str">
        <f t="shared" ca="1" si="4"/>
        <v/>
      </c>
      <c r="R23" s="207" t="str">
        <f t="shared" ca="1" si="0"/>
        <v/>
      </c>
      <c r="S23" s="231" t="str">
        <f t="shared" ca="1" si="5"/>
        <v/>
      </c>
      <c r="T23" s="231" t="str">
        <f t="shared" ca="1" si="6"/>
        <v/>
      </c>
      <c r="U23" s="207" t="str">
        <f t="shared" ca="1" si="7"/>
        <v/>
      </c>
      <c r="V23" s="207" t="str">
        <f t="shared" ca="1" si="8"/>
        <v/>
      </c>
      <c r="W23" s="207" t="str">
        <f ca="1">IF(V23="","",VLOOKUP(V23,Factors!$A$10:$B$51,2,FALSE))</f>
        <v/>
      </c>
      <c r="X23" s="232" t="str">
        <f t="shared" ca="1" si="9"/>
        <v/>
      </c>
      <c r="Y23" s="232" t="str">
        <f ca="1">IF(X23="","",VLOOKUP(X23,Factors!$F$10:$G$50,2,FALSE))</f>
        <v/>
      </c>
      <c r="Z23" s="206" t="str">
        <f ca="1">IF(M23="","",Calculator!$D$37*U23)</f>
        <v/>
      </c>
      <c r="AA23" s="233" t="str">
        <f t="shared" ca="1" si="1"/>
        <v/>
      </c>
      <c r="AB23" s="232" t="str">
        <f ca="1">IF(M23="","",Calculator!$D$42)</f>
        <v/>
      </c>
      <c r="AC23" s="234" t="str">
        <f t="shared" ca="1" si="10"/>
        <v/>
      </c>
    </row>
    <row r="24" spans="1:30" x14ac:dyDescent="0.25">
      <c r="A24" s="301" t="s">
        <v>167</v>
      </c>
      <c r="F24" s="42"/>
      <c r="G24" s="228"/>
      <c r="J24" s="37" t="s">
        <v>117</v>
      </c>
      <c r="K24" s="306">
        <f ca="1">IF(K23&gt;K19,MONTH(K23)-1,MONTH(K23))</f>
        <v>3</v>
      </c>
      <c r="L24" s="200"/>
      <c r="M24" s="230" t="str">
        <f ca="1">IF(S24&lt;&gt;"",YEAR(Codes!$K$17)+(N24-2)&amp;" / "&amp;YEAR(Codes!$K$17)+(N24-1),"")</f>
        <v/>
      </c>
      <c r="N24" s="207" t="str">
        <f t="shared" ca="1" si="2"/>
        <v/>
      </c>
      <c r="O24" s="207"/>
      <c r="P24" s="207" t="str">
        <f t="shared" ca="1" si="3"/>
        <v/>
      </c>
      <c r="Q24" s="207" t="str">
        <f t="shared" ca="1" si="4"/>
        <v/>
      </c>
      <c r="R24" s="207" t="str">
        <f t="shared" ca="1" si="0"/>
        <v/>
      </c>
      <c r="S24" s="231" t="str">
        <f t="shared" ca="1" si="5"/>
        <v/>
      </c>
      <c r="T24" s="231" t="str">
        <f t="shared" ca="1" si="6"/>
        <v/>
      </c>
      <c r="U24" s="207" t="str">
        <f t="shared" ca="1" si="7"/>
        <v/>
      </c>
      <c r="V24" s="207" t="str">
        <f t="shared" ca="1" si="8"/>
        <v/>
      </c>
      <c r="W24" s="207" t="str">
        <f ca="1">IF(V24="","",VLOOKUP(V24,Factors!$A$10:$B$51,2,FALSE))</f>
        <v/>
      </c>
      <c r="X24" s="232" t="str">
        <f t="shared" ca="1" si="9"/>
        <v/>
      </c>
      <c r="Y24" s="232" t="str">
        <f ca="1">IF(X24="","",VLOOKUP(X24,Factors!$F$10:$G$50,2,FALSE))</f>
        <v/>
      </c>
      <c r="Z24" s="206" t="str">
        <f ca="1">IF(M24="","",Calculator!$D$37*U24)</f>
        <v/>
      </c>
      <c r="AA24" s="233" t="str">
        <f t="shared" ca="1" si="1"/>
        <v/>
      </c>
      <c r="AB24" s="232" t="str">
        <f ca="1">IF(M24="","",Calculator!$D$42)</f>
        <v/>
      </c>
      <c r="AC24" s="234" t="str">
        <f t="shared" ca="1" si="10"/>
        <v/>
      </c>
    </row>
    <row r="25" spans="1:30" s="1" customFormat="1" ht="17.399999999999999" thickBot="1" x14ac:dyDescent="0.4">
      <c r="A25" s="301" t="s">
        <v>168</v>
      </c>
      <c r="B25" s="205"/>
      <c r="C25" s="205"/>
      <c r="D25" s="102"/>
      <c r="F25" s="37" t="s">
        <v>4</v>
      </c>
      <c r="G25" s="43" t="s">
        <v>201</v>
      </c>
      <c r="H25"/>
      <c r="I25" s="102"/>
      <c r="J25" s="201" t="s">
        <v>118</v>
      </c>
      <c r="K25" s="307">
        <f ca="1">IF(OR(K24=0,K24=1,K24=2,K24=3),K24+9,K24-3)</f>
        <v>12</v>
      </c>
      <c r="M25" s="230" t="str">
        <f ca="1">IF(S25&lt;&gt;"",YEAR(Codes!$K$17)+(N25-2)&amp;" / "&amp;YEAR(Codes!$K$17)+(N25-1),"")</f>
        <v/>
      </c>
      <c r="N25" s="207" t="str">
        <f t="shared" ca="1" si="2"/>
        <v/>
      </c>
      <c r="O25" s="207"/>
      <c r="P25" s="207" t="str">
        <f t="shared" ca="1" si="3"/>
        <v/>
      </c>
      <c r="Q25" s="207" t="str">
        <f t="shared" ca="1" si="4"/>
        <v/>
      </c>
      <c r="R25" s="207" t="str">
        <f t="shared" ca="1" si="0"/>
        <v/>
      </c>
      <c r="S25" s="231" t="str">
        <f t="shared" ca="1" si="5"/>
        <v/>
      </c>
      <c r="T25" s="231" t="str">
        <f t="shared" ca="1" si="6"/>
        <v/>
      </c>
      <c r="U25" s="207" t="str">
        <f t="shared" ca="1" si="7"/>
        <v/>
      </c>
      <c r="V25" s="207" t="str">
        <f t="shared" ca="1" si="8"/>
        <v/>
      </c>
      <c r="W25" s="207" t="str">
        <f ca="1">IF(V25="","",VLOOKUP(V25,Factors!$A$10:$B$51,2,FALSE))</f>
        <v/>
      </c>
      <c r="X25" s="232" t="str">
        <f t="shared" ca="1" si="9"/>
        <v/>
      </c>
      <c r="Y25" s="232" t="str">
        <f ca="1">IF(X25="","",VLOOKUP(X25,Factors!$F$10:$G$50,2,FALSE))</f>
        <v/>
      </c>
      <c r="Z25" s="206" t="str">
        <f ca="1">IF(M25="","",Calculator!$D$37*U25)</f>
        <v/>
      </c>
      <c r="AA25" s="233" t="str">
        <f t="shared" ca="1" si="1"/>
        <v/>
      </c>
      <c r="AB25" s="232" t="str">
        <f ca="1">IF(M25="","",Calculator!$D$42)</f>
        <v/>
      </c>
      <c r="AC25" s="234" t="str">
        <f t="shared" ca="1" si="10"/>
        <v/>
      </c>
    </row>
    <row r="26" spans="1:30" ht="16.2" thickBot="1" x14ac:dyDescent="0.35">
      <c r="A26" s="301" t="s">
        <v>169</v>
      </c>
      <c r="F26" s="37" t="s">
        <v>33</v>
      </c>
      <c r="G26" s="296" t="e">
        <f ca="1">G21/(G22*G23)</f>
        <v>#N/A</v>
      </c>
      <c r="H26" s="1"/>
      <c r="J26" s="205"/>
      <c r="K26" s="197"/>
      <c r="M26" s="230" t="str">
        <f ca="1">IF(S26&lt;&gt;"",YEAR(Codes!$K$17)+(N26-2)&amp;" / "&amp;YEAR(Codes!$K$17)+(N26-1),"")</f>
        <v/>
      </c>
      <c r="N26" s="207" t="str">
        <f t="shared" ca="1" si="2"/>
        <v/>
      </c>
      <c r="O26" s="207"/>
      <c r="P26" s="207" t="str">
        <f t="shared" ca="1" si="3"/>
        <v/>
      </c>
      <c r="Q26" s="207" t="str">
        <f t="shared" ca="1" si="4"/>
        <v/>
      </c>
      <c r="R26" s="207" t="str">
        <f t="shared" ca="1" si="0"/>
        <v/>
      </c>
      <c r="S26" s="231" t="str">
        <f t="shared" ca="1" si="5"/>
        <v/>
      </c>
      <c r="T26" s="231" t="str">
        <f t="shared" ca="1" si="6"/>
        <v/>
      </c>
      <c r="U26" s="207" t="str">
        <f t="shared" ca="1" si="7"/>
        <v/>
      </c>
      <c r="V26" s="207" t="str">
        <f t="shared" ca="1" si="8"/>
        <v/>
      </c>
      <c r="W26" s="207" t="str">
        <f ca="1">IF(V26="","",VLOOKUP(V26,Factors!$A$10:$B$51,2,FALSE))</f>
        <v/>
      </c>
      <c r="X26" s="232" t="str">
        <f t="shared" ca="1" si="9"/>
        <v/>
      </c>
      <c r="Y26" s="232" t="str">
        <f ca="1">IF(X26="","",VLOOKUP(X26,Factors!$F$10:$G$50,2,FALSE))</f>
        <v/>
      </c>
      <c r="Z26" s="206" t="str">
        <f ca="1">IF(M26="","",Calculator!$D$37*U26)</f>
        <v/>
      </c>
      <c r="AA26" s="233" t="str">
        <f t="shared" ca="1" si="1"/>
        <v/>
      </c>
      <c r="AB26" s="232" t="str">
        <f ca="1">IF(M26="","",Calculator!$D$42)</f>
        <v/>
      </c>
      <c r="AC26" s="234" t="str">
        <f t="shared" ca="1" si="10"/>
        <v/>
      </c>
    </row>
    <row r="27" spans="1:30" x14ac:dyDescent="0.25">
      <c r="A27" s="301" t="s">
        <v>170</v>
      </c>
      <c r="F27" s="44"/>
      <c r="G27" s="39"/>
      <c r="J27" s="212" t="s">
        <v>116</v>
      </c>
      <c r="K27" s="309">
        <f ca="1">DATEDIF(Calculator!$D$15,Codes!K17,"y")</f>
        <v>120</v>
      </c>
      <c r="L27"/>
      <c r="M27" s="230" t="str">
        <f ca="1">IF(S27&lt;&gt;"",YEAR(Codes!$K$17)+(N27-2)&amp;" / "&amp;YEAR(Codes!$K$17)+(N27-1),"")</f>
        <v/>
      </c>
      <c r="N27" s="207" t="str">
        <f t="shared" ca="1" si="2"/>
        <v/>
      </c>
      <c r="O27" s="207"/>
      <c r="P27" s="207" t="str">
        <f t="shared" ca="1" si="3"/>
        <v/>
      </c>
      <c r="Q27" s="207" t="str">
        <f t="shared" ca="1" si="4"/>
        <v/>
      </c>
      <c r="R27" s="207" t="str">
        <f t="shared" ca="1" si="0"/>
        <v/>
      </c>
      <c r="S27" s="231" t="str">
        <f t="shared" ca="1" si="5"/>
        <v/>
      </c>
      <c r="T27" s="231" t="str">
        <f t="shared" ca="1" si="6"/>
        <v/>
      </c>
      <c r="U27" s="207" t="str">
        <f t="shared" ca="1" si="7"/>
        <v/>
      </c>
      <c r="V27" s="207" t="str">
        <f t="shared" ca="1" si="8"/>
        <v/>
      </c>
      <c r="W27" s="207" t="str">
        <f ca="1">IF(V27="","",VLOOKUP(V27,Factors!$A$10:$B$51,2,FALSE))</f>
        <v/>
      </c>
      <c r="X27" s="232" t="str">
        <f t="shared" ca="1" si="9"/>
        <v/>
      </c>
      <c r="Y27" s="232" t="str">
        <f ca="1">IF(X27="","",VLOOKUP(X27,Factors!$F$10:$G$50,2,FALSE))</f>
        <v/>
      </c>
      <c r="Z27" s="206" t="str">
        <f ca="1">IF(M27="","",Calculator!$D$37*U27)</f>
        <v/>
      </c>
      <c r="AA27" s="233" t="str">
        <f t="shared" ca="1" si="1"/>
        <v/>
      </c>
      <c r="AB27" s="232" t="str">
        <f ca="1">IF(M27="","",Calculator!$D$42)</f>
        <v/>
      </c>
      <c r="AC27" s="234" t="str">
        <f t="shared" ca="1" si="10"/>
        <v/>
      </c>
    </row>
    <row r="28" spans="1:30" x14ac:dyDescent="0.25">
      <c r="A28" s="302" t="s">
        <v>171</v>
      </c>
      <c r="G28" s="1"/>
      <c r="J28" s="200"/>
      <c r="K28" s="32"/>
      <c r="L28"/>
      <c r="M28" s="230" t="str">
        <f ca="1">IF(S28&lt;&gt;"",YEAR(Codes!$K$17)+(N28-2)&amp;" / "&amp;YEAR(Codes!$K$17)+(N28-1),"")</f>
        <v/>
      </c>
      <c r="N28" s="207" t="str">
        <f t="shared" ca="1" si="2"/>
        <v/>
      </c>
      <c r="O28" s="207"/>
      <c r="P28" s="207" t="str">
        <f t="shared" ca="1" si="3"/>
        <v/>
      </c>
      <c r="Q28" s="207" t="str">
        <f t="shared" ca="1" si="4"/>
        <v/>
      </c>
      <c r="R28" s="207" t="str">
        <f t="shared" ca="1" si="0"/>
        <v/>
      </c>
      <c r="S28" s="231" t="str">
        <f t="shared" ca="1" si="5"/>
        <v/>
      </c>
      <c r="T28" s="231" t="str">
        <f t="shared" ca="1" si="6"/>
        <v/>
      </c>
      <c r="U28" s="207" t="str">
        <f t="shared" ca="1" si="7"/>
        <v/>
      </c>
      <c r="V28" s="207" t="str">
        <f t="shared" ca="1" si="8"/>
        <v/>
      </c>
      <c r="W28" s="207" t="str">
        <f ca="1">IF(V28="","",VLOOKUP(V28,Factors!$A$10:$B$51,2,FALSE))</f>
        <v/>
      </c>
      <c r="X28" s="232" t="str">
        <f t="shared" ca="1" si="9"/>
        <v/>
      </c>
      <c r="Y28" s="232" t="str">
        <f ca="1">IF(X28="","",VLOOKUP(X28,Factors!$F$10:$G$50,2,FALSE))</f>
        <v/>
      </c>
      <c r="Z28" s="206" t="str">
        <f ca="1">IF(M28="","",Calculator!$D$37*U28)</f>
        <v/>
      </c>
      <c r="AA28" s="233" t="str">
        <f t="shared" ca="1" si="1"/>
        <v/>
      </c>
      <c r="AB28" s="232" t="str">
        <f ca="1">IF(M28="","",Calculator!$D$42)</f>
        <v/>
      </c>
      <c r="AC28" s="234" t="str">
        <f t="shared" ca="1" si="10"/>
        <v/>
      </c>
    </row>
    <row r="29" spans="1:30" s="1" customFormat="1" x14ac:dyDescent="0.25">
      <c r="A29"/>
      <c r="B29" s="205"/>
      <c r="C29" s="205"/>
      <c r="D29" s="102"/>
      <c r="F29" s="40" t="s">
        <v>3</v>
      </c>
      <c r="G29" s="41"/>
      <c r="I29" s="102"/>
      <c r="L29"/>
      <c r="M29" s="230" t="str">
        <f ca="1">IF(S29&lt;&gt;"",YEAR(Codes!$K$17)+(N29-2)&amp;" / "&amp;YEAR(Codes!$K$17)+(N29-1),"")</f>
        <v/>
      </c>
      <c r="N29" s="207" t="str">
        <f t="shared" ca="1" si="2"/>
        <v/>
      </c>
      <c r="O29" s="207"/>
      <c r="P29" s="207" t="str">
        <f t="shared" ca="1" si="3"/>
        <v/>
      </c>
      <c r="Q29" s="207" t="str">
        <f t="shared" ca="1" si="4"/>
        <v/>
      </c>
      <c r="R29" s="207" t="str">
        <f t="shared" ca="1" si="0"/>
        <v/>
      </c>
      <c r="S29" s="231" t="str">
        <f t="shared" ca="1" si="5"/>
        <v/>
      </c>
      <c r="T29" s="231" t="str">
        <f t="shared" ca="1" si="6"/>
        <v/>
      </c>
      <c r="U29" s="207" t="str">
        <f t="shared" ca="1" si="7"/>
        <v/>
      </c>
      <c r="V29" s="207" t="str">
        <f t="shared" ca="1" si="8"/>
        <v/>
      </c>
      <c r="W29" s="207" t="str">
        <f ca="1">IF(V29="","",VLOOKUP(V29,Factors!$A$10:$B$51,2,FALSE))</f>
        <v/>
      </c>
      <c r="X29" s="232" t="str">
        <f t="shared" ca="1" si="9"/>
        <v/>
      </c>
      <c r="Y29" s="232" t="str">
        <f ca="1">IF(X29="","",VLOOKUP(X29,Factors!$F$10:$G$50,2,FALSE))</f>
        <v/>
      </c>
      <c r="Z29" s="206" t="str">
        <f ca="1">IF(M29="","",Calculator!$D$37*U29)</f>
        <v/>
      </c>
      <c r="AA29" s="233" t="str">
        <f t="shared" ca="1" si="1"/>
        <v/>
      </c>
      <c r="AB29" s="232" t="str">
        <f ca="1">IF(M29="","",Calculator!$D$42)</f>
        <v/>
      </c>
      <c r="AC29" s="234" t="str">
        <f t="shared" ca="1" si="10"/>
        <v/>
      </c>
    </row>
    <row r="30" spans="1:30" s="1" customFormat="1" x14ac:dyDescent="0.25">
      <c r="A30"/>
      <c r="B30" s="205"/>
      <c r="C30" s="205"/>
      <c r="D30" s="102"/>
      <c r="F30" s="42"/>
      <c r="G30" s="43"/>
      <c r="I30" s="102"/>
      <c r="L30"/>
      <c r="M30" s="230" t="str">
        <f ca="1">IF(S30&lt;&gt;"",YEAR(Codes!$K$17)+(N30-2)&amp;" / "&amp;YEAR(Codes!$K$17)+(N30-1),"")</f>
        <v/>
      </c>
      <c r="N30" s="207" t="str">
        <f t="shared" ca="1" si="2"/>
        <v/>
      </c>
      <c r="O30" s="207"/>
      <c r="P30" s="207" t="str">
        <f t="shared" ca="1" si="3"/>
        <v/>
      </c>
      <c r="Q30" s="207" t="str">
        <f t="shared" ca="1" si="4"/>
        <v/>
      </c>
      <c r="R30" s="207" t="str">
        <f t="shared" ca="1" si="0"/>
        <v/>
      </c>
      <c r="S30" s="231" t="str">
        <f t="shared" ca="1" si="5"/>
        <v/>
      </c>
      <c r="T30" s="231" t="str">
        <f t="shared" ca="1" si="6"/>
        <v/>
      </c>
      <c r="U30" s="207" t="str">
        <f t="shared" ca="1" si="7"/>
        <v/>
      </c>
      <c r="V30" s="207" t="str">
        <f t="shared" ca="1" si="8"/>
        <v/>
      </c>
      <c r="W30" s="207" t="str">
        <f ca="1">IF(V30="","",VLOOKUP(V30,Factors!$A$10:$B$51,2,FALSE))</f>
        <v/>
      </c>
      <c r="X30" s="232" t="str">
        <f t="shared" ca="1" si="9"/>
        <v/>
      </c>
      <c r="Y30" s="232" t="str">
        <f ca="1">IF(X30="","",VLOOKUP(X30,Factors!$F$10:$G$50,2,FALSE))</f>
        <v/>
      </c>
      <c r="Z30" s="206" t="str">
        <f ca="1">IF(M30="","",Calculator!$D$37*U30)</f>
        <v/>
      </c>
      <c r="AA30" s="233" t="str">
        <f t="shared" ca="1" si="1"/>
        <v/>
      </c>
      <c r="AB30" s="232" t="str">
        <f ca="1">IF(M30="","",Calculator!$D$42)</f>
        <v/>
      </c>
      <c r="AC30" s="234" t="str">
        <f t="shared" ca="1" si="10"/>
        <v/>
      </c>
    </row>
    <row r="31" spans="1:30" s="1" customFormat="1" x14ac:dyDescent="0.25">
      <c r="B31" s="205"/>
      <c r="C31" s="205"/>
      <c r="D31" s="102"/>
      <c r="F31" s="37" t="s">
        <v>15</v>
      </c>
      <c r="G31" s="295">
        <f>Calculator!D27</f>
        <v>0</v>
      </c>
      <c r="I31" s="102"/>
      <c r="J31" s="112" t="s">
        <v>92</v>
      </c>
      <c r="K31" s="113"/>
      <c r="L31"/>
      <c r="M31" s="230" t="str">
        <f ca="1">IF(S31&lt;&gt;"",YEAR(Codes!$K$17)+(N31-2)&amp;" / "&amp;YEAR(Codes!$K$17)+(N31-1),"")</f>
        <v/>
      </c>
      <c r="N31" s="207" t="str">
        <f t="shared" ca="1" si="2"/>
        <v/>
      </c>
      <c r="O31" s="207"/>
      <c r="P31" s="207" t="str">
        <f t="shared" ca="1" si="3"/>
        <v/>
      </c>
      <c r="Q31" s="207" t="str">
        <f t="shared" ca="1" si="4"/>
        <v/>
      </c>
      <c r="R31" s="207" t="str">
        <f t="shared" ca="1" si="0"/>
        <v/>
      </c>
      <c r="S31" s="231" t="str">
        <f t="shared" ca="1" si="5"/>
        <v/>
      </c>
      <c r="T31" s="231" t="str">
        <f t="shared" ca="1" si="6"/>
        <v/>
      </c>
      <c r="U31" s="207" t="str">
        <f t="shared" ca="1" si="7"/>
        <v/>
      </c>
      <c r="V31" s="207" t="str">
        <f t="shared" ca="1" si="8"/>
        <v/>
      </c>
      <c r="W31" s="207" t="str">
        <f ca="1">IF(V31="","",VLOOKUP(V31,Factors!$A$10:$B$51,2,FALSE))</f>
        <v/>
      </c>
      <c r="X31" s="232" t="str">
        <f t="shared" ca="1" si="9"/>
        <v/>
      </c>
      <c r="Y31" s="232" t="str">
        <f ca="1">IF(X31="","",VLOOKUP(X31,Factors!$F$10:$G$50,2,FALSE))</f>
        <v/>
      </c>
      <c r="Z31" s="206" t="str">
        <f ca="1">IF(M31="","",Calculator!$D$37*U31)</f>
        <v/>
      </c>
      <c r="AA31" s="233" t="str">
        <f t="shared" ca="1" si="1"/>
        <v/>
      </c>
      <c r="AB31" s="232" t="str">
        <f ca="1">IF(M31="","",Calculator!$D$42)</f>
        <v/>
      </c>
      <c r="AC31" s="234" t="str">
        <f t="shared" ca="1" si="10"/>
        <v/>
      </c>
    </row>
    <row r="32" spans="1:30" s="1" customFormat="1" ht="15.6" x14ac:dyDescent="0.35">
      <c r="A32"/>
      <c r="B32" s="205"/>
      <c r="C32" s="205"/>
      <c r="D32" s="102"/>
      <c r="F32" s="37" t="s">
        <v>11</v>
      </c>
      <c r="G32" s="228" t="e">
        <f ca="1">VLOOKUP(G16,Factors!A10:B51,2,FALSE)</f>
        <v>#N/A</v>
      </c>
      <c r="I32" s="102"/>
      <c r="J32" s="42"/>
      <c r="K32" s="43"/>
      <c r="L32"/>
      <c r="M32" s="230" t="str">
        <f ca="1">IF(S32&lt;&gt;"",YEAR(Codes!$K$17)+(N32-2)&amp;" / "&amp;YEAR(Codes!$K$17)+(N32-1),"")</f>
        <v/>
      </c>
      <c r="N32" s="207" t="str">
        <f t="shared" ca="1" si="2"/>
        <v/>
      </c>
      <c r="O32" s="207"/>
      <c r="P32" s="207" t="str">
        <f t="shared" ca="1" si="3"/>
        <v/>
      </c>
      <c r="Q32" s="207" t="str">
        <f t="shared" ca="1" si="4"/>
        <v/>
      </c>
      <c r="R32" s="207" t="str">
        <f t="shared" ca="1" si="0"/>
        <v/>
      </c>
      <c r="S32" s="231" t="str">
        <f t="shared" ca="1" si="5"/>
        <v/>
      </c>
      <c r="T32" s="231" t="str">
        <f t="shared" ca="1" si="6"/>
        <v/>
      </c>
      <c r="U32" s="207" t="str">
        <f t="shared" ca="1" si="7"/>
        <v/>
      </c>
      <c r="V32" s="207" t="str">
        <f t="shared" ca="1" si="8"/>
        <v/>
      </c>
      <c r="W32" s="207" t="str">
        <f ca="1">IF(V32="","",VLOOKUP(V32,Factors!$A$10:$B$51,2,FALSE))</f>
        <v/>
      </c>
      <c r="X32" s="232" t="str">
        <f t="shared" ca="1" si="9"/>
        <v/>
      </c>
      <c r="Y32" s="232" t="str">
        <f ca="1">IF(X32="","",VLOOKUP(X32,Factors!$F$10:$G$50,2,FALSE))</f>
        <v/>
      </c>
      <c r="Z32" s="206" t="str">
        <f ca="1">IF(M32="","",Calculator!$D$37*U32)</f>
        <v/>
      </c>
      <c r="AA32" s="233" t="str">
        <f t="shared" ca="1" si="1"/>
        <v/>
      </c>
      <c r="AB32" s="232" t="str">
        <f ca="1">IF(M32="","",Calculator!$D$42)</f>
        <v/>
      </c>
      <c r="AC32" s="234" t="str">
        <f t="shared" ca="1" si="10"/>
        <v/>
      </c>
    </row>
    <row r="33" spans="1:29" ht="16.8" x14ac:dyDescent="0.35">
      <c r="F33" s="37" t="s">
        <v>12</v>
      </c>
      <c r="G33" s="228" t="e">
        <f ca="1">VLOOKUP(G17,Factors!F10:G50,2,FALSE)</f>
        <v>#N/A</v>
      </c>
      <c r="H33" s="1"/>
      <c r="J33" s="37" t="s">
        <v>89</v>
      </c>
      <c r="K33" s="298">
        <f ca="1">IF((K15+1)&gt;=K37,K37,K15+1)</f>
        <v>21640</v>
      </c>
      <c r="L33" s="203"/>
      <c r="M33" s="230" t="str">
        <f ca="1">IF(S33&lt;&gt;"",YEAR(Codes!$K$17)+(N33-2)&amp;" / "&amp;YEAR(Codes!$K$17)+(N33-1),"")</f>
        <v/>
      </c>
      <c r="N33" s="207" t="str">
        <f t="shared" ca="1" si="2"/>
        <v/>
      </c>
      <c r="O33" s="207"/>
      <c r="P33" s="207" t="str">
        <f t="shared" ca="1" si="3"/>
        <v/>
      </c>
      <c r="Q33" s="207" t="str">
        <f t="shared" ca="1" si="4"/>
        <v/>
      </c>
      <c r="R33" s="207" t="str">
        <f t="shared" ca="1" si="0"/>
        <v/>
      </c>
      <c r="S33" s="231" t="str">
        <f t="shared" ca="1" si="5"/>
        <v/>
      </c>
      <c r="T33" s="231" t="str">
        <f t="shared" ca="1" si="6"/>
        <v/>
      </c>
      <c r="U33" s="207" t="str">
        <f t="shared" ca="1" si="7"/>
        <v/>
      </c>
      <c r="V33" s="207" t="str">
        <f t="shared" ca="1" si="8"/>
        <v/>
      </c>
      <c r="W33" s="207" t="str">
        <f ca="1">IF(V33="","",VLOOKUP(V33,Factors!$A$10:$B$51,2,FALSE))</f>
        <v/>
      </c>
      <c r="X33" s="232" t="str">
        <f t="shared" ca="1" si="9"/>
        <v/>
      </c>
      <c r="Y33" s="232" t="str">
        <f ca="1">IF(X33="","",VLOOKUP(X33,Factors!$F$10:$G$50,2,FALSE))</f>
        <v/>
      </c>
      <c r="Z33" s="206" t="str">
        <f ca="1">IF(M33="","",Calculator!$D$37*U33)</f>
        <v/>
      </c>
      <c r="AA33" s="233" t="str">
        <f t="shared" ca="1" si="1"/>
        <v/>
      </c>
      <c r="AB33" s="232" t="str">
        <f ca="1">IF(M33="","",Calculator!$D$42)</f>
        <v/>
      </c>
      <c r="AC33" s="234" t="str">
        <f t="shared" ca="1" si="10"/>
        <v/>
      </c>
    </row>
    <row r="34" spans="1:29" x14ac:dyDescent="0.25">
      <c r="F34" s="37"/>
      <c r="G34" s="43"/>
      <c r="J34" s="214" t="s">
        <v>67</v>
      </c>
      <c r="K34" s="210">
        <f>B5</f>
        <v>21640</v>
      </c>
      <c r="L34" s="203"/>
      <c r="M34" s="230" t="str">
        <f ca="1">IF(S34&lt;&gt;"",YEAR(Codes!$K$17)+(N34-2)&amp;" / "&amp;YEAR(Codes!$K$17)+(N34-1),"")</f>
        <v/>
      </c>
      <c r="N34" s="207" t="str">
        <f t="shared" ca="1" si="2"/>
        <v/>
      </c>
      <c r="O34" s="207"/>
      <c r="P34" s="207" t="str">
        <f t="shared" ca="1" si="3"/>
        <v/>
      </c>
      <c r="Q34" s="207" t="str">
        <f t="shared" ca="1" si="4"/>
        <v/>
      </c>
      <c r="R34" s="207" t="str">
        <f t="shared" ca="1" si="0"/>
        <v/>
      </c>
      <c r="S34" s="231" t="str">
        <f t="shared" ca="1" si="5"/>
        <v/>
      </c>
      <c r="T34" s="231" t="str">
        <f t="shared" ca="1" si="6"/>
        <v/>
      </c>
      <c r="U34" s="207" t="str">
        <f t="shared" ca="1" si="7"/>
        <v/>
      </c>
      <c r="V34" s="207" t="str">
        <f t="shared" ca="1" si="8"/>
        <v/>
      </c>
      <c r="W34" s="207" t="str">
        <f ca="1">IF(V34="","",VLOOKUP(V34,Factors!$A$10:$B$51,2,FALSE))</f>
        <v/>
      </c>
      <c r="X34" s="232" t="str">
        <f t="shared" ca="1" si="9"/>
        <v/>
      </c>
      <c r="Y34" s="232" t="str">
        <f ca="1">IF(X34="","",VLOOKUP(X34,Factors!$F$10:$G$50,2,FALSE))</f>
        <v/>
      </c>
      <c r="Z34" s="206" t="str">
        <f ca="1">IF(M34="","",Calculator!$D$37*U34)</f>
        <v/>
      </c>
      <c r="AA34" s="233" t="str">
        <f t="shared" ca="1" si="1"/>
        <v/>
      </c>
      <c r="AB34" s="232" t="str">
        <f ca="1">IF(M34="","",Calculator!$D$42)</f>
        <v/>
      </c>
      <c r="AC34" s="234" t="str">
        <f t="shared" ca="1" si="10"/>
        <v/>
      </c>
    </row>
    <row r="35" spans="1:29" ht="17.399999999999999" thickBot="1" x14ac:dyDescent="0.4">
      <c r="A35" s="1"/>
      <c r="F35" s="37" t="s">
        <v>34</v>
      </c>
      <c r="G35" s="43" t="s">
        <v>10</v>
      </c>
      <c r="J35" s="37"/>
      <c r="K35" s="210"/>
      <c r="L35" s="204"/>
      <c r="M35" s="230" t="str">
        <f ca="1">IF(S35&lt;&gt;"",YEAR(Codes!$K$17)+(N35-2)&amp;" / "&amp;YEAR(Codes!$K$17)+(N35-1),"")</f>
        <v/>
      </c>
      <c r="N35" s="207" t="str">
        <f t="shared" ca="1" si="2"/>
        <v/>
      </c>
      <c r="O35" s="207"/>
      <c r="P35" s="207" t="str">
        <f t="shared" ca="1" si="3"/>
        <v/>
      </c>
      <c r="Q35" s="207" t="str">
        <f t="shared" ca="1" si="4"/>
        <v/>
      </c>
      <c r="R35" s="207" t="str">
        <f t="shared" ca="1" si="0"/>
        <v/>
      </c>
      <c r="S35" s="231" t="str">
        <f t="shared" ca="1" si="5"/>
        <v/>
      </c>
      <c r="T35" s="231" t="str">
        <f t="shared" ca="1" si="6"/>
        <v/>
      </c>
      <c r="U35" s="207" t="str">
        <f t="shared" ca="1" si="7"/>
        <v/>
      </c>
      <c r="V35" s="207" t="str">
        <f t="shared" ca="1" si="8"/>
        <v/>
      </c>
      <c r="W35" s="207" t="str">
        <f ca="1">IF(V35="","",VLOOKUP(V35,Factors!$A$10:$B$51,2,FALSE))</f>
        <v/>
      </c>
      <c r="X35" s="232" t="str">
        <f t="shared" ca="1" si="9"/>
        <v/>
      </c>
      <c r="Y35" s="232" t="str">
        <f ca="1">IF(X35="","",VLOOKUP(X35,Factors!$F$10:$G$50,2,FALSE))</f>
        <v/>
      </c>
      <c r="Z35" s="206" t="str">
        <f ca="1">IF(M35="","",Calculator!$D$37*U35)</f>
        <v/>
      </c>
      <c r="AA35" s="233" t="str">
        <f t="shared" ca="1" si="1"/>
        <v/>
      </c>
      <c r="AB35" s="232" t="str">
        <f ca="1">IF(M35="","",Calculator!$D$42)</f>
        <v/>
      </c>
      <c r="AC35" s="234" t="str">
        <f t="shared" ca="1" si="10"/>
        <v/>
      </c>
    </row>
    <row r="36" spans="1:29" ht="16.2" thickBot="1" x14ac:dyDescent="0.35">
      <c r="A36" s="1"/>
      <c r="F36" s="37" t="s">
        <v>33</v>
      </c>
      <c r="G36" s="296" t="e">
        <f ca="1">G31*G32*G33</f>
        <v>#N/A</v>
      </c>
      <c r="J36" s="37" t="s">
        <v>90</v>
      </c>
      <c r="K36" s="298">
        <f>IF(K44&gt;K42,K44,K42)</f>
        <v>42095</v>
      </c>
      <c r="L36"/>
      <c r="M36" s="230" t="str">
        <f ca="1">IF(S36&lt;&gt;"",YEAR(Codes!$K$17)+(N36-2)&amp;" / "&amp;YEAR(Codes!$K$17)+(N36-1),"")</f>
        <v/>
      </c>
      <c r="N36" s="207" t="str">
        <f t="shared" ca="1" si="2"/>
        <v/>
      </c>
      <c r="O36" s="207"/>
      <c r="P36" s="207" t="str">
        <f t="shared" ca="1" si="3"/>
        <v/>
      </c>
      <c r="Q36" s="207" t="str">
        <f t="shared" ca="1" si="4"/>
        <v/>
      </c>
      <c r="R36" s="207" t="str">
        <f t="shared" ca="1" si="0"/>
        <v/>
      </c>
      <c r="S36" s="231" t="str">
        <f t="shared" ca="1" si="5"/>
        <v/>
      </c>
      <c r="T36" s="231" t="str">
        <f t="shared" ca="1" si="6"/>
        <v/>
      </c>
      <c r="U36" s="207" t="str">
        <f t="shared" ca="1" si="7"/>
        <v/>
      </c>
      <c r="V36" s="207" t="str">
        <f t="shared" ca="1" si="8"/>
        <v/>
      </c>
      <c r="W36" s="207" t="str">
        <f ca="1">IF(V36="","",VLOOKUP(V36,Factors!$A$10:$B$51,2,FALSE))</f>
        <v/>
      </c>
      <c r="X36" s="232" t="str">
        <f t="shared" ca="1" si="9"/>
        <v/>
      </c>
      <c r="Y36" s="232" t="str">
        <f ca="1">IF(X36="","",VLOOKUP(X36,Factors!$F$10:$G$50,2,FALSE))</f>
        <v/>
      </c>
      <c r="Z36" s="206" t="str">
        <f ca="1">IF(M36="","",Calculator!$D$37*U36)</f>
        <v/>
      </c>
      <c r="AA36" s="233" t="str">
        <f t="shared" ca="1" si="1"/>
        <v/>
      </c>
      <c r="AB36" s="232" t="str">
        <f ca="1">IF(M36="","",Calculator!$D$42)</f>
        <v/>
      </c>
      <c r="AC36" s="234" t="str">
        <f t="shared" ca="1" si="10"/>
        <v/>
      </c>
    </row>
    <row r="37" spans="1:29" x14ac:dyDescent="0.25">
      <c r="A37" s="1"/>
      <c r="F37" s="44"/>
      <c r="G37" s="39"/>
      <c r="J37" s="37" t="s">
        <v>91</v>
      </c>
      <c r="K37" s="298">
        <f>IF(MONTH(K43)&gt;3,DATE(YEAR(Calculator!D15)+59,3,DAY(31)),DATE(YEAR(Calculator!D15)+58,3,DAY(31)))</f>
        <v>21640</v>
      </c>
      <c r="L37"/>
      <c r="M37" s="230" t="str">
        <f ca="1">IF(S37&lt;&gt;"",YEAR(Codes!$K$17)+(N37-2)&amp;" / "&amp;YEAR(Codes!$K$17)+(N37-1),"")</f>
        <v/>
      </c>
      <c r="N37" s="207" t="str">
        <f t="shared" ca="1" si="2"/>
        <v/>
      </c>
      <c r="O37" s="207"/>
      <c r="P37" s="207" t="str">
        <f t="shared" ca="1" si="3"/>
        <v/>
      </c>
      <c r="Q37" s="207" t="str">
        <f t="shared" ca="1" si="4"/>
        <v/>
      </c>
      <c r="R37" s="207" t="str">
        <f t="shared" ca="1" si="0"/>
        <v/>
      </c>
      <c r="S37" s="231" t="str">
        <f t="shared" ca="1" si="5"/>
        <v/>
      </c>
      <c r="T37" s="231" t="str">
        <f t="shared" ca="1" si="6"/>
        <v/>
      </c>
      <c r="U37" s="207" t="str">
        <f t="shared" ca="1" si="7"/>
        <v/>
      </c>
      <c r="V37" s="207" t="str">
        <f t="shared" ca="1" si="8"/>
        <v/>
      </c>
      <c r="W37" s="207" t="str">
        <f ca="1">IF(V37="","",VLOOKUP(V37,Factors!$A$10:$B$51,2,FALSE))</f>
        <v/>
      </c>
      <c r="X37" s="232" t="str">
        <f t="shared" ca="1" si="9"/>
        <v/>
      </c>
      <c r="Y37" s="232" t="str">
        <f ca="1">IF(X37="","",VLOOKUP(X37,Factors!$F$10:$G$50,2,FALSE))</f>
        <v/>
      </c>
      <c r="Z37" s="206" t="str">
        <f ca="1">IF(M37="","",Calculator!$D$37*U37)</f>
        <v/>
      </c>
      <c r="AA37" s="233" t="str">
        <f t="shared" ca="1" si="1"/>
        <v/>
      </c>
      <c r="AB37" s="232" t="str">
        <f ca="1">IF(M37="","",Calculator!$D$42)</f>
        <v/>
      </c>
      <c r="AC37" s="234" t="str">
        <f t="shared" ca="1" si="10"/>
        <v/>
      </c>
    </row>
    <row r="38" spans="1:29" x14ac:dyDescent="0.25">
      <c r="A38" s="1"/>
      <c r="H38" s="1"/>
      <c r="J38" s="213"/>
      <c r="K38" s="228"/>
      <c r="L38"/>
      <c r="M38" s="230" t="str">
        <f ca="1">IF(S38&lt;&gt;"",YEAR(Codes!$K$17)+(N38-2)&amp;" / "&amp;YEAR(Codes!$K$17)+(N38-1),"")</f>
        <v/>
      </c>
      <c r="N38" s="207" t="str">
        <f t="shared" ca="1" si="2"/>
        <v/>
      </c>
      <c r="O38" s="207"/>
      <c r="P38" s="207" t="str">
        <f t="shared" ca="1" si="3"/>
        <v/>
      </c>
      <c r="Q38" s="207" t="str">
        <f t="shared" ca="1" si="4"/>
        <v/>
      </c>
      <c r="R38" s="207" t="str">
        <f t="shared" ca="1" si="0"/>
        <v/>
      </c>
      <c r="S38" s="231" t="str">
        <f t="shared" ca="1" si="5"/>
        <v/>
      </c>
      <c r="T38" s="231" t="str">
        <f t="shared" ca="1" si="6"/>
        <v/>
      </c>
      <c r="U38" s="207" t="str">
        <f t="shared" ca="1" si="7"/>
        <v/>
      </c>
      <c r="V38" s="207" t="str">
        <f t="shared" ca="1" si="8"/>
        <v/>
      </c>
      <c r="W38" s="207" t="str">
        <f ca="1">IF(V38="","",VLOOKUP(V38,Factors!$A$10:$B$51,2,FALSE))</f>
        <v/>
      </c>
      <c r="X38" s="232" t="str">
        <f t="shared" ca="1" si="9"/>
        <v/>
      </c>
      <c r="Y38" s="232" t="str">
        <f ca="1">IF(X38="","",VLOOKUP(X38,Factors!$F$10:$G$50,2,FALSE))</f>
        <v/>
      </c>
      <c r="Z38" s="206" t="str">
        <f ca="1">IF(M38="","",Calculator!$D$37*U38)</f>
        <v/>
      </c>
      <c r="AA38" s="233" t="str">
        <f t="shared" ca="1" si="1"/>
        <v/>
      </c>
      <c r="AB38" s="232" t="str">
        <f ca="1">IF(M38="","",Calculator!$D$42)</f>
        <v/>
      </c>
      <c r="AC38" s="234" t="str">
        <f t="shared" ca="1" si="10"/>
        <v/>
      </c>
    </row>
    <row r="39" spans="1:29" x14ac:dyDescent="0.25">
      <c r="F39" s="303" t="s">
        <v>81</v>
      </c>
      <c r="G39" s="304"/>
      <c r="H39" s="1"/>
      <c r="J39" s="42"/>
      <c r="K39" s="228"/>
      <c r="L39"/>
      <c r="M39" s="230" t="str">
        <f ca="1">IF(S39&lt;&gt;"",YEAR(Codes!$K$17)+(N39-2)&amp;" / "&amp;YEAR(Codes!$K$17)+(N39-1),"")</f>
        <v/>
      </c>
      <c r="N39" s="207" t="str">
        <f t="shared" ca="1" si="2"/>
        <v/>
      </c>
      <c r="O39" s="207"/>
      <c r="P39" s="207" t="str">
        <f t="shared" ca="1" si="3"/>
        <v/>
      </c>
      <c r="Q39" s="207" t="str">
        <f t="shared" ca="1" si="4"/>
        <v/>
      </c>
      <c r="R39" s="207" t="str">
        <f t="shared" ca="1" si="0"/>
        <v/>
      </c>
      <c r="S39" s="231" t="str">
        <f t="shared" ca="1" si="5"/>
        <v/>
      </c>
      <c r="T39" s="231" t="str">
        <f t="shared" ca="1" si="6"/>
        <v/>
      </c>
      <c r="U39" s="207" t="str">
        <f t="shared" ca="1" si="7"/>
        <v/>
      </c>
      <c r="V39" s="207" t="str">
        <f t="shared" ca="1" si="8"/>
        <v/>
      </c>
      <c r="W39" s="207" t="str">
        <f ca="1">IF(V39="","",VLOOKUP(V39,Factors!$A$10:$B$51,2,FALSE))</f>
        <v/>
      </c>
      <c r="X39" s="232" t="str">
        <f t="shared" ca="1" si="9"/>
        <v/>
      </c>
      <c r="Y39" s="232" t="str">
        <f ca="1">IF(X39="","",VLOOKUP(X39,Factors!$F$10:$G$50,2,FALSE))</f>
        <v/>
      </c>
      <c r="Z39" s="206" t="str">
        <f ca="1">IF(M39="","",Calculator!$D$37*U39)</f>
        <v/>
      </c>
      <c r="AA39" s="233" t="str">
        <f t="shared" ca="1" si="1"/>
        <v/>
      </c>
      <c r="AB39" s="232" t="str">
        <f ca="1">IF(M39="","",Calculator!$D$42)</f>
        <v/>
      </c>
      <c r="AC39" s="234" t="str">
        <f t="shared" ca="1" si="10"/>
        <v/>
      </c>
    </row>
    <row r="40" spans="1:29" x14ac:dyDescent="0.25">
      <c r="F40" s="37" t="s">
        <v>79</v>
      </c>
      <c r="G40" s="114">
        <f>IF(B11&gt;B7,B11,B7)</f>
        <v>42095</v>
      </c>
      <c r="H40" s="1"/>
      <c r="J40" s="37" t="s">
        <v>82</v>
      </c>
      <c r="K40" s="298">
        <f ca="1">TODAY()</f>
        <v>43810</v>
      </c>
      <c r="L40"/>
      <c r="M40" s="230" t="str">
        <f ca="1">IF(S40&lt;&gt;"",YEAR(Codes!$K$17)+(N40-2)&amp;" / "&amp;YEAR(Codes!$K$17)+(I51-1),"")</f>
        <v/>
      </c>
      <c r="N40" s="207" t="str">
        <f ca="1">IF(S40="","",N39+1)</f>
        <v/>
      </c>
      <c r="O40" s="207"/>
      <c r="P40" s="207" t="str">
        <f t="shared" ca="1" si="3"/>
        <v/>
      </c>
      <c r="Q40" s="207" t="str">
        <f t="shared" ca="1" si="4"/>
        <v/>
      </c>
      <c r="R40" s="207" t="str">
        <f t="shared" ca="1" si="0"/>
        <v/>
      </c>
      <c r="S40" s="231" t="str">
        <f t="shared" ca="1" si="5"/>
        <v/>
      </c>
      <c r="T40" s="231" t="str">
        <f t="shared" ca="1" si="6"/>
        <v/>
      </c>
      <c r="U40" s="207" t="str">
        <f t="shared" ca="1" si="7"/>
        <v/>
      </c>
      <c r="V40" s="207" t="str">
        <f ca="1">IF(M40="","",V39+1)</f>
        <v/>
      </c>
      <c r="W40" s="207" t="str">
        <f ca="1">IF(V40="","",VLOOKUP(V40,Factors!$A$10:$B$51,2,FALSE))</f>
        <v/>
      </c>
      <c r="X40" s="232" t="str">
        <f ca="1">IF(M40="","",X39-1)</f>
        <v/>
      </c>
      <c r="Y40" s="232" t="str">
        <f ca="1">IF(X40="","",VLOOKUP(X40,Factors!$F$10:$G$50,2,FALSE))</f>
        <v/>
      </c>
      <c r="Z40" s="206" t="str">
        <f ca="1">IF(M40="","",Calculator!$D$37*U40)</f>
        <v/>
      </c>
      <c r="AA40" s="233" t="str">
        <f t="shared" ca="1" si="1"/>
        <v/>
      </c>
      <c r="AB40" s="232" t="str">
        <f ca="1">IF(M40="","",Calculator!$D$42)</f>
        <v/>
      </c>
      <c r="AC40" s="234" t="str">
        <f t="shared" ca="1" si="10"/>
        <v/>
      </c>
    </row>
    <row r="41" spans="1:29" x14ac:dyDescent="0.25">
      <c r="F41" s="37" t="s">
        <v>80</v>
      </c>
      <c r="G41" s="114">
        <f>DATE(YEAR(Calculator!D15)+60,MONTH(Calculator!D15),DAY(Calculator!D15)-1)</f>
        <v>21914</v>
      </c>
      <c r="J41" s="37" t="s">
        <v>86</v>
      </c>
      <c r="K41" s="298">
        <f ca="1">DATE(YEAR(K40)+10,MONTH(K40),DAY(K40))</f>
        <v>47463</v>
      </c>
      <c r="M41" s="230" t="str">
        <f ca="1">IF(S41&lt;&gt;"",YEAR(Codes!$K$17)+(N41-2)&amp;" / "&amp;YEAR(Codes!$K$17)+(I52-1),"")</f>
        <v/>
      </c>
      <c r="N41" s="207" t="str">
        <f t="shared" ca="1" si="2"/>
        <v/>
      </c>
      <c r="O41" s="207"/>
      <c r="P41" s="207" t="str">
        <f t="shared" ca="1" si="3"/>
        <v/>
      </c>
      <c r="Q41" s="207" t="str">
        <f t="shared" ca="1" si="4"/>
        <v/>
      </c>
      <c r="R41" s="207" t="str">
        <f t="shared" ca="1" si="0"/>
        <v/>
      </c>
      <c r="S41" s="231" t="str">
        <f t="shared" ca="1" si="5"/>
        <v/>
      </c>
      <c r="T41" s="231" t="str">
        <f t="shared" ca="1" si="6"/>
        <v/>
      </c>
      <c r="U41" s="207" t="str">
        <f t="shared" ca="1" si="7"/>
        <v/>
      </c>
      <c r="V41" s="207" t="str">
        <f t="shared" ca="1" si="8"/>
        <v/>
      </c>
      <c r="W41" s="207" t="str">
        <f ca="1">IF(V41="","",VLOOKUP(V41,Factors!$A$10:$B$51,2,FALSE))</f>
        <v/>
      </c>
      <c r="X41" s="232" t="str">
        <f t="shared" ca="1" si="9"/>
        <v/>
      </c>
      <c r="Y41" s="232" t="str">
        <f ca="1">IF(X41="","",VLOOKUP(X41,Factors!$F$10:$G$50,2,FALSE))</f>
        <v/>
      </c>
      <c r="Z41" s="206" t="str">
        <f ca="1">IF(M41="","",Calculator!$D$37*U41)</f>
        <v/>
      </c>
      <c r="AA41" s="233" t="str">
        <f t="shared" ca="1" si="1"/>
        <v/>
      </c>
      <c r="AB41" s="232" t="str">
        <f ca="1">IF(M41="","",Calculator!$D$42)</f>
        <v/>
      </c>
      <c r="AC41" s="234" t="str">
        <f t="shared" ca="1" si="10"/>
        <v/>
      </c>
    </row>
    <row r="42" spans="1:29" x14ac:dyDescent="0.25">
      <c r="F42" s="201" t="s">
        <v>190</v>
      </c>
      <c r="G42" s="39" t="str">
        <f ca="1">IF(OR(ISERROR(G22),ISERROR(G23)),"",6500*G22*G23)</f>
        <v/>
      </c>
      <c r="J42" s="37" t="s">
        <v>83</v>
      </c>
      <c r="K42" s="298">
        <f>DATE(YEAR(Calculator!D15)+18,MONTH(Calculator!D15),DAY(Calculator!D15))</f>
        <v>6575</v>
      </c>
      <c r="M42" s="230" t="str">
        <f ca="1">IF(S42&lt;&gt;"",YEAR(Codes!$K$17)+(N42-2)&amp;" / "&amp;YEAR(Codes!$K$17)+(I53-1),"")</f>
        <v/>
      </c>
      <c r="N42" s="207" t="str">
        <f t="shared" ca="1" si="2"/>
        <v/>
      </c>
      <c r="O42" s="207"/>
      <c r="P42" s="207" t="str">
        <f t="shared" ca="1" si="3"/>
        <v/>
      </c>
      <c r="Q42" s="207" t="str">
        <f t="shared" ca="1" si="4"/>
        <v/>
      </c>
      <c r="R42" s="207" t="str">
        <f t="shared" ca="1" si="0"/>
        <v/>
      </c>
      <c r="S42" s="231" t="str">
        <f t="shared" ca="1" si="5"/>
        <v/>
      </c>
      <c r="T42" s="231" t="str">
        <f t="shared" ca="1" si="6"/>
        <v/>
      </c>
      <c r="U42" s="207" t="str">
        <f t="shared" ca="1" si="7"/>
        <v/>
      </c>
      <c r="V42" s="207" t="str">
        <f t="shared" ca="1" si="8"/>
        <v/>
      </c>
      <c r="W42" s="207" t="str">
        <f ca="1">IF(V42="","",VLOOKUP(V42,Factors!$A$10:$B$51,2,FALSE))</f>
        <v/>
      </c>
      <c r="X42" s="232" t="str">
        <f t="shared" ca="1" si="9"/>
        <v/>
      </c>
      <c r="Y42" s="232" t="str">
        <f ca="1">IF(X42="","",VLOOKUP(X42,Factors!$F$10:$G$50,2,FALSE))</f>
        <v/>
      </c>
      <c r="Z42" s="206" t="str">
        <f ca="1">IF(M42="","",Calculator!$D$37*U42)</f>
        <v/>
      </c>
      <c r="AA42" s="233" t="str">
        <f t="shared" ca="1" si="1"/>
        <v/>
      </c>
      <c r="AB42" s="232" t="str">
        <f ca="1">IF(M42="","",Calculator!$D$42)</f>
        <v/>
      </c>
      <c r="AC42" s="234" t="str">
        <f t="shared" ca="1" si="10"/>
        <v/>
      </c>
    </row>
    <row r="43" spans="1:29" x14ac:dyDescent="0.25">
      <c r="F43" s="289"/>
      <c r="G43" s="289"/>
      <c r="J43" s="37" t="s">
        <v>88</v>
      </c>
      <c r="K43" s="298">
        <f>DATE(YEAR(Calculator!D15)+60,MONTH(Calculator!D15),DAY(Calculator!D15)-1)</f>
        <v>21914</v>
      </c>
      <c r="M43" s="230" t="str">
        <f ca="1">IF(S43&lt;&gt;"",YEAR(Codes!$K$17)+(N43-2)&amp;" / "&amp;YEAR(Codes!$K$17)+(I54-1),"")</f>
        <v/>
      </c>
      <c r="N43" s="207" t="str">
        <f t="shared" ca="1" si="2"/>
        <v/>
      </c>
      <c r="O43" s="207"/>
      <c r="P43" s="207" t="str">
        <f t="shared" ca="1" si="3"/>
        <v/>
      </c>
      <c r="Q43" s="207" t="str">
        <f t="shared" ca="1" si="4"/>
        <v/>
      </c>
      <c r="R43" s="207" t="str">
        <f t="shared" ca="1" si="0"/>
        <v/>
      </c>
      <c r="S43" s="231" t="str">
        <f t="shared" ca="1" si="5"/>
        <v/>
      </c>
      <c r="T43" s="231" t="str">
        <f t="shared" ca="1" si="6"/>
        <v/>
      </c>
      <c r="U43" s="207" t="str">
        <f t="shared" ca="1" si="7"/>
        <v/>
      </c>
      <c r="V43" s="207" t="str">
        <f t="shared" ca="1" si="8"/>
        <v/>
      </c>
      <c r="W43" s="207" t="str">
        <f ca="1">IF(V43="","",VLOOKUP(V43,Factors!$A$10:$B$51,2,FALSE))</f>
        <v/>
      </c>
      <c r="X43" s="232" t="str">
        <f t="shared" ca="1" si="9"/>
        <v/>
      </c>
      <c r="Y43" s="232" t="str">
        <f ca="1">IF(X43="","",VLOOKUP(X43,Factors!$F$10:$G$50,2,FALSE))</f>
        <v/>
      </c>
      <c r="Z43" s="206" t="str">
        <f ca="1">IF(M43="","",Calculator!$D$37*U43)</f>
        <v/>
      </c>
      <c r="AA43" s="233" t="str">
        <f t="shared" ca="1" si="1"/>
        <v/>
      </c>
      <c r="AB43" s="232" t="str">
        <f ca="1">IF(M43="","",Calculator!$D$42)</f>
        <v/>
      </c>
      <c r="AC43" s="234" t="str">
        <f t="shared" ca="1" si="10"/>
        <v/>
      </c>
    </row>
    <row r="44" spans="1:29" x14ac:dyDescent="0.25">
      <c r="F44" s="38"/>
      <c r="G44" s="45"/>
      <c r="J44" s="201" t="s">
        <v>84</v>
      </c>
      <c r="K44" s="308">
        <v>42095</v>
      </c>
      <c r="M44" s="230" t="str">
        <f ca="1">IF(S44&lt;&gt;"",YEAR(Codes!$K$17)+(N44-2)&amp;" / "&amp;YEAR(Codes!$K$17)+(I55-1),"")</f>
        <v/>
      </c>
      <c r="N44" s="207" t="str">
        <f t="shared" ca="1" si="2"/>
        <v/>
      </c>
      <c r="O44" s="207"/>
      <c r="P44" s="207" t="str">
        <f t="shared" ca="1" si="3"/>
        <v/>
      </c>
      <c r="Q44" s="207" t="str">
        <f t="shared" ca="1" si="4"/>
        <v/>
      </c>
      <c r="R44" s="207" t="str">
        <f t="shared" ca="1" si="0"/>
        <v/>
      </c>
      <c r="S44" s="231" t="str">
        <f t="shared" ca="1" si="5"/>
        <v/>
      </c>
      <c r="T44" s="231" t="str">
        <f t="shared" ca="1" si="6"/>
        <v/>
      </c>
      <c r="U44" s="207" t="str">
        <f t="shared" ca="1" si="7"/>
        <v/>
      </c>
      <c r="V44" s="207" t="str">
        <f t="shared" ca="1" si="8"/>
        <v/>
      </c>
      <c r="W44" s="207" t="str">
        <f ca="1">IF(V44="","",VLOOKUP(V44,Factors!$A$10:$B$51,2,FALSE))</f>
        <v/>
      </c>
      <c r="X44" s="232" t="str">
        <f t="shared" ca="1" si="9"/>
        <v/>
      </c>
      <c r="Y44" s="232" t="str">
        <f ca="1">IF(X44="","",VLOOKUP(X44,Factors!$F$10:$G$50,2,FALSE))</f>
        <v/>
      </c>
      <c r="Z44" s="206" t="str">
        <f ca="1">IF(M44="","",Calculator!$D$37*U44)</f>
        <v/>
      </c>
      <c r="AA44" s="233" t="str">
        <f t="shared" ca="1" si="1"/>
        <v/>
      </c>
      <c r="AB44" s="232" t="str">
        <f ca="1">IF(M44="","",Calculator!$D$42)</f>
        <v/>
      </c>
      <c r="AC44" s="234" t="str">
        <f t="shared" ca="1" si="10"/>
        <v/>
      </c>
    </row>
    <row r="45" spans="1:29" x14ac:dyDescent="0.25">
      <c r="F45" s="38"/>
      <c r="G45" s="215"/>
      <c r="J45"/>
      <c r="M45" s="230" t="str">
        <f ca="1">IF(S45&lt;&gt;"",YEAR(Codes!$K$17)+(N45-2)&amp;" / "&amp;YEAR(Codes!$K$17)+(I56-1),"")</f>
        <v/>
      </c>
      <c r="N45" s="207" t="str">
        <f t="shared" ca="1" si="2"/>
        <v/>
      </c>
      <c r="O45" s="207"/>
      <c r="P45" s="207" t="str">
        <f t="shared" ca="1" si="3"/>
        <v/>
      </c>
      <c r="Q45" s="207" t="str">
        <f t="shared" ca="1" si="4"/>
        <v/>
      </c>
      <c r="R45" s="207" t="str">
        <f t="shared" ca="1" si="0"/>
        <v/>
      </c>
      <c r="S45" s="231" t="str">
        <f t="shared" ca="1" si="5"/>
        <v/>
      </c>
      <c r="T45" s="231" t="str">
        <f t="shared" ca="1" si="6"/>
        <v/>
      </c>
      <c r="U45" s="207" t="str">
        <f t="shared" ca="1" si="7"/>
        <v/>
      </c>
      <c r="V45" s="207" t="str">
        <f t="shared" ca="1" si="8"/>
        <v/>
      </c>
      <c r="W45" s="207" t="str">
        <f ca="1">IF(V45="","",VLOOKUP(V45,Factors!$A$10:$B$51,2,FALSE))</f>
        <v/>
      </c>
      <c r="X45" s="232" t="str">
        <f t="shared" ca="1" si="9"/>
        <v/>
      </c>
      <c r="Y45" s="232" t="str">
        <f ca="1">IF(X45="","",VLOOKUP(X45,Factors!$F$10:$G$50,2,FALSE))</f>
        <v/>
      </c>
      <c r="Z45" s="206" t="str">
        <f ca="1">IF(M45="","",Calculator!$D$37*U45)</f>
        <v/>
      </c>
      <c r="AA45" s="233" t="str">
        <f t="shared" ca="1" si="1"/>
        <v/>
      </c>
      <c r="AB45" s="232" t="str">
        <f ca="1">IF(M45="","",Calculator!$D$42)</f>
        <v/>
      </c>
      <c r="AC45" s="234" t="str">
        <f t="shared" ca="1" si="10"/>
        <v/>
      </c>
    </row>
    <row r="46" spans="1:29" x14ac:dyDescent="0.25">
      <c r="F46" s="38"/>
      <c r="G46" s="38"/>
      <c r="J46" s="285"/>
      <c r="M46" s="230" t="str">
        <f ca="1">IF(S46&lt;&gt;"",YEAR(Codes!$K$17)+(N46-2)&amp;" / "&amp;YEAR(Codes!$K$17)+(I57-1),"")</f>
        <v/>
      </c>
      <c r="N46" s="207" t="str">
        <f ca="1">IF(S46="","",N45+1)</f>
        <v/>
      </c>
      <c r="O46" s="207"/>
      <c r="P46" s="207" t="str">
        <f t="shared" ca="1" si="3"/>
        <v/>
      </c>
      <c r="Q46" s="207" t="str">
        <f t="shared" ca="1" si="4"/>
        <v/>
      </c>
      <c r="R46" s="207" t="str">
        <f t="shared" ca="1" si="0"/>
        <v/>
      </c>
      <c r="S46" s="231" t="str">
        <f t="shared" ca="1" si="5"/>
        <v/>
      </c>
      <c r="T46" s="231" t="str">
        <f t="shared" ca="1" si="6"/>
        <v/>
      </c>
      <c r="U46" s="207" t="str">
        <f t="shared" ca="1" si="7"/>
        <v/>
      </c>
      <c r="V46" s="207" t="str">
        <f ca="1">IF(M46="","",V45+1)</f>
        <v/>
      </c>
      <c r="W46" s="207" t="str">
        <f ca="1">IF(V46="","",VLOOKUP(V46,Factors!$A$10:$B$51,2,FALSE))</f>
        <v/>
      </c>
      <c r="X46" s="232" t="str">
        <f ca="1">IF(M46="","",X45-1)</f>
        <v/>
      </c>
      <c r="Y46" s="232" t="str">
        <f ca="1">IF(X46="","",VLOOKUP(X46,Factors!$F$10:$G$50,2,FALSE))</f>
        <v/>
      </c>
      <c r="Z46" s="206" t="str">
        <f ca="1">IF(M46="","",Calculator!$D$37*U46)</f>
        <v/>
      </c>
      <c r="AA46" s="233" t="str">
        <f t="shared" ca="1" si="1"/>
        <v/>
      </c>
      <c r="AB46" s="232" t="str">
        <f ca="1">IF(M46="","",Calculator!$D$42)</f>
        <v/>
      </c>
      <c r="AC46" s="234" t="str">
        <f t="shared" ca="1" si="10"/>
        <v/>
      </c>
    </row>
    <row r="47" spans="1:29" x14ac:dyDescent="0.25">
      <c r="F47" s="38"/>
      <c r="G47" s="38"/>
      <c r="J47" s="285"/>
      <c r="M47" s="230" t="str">
        <f ca="1">IF(S47&lt;&gt;"",YEAR(Codes!$K$17)+(N47-2)&amp;" / "&amp;YEAR(Codes!$K$17)+(I58-1),"")</f>
        <v/>
      </c>
      <c r="N47" s="207" t="str">
        <f t="shared" ca="1" si="2"/>
        <v/>
      </c>
      <c r="O47" s="207"/>
      <c r="P47" s="207" t="str">
        <f t="shared" ca="1" si="3"/>
        <v/>
      </c>
      <c r="Q47" s="207" t="str">
        <f t="shared" ca="1" si="4"/>
        <v/>
      </c>
      <c r="R47" s="207" t="str">
        <f t="shared" ca="1" si="0"/>
        <v/>
      </c>
      <c r="S47" s="231" t="str">
        <f t="shared" ca="1" si="5"/>
        <v/>
      </c>
      <c r="T47" s="231" t="str">
        <f t="shared" ca="1" si="6"/>
        <v/>
      </c>
      <c r="U47" s="207" t="str">
        <f t="shared" ca="1" si="7"/>
        <v/>
      </c>
      <c r="V47" s="207" t="str">
        <f t="shared" ca="1" si="8"/>
        <v/>
      </c>
      <c r="W47" s="207" t="str">
        <f ca="1">IF(V47="","",VLOOKUP(V47,Factors!$A$10:$B$51,2,FALSE))</f>
        <v/>
      </c>
      <c r="X47" s="232" t="str">
        <f t="shared" ca="1" si="9"/>
        <v/>
      </c>
      <c r="Y47" s="232" t="str">
        <f ca="1">IF(X47="","",VLOOKUP(X47,Factors!$F$10:$G$50,2,FALSE))</f>
        <v/>
      </c>
      <c r="Z47" s="206" t="str">
        <f ca="1">IF(M47="","",Calculator!$D$37*U47)</f>
        <v/>
      </c>
      <c r="AA47" s="233" t="str">
        <f t="shared" ca="1" si="1"/>
        <v/>
      </c>
      <c r="AB47" s="232" t="str">
        <f ca="1">IF(M47="","",Calculator!$D$42)</f>
        <v/>
      </c>
      <c r="AC47" s="234" t="str">
        <f t="shared" ca="1" si="10"/>
        <v/>
      </c>
    </row>
    <row r="48" spans="1:29" x14ac:dyDescent="0.25">
      <c r="F48" s="38"/>
      <c r="G48" s="45"/>
      <c r="J48"/>
      <c r="M48" s="230" t="str">
        <f ca="1">IF(S48&lt;&gt;"",YEAR(Codes!$K$17)+(N48-2)&amp;" / "&amp;YEAR(Codes!$K$17)+(I59-1),"")</f>
        <v/>
      </c>
      <c r="N48" s="207" t="str">
        <f t="shared" ca="1" si="2"/>
        <v/>
      </c>
      <c r="O48" s="207"/>
      <c r="P48" s="207" t="str">
        <f t="shared" ca="1" si="3"/>
        <v/>
      </c>
      <c r="Q48" s="207" t="str">
        <f t="shared" ca="1" si="4"/>
        <v/>
      </c>
      <c r="R48" s="207" t="str">
        <f t="shared" ca="1" si="0"/>
        <v/>
      </c>
      <c r="S48" s="231" t="str">
        <f t="shared" ca="1" si="5"/>
        <v/>
      </c>
      <c r="T48" s="231" t="str">
        <f t="shared" ca="1" si="6"/>
        <v/>
      </c>
      <c r="U48" s="207" t="str">
        <f t="shared" ca="1" si="7"/>
        <v/>
      </c>
      <c r="V48" s="207" t="str">
        <f t="shared" ca="1" si="8"/>
        <v/>
      </c>
      <c r="W48" s="207" t="str">
        <f ca="1">IF(V48="","",VLOOKUP(V48,Factors!$A$10:$B$51,2,FALSE))</f>
        <v/>
      </c>
      <c r="X48" s="232" t="str">
        <f t="shared" ca="1" si="9"/>
        <v/>
      </c>
      <c r="Y48" s="232" t="str">
        <f ca="1">IF(X48="","",VLOOKUP(X48,Factors!$F$10:$G$50,2,FALSE))</f>
        <v/>
      </c>
      <c r="Z48" s="206" t="str">
        <f ca="1">IF(M48="","",Calculator!$D$37*U48)</f>
        <v/>
      </c>
      <c r="AA48" s="233" t="str">
        <f t="shared" ca="1" si="1"/>
        <v/>
      </c>
      <c r="AB48" s="232" t="str">
        <f ca="1">IF(M48="","",Calculator!$D$42)</f>
        <v/>
      </c>
      <c r="AC48" s="234" t="str">
        <f t="shared" ca="1" si="10"/>
        <v/>
      </c>
    </row>
    <row r="49" spans="6:29" x14ac:dyDescent="0.25">
      <c r="F49" s="38"/>
      <c r="G49" s="45"/>
      <c r="J49"/>
      <c r="M49" s="230" t="str">
        <f ca="1">IF(S49&lt;&gt;"",YEAR(Codes!$K$17)+(N49-2)&amp;" / "&amp;YEAR(Codes!$K$17)+(I60-1),"")</f>
        <v/>
      </c>
      <c r="N49" s="207" t="str">
        <f t="shared" ca="1" si="2"/>
        <v/>
      </c>
      <c r="O49" s="207"/>
      <c r="P49" s="207" t="str">
        <f t="shared" ca="1" si="3"/>
        <v/>
      </c>
      <c r="Q49" s="207" t="str">
        <f t="shared" ca="1" si="4"/>
        <v/>
      </c>
      <c r="R49" s="207" t="str">
        <f t="shared" ca="1" si="0"/>
        <v/>
      </c>
      <c r="S49" s="231" t="str">
        <f t="shared" ca="1" si="5"/>
        <v/>
      </c>
      <c r="T49" s="231" t="str">
        <f t="shared" ca="1" si="6"/>
        <v/>
      </c>
      <c r="U49" s="207" t="str">
        <f t="shared" ca="1" si="7"/>
        <v/>
      </c>
      <c r="V49" s="207" t="str">
        <f t="shared" ca="1" si="8"/>
        <v/>
      </c>
      <c r="W49" s="207" t="str">
        <f ca="1">IF(V49="","",VLOOKUP(V49,Factors!$A$10:$B$51,2,FALSE))</f>
        <v/>
      </c>
      <c r="X49" s="232" t="str">
        <f t="shared" ca="1" si="9"/>
        <v/>
      </c>
      <c r="Y49" s="232" t="str">
        <f ca="1">IF(X49="","",VLOOKUP(X49,Factors!$F$10:$G$50,2,FALSE))</f>
        <v/>
      </c>
      <c r="Z49" s="206" t="str">
        <f ca="1">IF(M49="","",Calculator!$D$37*U49)</f>
        <v/>
      </c>
      <c r="AA49" s="233" t="str">
        <f t="shared" ca="1" si="1"/>
        <v/>
      </c>
      <c r="AB49" s="232" t="str">
        <f ca="1">IF(M49="","",Calculator!$D$42)</f>
        <v/>
      </c>
      <c r="AC49" s="234" t="str">
        <f t="shared" ca="1" si="10"/>
        <v/>
      </c>
    </row>
    <row r="50" spans="6:29" x14ac:dyDescent="0.25">
      <c r="F50" s="38"/>
      <c r="G50" s="45"/>
      <c r="J50"/>
      <c r="M50" s="230" t="str">
        <f ca="1">IF(S50&lt;&gt;"",YEAR(Codes!$K$17)+(N50-2)&amp;" / "&amp;YEAR(Codes!$K$17)+(I61-1),"")</f>
        <v/>
      </c>
      <c r="N50" s="207" t="str">
        <f t="shared" ca="1" si="2"/>
        <v/>
      </c>
      <c r="O50" s="207"/>
      <c r="P50" s="207" t="str">
        <f t="shared" ca="1" si="3"/>
        <v/>
      </c>
      <c r="Q50" s="207" t="str">
        <f t="shared" ca="1" si="4"/>
        <v/>
      </c>
      <c r="R50" s="207" t="str">
        <f t="shared" ca="1" si="0"/>
        <v/>
      </c>
      <c r="S50" s="231" t="str">
        <f t="shared" ca="1" si="5"/>
        <v/>
      </c>
      <c r="T50" s="231" t="str">
        <f t="shared" ca="1" si="6"/>
        <v/>
      </c>
      <c r="U50" s="207" t="str">
        <f t="shared" ca="1" si="7"/>
        <v/>
      </c>
      <c r="V50" s="207" t="str">
        <f t="shared" ca="1" si="8"/>
        <v/>
      </c>
      <c r="W50" s="207" t="str">
        <f ca="1">IF(V50="","",VLOOKUP(V50,Factors!$A$10:$B$51,2,FALSE))</f>
        <v/>
      </c>
      <c r="X50" s="232" t="str">
        <f t="shared" ca="1" si="9"/>
        <v/>
      </c>
      <c r="Y50" s="232" t="str">
        <f ca="1">IF(X50="","",VLOOKUP(X50,Factors!$F$10:$G$50,2,FALSE))</f>
        <v/>
      </c>
      <c r="Z50" s="206" t="str">
        <f ca="1">IF(M50="","",Calculator!$D$37*U50)</f>
        <v/>
      </c>
      <c r="AA50" s="233" t="str">
        <f t="shared" ca="1" si="1"/>
        <v/>
      </c>
      <c r="AB50" s="232" t="str">
        <f ca="1">IF(M50="","",Calculator!$D$42)</f>
        <v/>
      </c>
      <c r="AC50" s="234" t="str">
        <f t="shared" ca="1" si="10"/>
        <v/>
      </c>
    </row>
    <row r="51" spans="6:29" x14ac:dyDescent="0.25">
      <c r="F51" s="38"/>
      <c r="G51" s="45"/>
      <c r="J51"/>
      <c r="M51" s="230" t="str">
        <f ca="1">IF(S51&lt;&gt;"",YEAR(Codes!$K$17)+(N51-2)&amp;" / "&amp;YEAR(Codes!$K$17)+(I62-1),"")</f>
        <v/>
      </c>
      <c r="N51" s="207" t="str">
        <f t="shared" ca="1" si="2"/>
        <v/>
      </c>
      <c r="O51" s="207"/>
      <c r="P51" s="207" t="str">
        <f t="shared" ca="1" si="3"/>
        <v/>
      </c>
      <c r="Q51" s="207" t="str">
        <f t="shared" ca="1" si="4"/>
        <v/>
      </c>
      <c r="R51" s="207" t="str">
        <f t="shared" ca="1" si="0"/>
        <v/>
      </c>
      <c r="S51" s="231" t="str">
        <f t="shared" ca="1" si="5"/>
        <v/>
      </c>
      <c r="T51" s="231" t="str">
        <f t="shared" ca="1" si="6"/>
        <v/>
      </c>
      <c r="U51" s="207" t="str">
        <f t="shared" ca="1" si="7"/>
        <v/>
      </c>
      <c r="V51" s="207" t="str">
        <f t="shared" ca="1" si="8"/>
        <v/>
      </c>
      <c r="W51" s="207" t="str">
        <f ca="1">IF(V51="","",VLOOKUP(V51,Factors!$A$10:$B$51,2,FALSE))</f>
        <v/>
      </c>
      <c r="X51" s="232" t="str">
        <f t="shared" ca="1" si="9"/>
        <v/>
      </c>
      <c r="Y51" s="232" t="str">
        <f ca="1">IF(X51="","",VLOOKUP(X51,Factors!$F$10:$G$50,2,FALSE))</f>
        <v/>
      </c>
      <c r="Z51" s="206" t="str">
        <f ca="1">IF(M51="","",Calculator!$D$37*U51)</f>
        <v/>
      </c>
      <c r="AA51" s="233" t="str">
        <f t="shared" ca="1" si="1"/>
        <v/>
      </c>
      <c r="AB51" s="232" t="str">
        <f ca="1">IF(M51="","",Calculator!$D$42)</f>
        <v/>
      </c>
      <c r="AC51" s="234" t="str">
        <f t="shared" ca="1" si="10"/>
        <v/>
      </c>
    </row>
    <row r="52" spans="6:29" x14ac:dyDescent="0.25">
      <c r="J52"/>
      <c r="M52" s="230" t="str">
        <f ca="1">IF(S52&lt;&gt;"",YEAR(Codes!$K$17)+(N52-2)&amp;" / "&amp;YEAR(Codes!$K$17)+(I63-1),"")</f>
        <v/>
      </c>
      <c r="N52" s="207" t="str">
        <f t="shared" ca="1" si="2"/>
        <v/>
      </c>
      <c r="O52" s="207"/>
      <c r="P52" s="207" t="str">
        <f t="shared" ca="1" si="3"/>
        <v/>
      </c>
      <c r="Q52" s="207" t="str">
        <f t="shared" ca="1" si="4"/>
        <v/>
      </c>
      <c r="R52" s="207" t="str">
        <f t="shared" ca="1" si="0"/>
        <v/>
      </c>
      <c r="S52" s="231" t="str">
        <f t="shared" ca="1" si="5"/>
        <v/>
      </c>
      <c r="T52" s="231" t="str">
        <f t="shared" ca="1" si="6"/>
        <v/>
      </c>
      <c r="U52" s="207" t="str">
        <f t="shared" ca="1" si="7"/>
        <v/>
      </c>
      <c r="V52" s="207" t="str">
        <f t="shared" ca="1" si="8"/>
        <v/>
      </c>
      <c r="W52" s="207" t="str">
        <f ca="1">IF(V52="","",VLOOKUP(V52,Factors!$A$10:$B$51,2,FALSE))</f>
        <v/>
      </c>
      <c r="X52" s="232" t="str">
        <f t="shared" ca="1" si="9"/>
        <v/>
      </c>
      <c r="Y52" s="232" t="str">
        <f ca="1">IF(X52="","",VLOOKUP(X52,Factors!$F$10:$G$50,2,FALSE))</f>
        <v/>
      </c>
      <c r="Z52" s="206" t="str">
        <f ca="1">IF(M52="","",Calculator!$D$37*U52)</f>
        <v/>
      </c>
      <c r="AA52" s="233" t="str">
        <f t="shared" ca="1" si="1"/>
        <v/>
      </c>
      <c r="AB52" s="232" t="str">
        <f ca="1">IF(M52="","",Calculator!$D$42)</f>
        <v/>
      </c>
      <c r="AC52" s="234" t="str">
        <f t="shared" ca="1" si="10"/>
        <v/>
      </c>
    </row>
    <row r="53" spans="6:29" x14ac:dyDescent="0.25">
      <c r="J53"/>
      <c r="M53" s="235" t="str">
        <f ca="1">IF(S53&lt;&gt;"",YEAR(Codes!$K$17)+(N53-2)&amp;" / "&amp;YEAR(Codes!$K$17)+(I64-1),"")</f>
        <v/>
      </c>
      <c r="N53" s="236" t="str">
        <f t="shared" ca="1" si="2"/>
        <v/>
      </c>
      <c r="O53" s="236"/>
      <c r="P53" s="236" t="str">
        <f t="shared" ca="1" si="3"/>
        <v/>
      </c>
      <c r="Q53" s="236" t="str">
        <f t="shared" ca="1" si="4"/>
        <v/>
      </c>
      <c r="R53" s="236" t="str">
        <f t="shared" ca="1" si="0"/>
        <v/>
      </c>
      <c r="S53" s="237" t="str">
        <f t="shared" ca="1" si="5"/>
        <v/>
      </c>
      <c r="T53" s="237" t="str">
        <f t="shared" ca="1" si="6"/>
        <v/>
      </c>
      <c r="U53" s="236" t="str">
        <f t="shared" ca="1" si="7"/>
        <v/>
      </c>
      <c r="V53" s="236" t="str">
        <f t="shared" ca="1" si="8"/>
        <v/>
      </c>
      <c r="W53" s="236" t="str">
        <f ca="1">IF(V53="","",VLOOKUP(V53,Factors!$A$10:$B$51,2,FALSE))</f>
        <v/>
      </c>
      <c r="X53" s="238" t="str">
        <f t="shared" ca="1" si="9"/>
        <v/>
      </c>
      <c r="Y53" s="238" t="str">
        <f ca="1">IF(X53="","",VLOOKUP(X53,Factors!$F$10:$G$50,2,FALSE))</f>
        <v/>
      </c>
      <c r="Z53" s="239" t="str">
        <f ca="1">IF(M53="","",Calculator!$D$37*U53)</f>
        <v/>
      </c>
      <c r="AA53" s="240" t="str">
        <f t="shared" ca="1" si="1"/>
        <v/>
      </c>
      <c r="AB53" s="238" t="str">
        <f ca="1">IF(M53="","",Calculator!$D$42)</f>
        <v/>
      </c>
      <c r="AC53" s="241" t="str">
        <f t="shared" ca="1" si="10"/>
        <v/>
      </c>
    </row>
    <row r="54" spans="6:29" x14ac:dyDescent="0.25">
      <c r="J54"/>
      <c r="M54" s="100"/>
      <c r="N54" s="203"/>
      <c r="O54" s="203"/>
      <c r="P54" s="203"/>
      <c r="Q54" s="203"/>
      <c r="R54" s="203"/>
      <c r="S54" s="203"/>
      <c r="T54" s="199"/>
      <c r="U54" s="199"/>
      <c r="V54" s="199"/>
      <c r="W54" s="199"/>
      <c r="X54" s="107"/>
    </row>
    <row r="55" spans="6:29" x14ac:dyDescent="0.25">
      <c r="J55"/>
      <c r="M55" s="100"/>
      <c r="N55" s="203"/>
      <c r="O55" s="203"/>
      <c r="P55" s="203"/>
      <c r="Q55" s="203"/>
      <c r="R55" s="203"/>
      <c r="S55" s="203"/>
      <c r="T55" s="199"/>
      <c r="U55" s="199"/>
      <c r="X55" s="107"/>
      <c r="AA55" s="242">
        <f ca="1">SUM(AA8:AA53)</f>
        <v>0</v>
      </c>
      <c r="AB55" s="243">
        <f ca="1">SUM(AB8:AB53)</f>
        <v>0</v>
      </c>
      <c r="AC55" s="244"/>
    </row>
    <row r="56" spans="6:29" x14ac:dyDescent="0.25">
      <c r="J56"/>
      <c r="M56" s="100"/>
      <c r="N56" s="203"/>
      <c r="O56" s="203"/>
      <c r="P56" s="203"/>
      <c r="Q56" s="203"/>
      <c r="R56" s="203"/>
      <c r="S56" s="203"/>
      <c r="T56" s="199"/>
      <c r="U56" s="199"/>
      <c r="W56" s="203"/>
      <c r="X56" s="107"/>
    </row>
    <row r="57" spans="6:29" x14ac:dyDescent="0.25">
      <c r="J57"/>
      <c r="M57" s="100"/>
      <c r="N57" s="203"/>
      <c r="O57" s="203"/>
      <c r="P57" s="203"/>
      <c r="Q57" s="203"/>
      <c r="R57" s="203"/>
      <c r="S57" s="203"/>
      <c r="T57" s="199"/>
      <c r="U57" s="199"/>
      <c r="W57" s="203"/>
      <c r="X57" s="107"/>
    </row>
    <row r="58" spans="6:29" x14ac:dyDescent="0.25">
      <c r="J58"/>
      <c r="M58" s="100"/>
      <c r="N58" s="203"/>
      <c r="O58" s="203"/>
      <c r="P58" s="203"/>
      <c r="Q58" s="203"/>
      <c r="R58" s="203"/>
      <c r="S58" s="203"/>
      <c r="T58" s="199"/>
      <c r="U58" s="199"/>
      <c r="W58" s="203"/>
      <c r="X58" s="107"/>
    </row>
    <row r="59" spans="6:29" x14ac:dyDescent="0.25">
      <c r="J59"/>
      <c r="M59" s="100"/>
      <c r="N59" s="203"/>
      <c r="O59" s="203"/>
      <c r="P59" s="203"/>
      <c r="Q59" s="203"/>
      <c r="R59" s="203"/>
      <c r="S59" s="203"/>
      <c r="T59" s="199"/>
      <c r="U59" s="199"/>
      <c r="W59" s="203"/>
      <c r="X59" s="107"/>
    </row>
    <row r="60" spans="6:29" x14ac:dyDescent="0.25">
      <c r="J60"/>
      <c r="M60" s="100"/>
      <c r="N60" s="203"/>
      <c r="O60" s="203"/>
      <c r="P60" s="203"/>
      <c r="Q60" s="203"/>
      <c r="R60" s="203"/>
      <c r="S60" s="203"/>
      <c r="T60" s="199"/>
      <c r="U60" s="199"/>
      <c r="W60" s="203"/>
      <c r="X60" s="107"/>
    </row>
    <row r="61" spans="6:29" x14ac:dyDescent="0.25">
      <c r="J61"/>
      <c r="M61" s="100"/>
      <c r="N61" s="203"/>
      <c r="O61" s="203"/>
      <c r="P61" s="203"/>
      <c r="Q61" s="203"/>
      <c r="R61" s="203"/>
      <c r="S61" s="203"/>
      <c r="T61" s="199"/>
      <c r="U61" s="199"/>
      <c r="W61" s="203"/>
      <c r="X61" s="107"/>
    </row>
    <row r="62" spans="6:29" x14ac:dyDescent="0.25">
      <c r="J62"/>
      <c r="M62" s="100"/>
      <c r="N62" s="203"/>
      <c r="O62" s="203"/>
      <c r="P62" s="203"/>
      <c r="Q62" s="203"/>
      <c r="R62" s="203"/>
      <c r="S62" s="203"/>
      <c r="T62" s="199"/>
      <c r="U62" s="199"/>
      <c r="W62" s="203"/>
      <c r="X62" s="107"/>
    </row>
    <row r="63" spans="6:29" x14ac:dyDescent="0.25">
      <c r="J63"/>
      <c r="M63" s="100"/>
      <c r="N63" s="203"/>
      <c r="O63" s="203"/>
      <c r="P63" s="203"/>
      <c r="Q63" s="203"/>
      <c r="R63" s="203"/>
      <c r="S63" s="203"/>
      <c r="T63" s="199"/>
      <c r="U63" s="199"/>
      <c r="W63" s="203"/>
      <c r="X63" s="107"/>
    </row>
    <row r="64" spans="6:29" x14ac:dyDescent="0.25">
      <c r="J64"/>
      <c r="M64" s="100"/>
      <c r="N64" s="203"/>
      <c r="O64" s="203"/>
      <c r="P64" s="203"/>
      <c r="Q64" s="203"/>
      <c r="R64" s="203"/>
      <c r="S64" s="203"/>
      <c r="T64" s="199"/>
      <c r="U64" s="199"/>
      <c r="W64" s="203"/>
      <c r="X64" s="107"/>
    </row>
    <row r="65" spans="10:26" x14ac:dyDescent="0.25">
      <c r="J65"/>
      <c r="M65" s="100"/>
      <c r="N65" s="203"/>
      <c r="O65" s="203"/>
      <c r="P65" s="203"/>
      <c r="Q65" s="203"/>
      <c r="R65" s="203"/>
      <c r="S65" s="203"/>
      <c r="T65" s="199"/>
      <c r="U65" s="199"/>
      <c r="W65" s="203"/>
      <c r="X65" s="107"/>
    </row>
    <row r="66" spans="10:26" x14ac:dyDescent="0.25">
      <c r="J66"/>
      <c r="M66" s="100"/>
      <c r="N66" s="203"/>
      <c r="O66" s="203"/>
      <c r="P66" s="203"/>
      <c r="Q66" s="203"/>
      <c r="R66" s="203"/>
      <c r="S66" s="203"/>
      <c r="T66" s="199"/>
      <c r="U66" s="199"/>
      <c r="W66" s="203"/>
      <c r="X66" s="107"/>
    </row>
    <row r="67" spans="10:26" x14ac:dyDescent="0.25">
      <c r="J67"/>
      <c r="M67" s="100"/>
      <c r="N67" s="203"/>
      <c r="O67" s="203"/>
      <c r="P67" s="203"/>
      <c r="Q67" s="203"/>
      <c r="R67" s="203"/>
      <c r="S67" s="203"/>
      <c r="T67" s="199"/>
      <c r="U67" s="199"/>
      <c r="W67" s="203"/>
      <c r="X67" s="107"/>
    </row>
    <row r="68" spans="10:26" x14ac:dyDescent="0.25">
      <c r="J68"/>
      <c r="M68" s="1"/>
      <c r="O68" s="8"/>
      <c r="P68" s="8"/>
      <c r="Q68" s="8"/>
      <c r="S68" s="3"/>
      <c r="T68" s="8"/>
      <c r="U68" s="3"/>
      <c r="W68" s="203"/>
      <c r="X68" s="199"/>
      <c r="Z68" s="203"/>
    </row>
    <row r="69" spans="10:26" x14ac:dyDescent="0.25">
      <c r="J69"/>
      <c r="W69" s="203"/>
      <c r="Z69" s="203"/>
    </row>
    <row r="70" spans="10:26" x14ac:dyDescent="0.25">
      <c r="J70"/>
      <c r="Z70" s="203"/>
    </row>
    <row r="71" spans="10:26" x14ac:dyDescent="0.25">
      <c r="J71"/>
      <c r="Z71" s="203"/>
    </row>
    <row r="72" spans="10:26" x14ac:dyDescent="0.25">
      <c r="J72"/>
      <c r="Z72" s="203"/>
    </row>
    <row r="73" spans="10:26" x14ac:dyDescent="0.25">
      <c r="J73"/>
      <c r="Z73" s="203"/>
    </row>
    <row r="74" spans="10:26" x14ac:dyDescent="0.25">
      <c r="J74"/>
      <c r="Z74" s="203"/>
    </row>
    <row r="75" spans="10:26" x14ac:dyDescent="0.25">
      <c r="J75"/>
      <c r="Z75" s="203"/>
    </row>
    <row r="76" spans="10:26" x14ac:dyDescent="0.25">
      <c r="J76"/>
      <c r="Z76" s="203"/>
    </row>
    <row r="77" spans="10:26" x14ac:dyDescent="0.25">
      <c r="J77"/>
      <c r="Z77" s="203"/>
    </row>
    <row r="78" spans="10:26" x14ac:dyDescent="0.25">
      <c r="J78"/>
      <c r="Z78" s="203"/>
    </row>
    <row r="79" spans="10:26" x14ac:dyDescent="0.25">
      <c r="J79"/>
      <c r="Z79" s="203"/>
    </row>
    <row r="80" spans="10:26" x14ac:dyDescent="0.25">
      <c r="J80"/>
      <c r="Z80" s="203"/>
    </row>
    <row r="81" spans="10:26" x14ac:dyDescent="0.25">
      <c r="J81"/>
      <c r="Z81" s="203"/>
    </row>
    <row r="82" spans="10:26" x14ac:dyDescent="0.25">
      <c r="J82"/>
      <c r="Z82" s="203"/>
    </row>
    <row r="117" spans="13:20" x14ac:dyDescent="0.25">
      <c r="M117" s="8"/>
      <c r="N117"/>
      <c r="O117" s="106"/>
      <c r="Q117"/>
      <c r="R117"/>
      <c r="T117"/>
    </row>
    <row r="118" spans="13:20" x14ac:dyDescent="0.25">
      <c r="M118" s="8"/>
      <c r="N118"/>
      <c r="O118" s="106"/>
      <c r="Q118"/>
      <c r="R118"/>
      <c r="T118"/>
    </row>
    <row r="119" spans="13:20" x14ac:dyDescent="0.25">
      <c r="M119" s="8"/>
      <c r="N119"/>
      <c r="O119" s="106"/>
      <c r="Q119"/>
      <c r="R119"/>
      <c r="T119"/>
    </row>
    <row r="120" spans="13:20" x14ac:dyDescent="0.25">
      <c r="M120" s="8"/>
      <c r="N120"/>
      <c r="O120" s="106"/>
      <c r="Q120"/>
      <c r="R120"/>
      <c r="T120"/>
    </row>
    <row r="121" spans="13:20" x14ac:dyDescent="0.25">
      <c r="M121" s="8"/>
      <c r="N121"/>
      <c r="O121" s="106"/>
      <c r="Q121"/>
      <c r="R121"/>
      <c r="T121"/>
    </row>
    <row r="122" spans="13:20" x14ac:dyDescent="0.25">
      <c r="M122" s="8"/>
      <c r="N122"/>
      <c r="O122" s="106"/>
      <c r="Q122"/>
      <c r="R122"/>
      <c r="T122"/>
    </row>
    <row r="123" spans="13:20" x14ac:dyDescent="0.25">
      <c r="M123" s="8"/>
      <c r="N123"/>
      <c r="O123" s="106"/>
      <c r="Q123"/>
      <c r="R123"/>
      <c r="T123"/>
    </row>
    <row r="124" spans="13:20" x14ac:dyDescent="0.25">
      <c r="M124" s="8"/>
      <c r="N124"/>
      <c r="O124" s="106"/>
      <c r="Q124"/>
      <c r="R124"/>
      <c r="T124"/>
    </row>
    <row r="125" spans="13:20" x14ac:dyDescent="0.25">
      <c r="M125" s="8"/>
      <c r="N125"/>
      <c r="O125" s="106"/>
      <c r="Q125"/>
      <c r="R125"/>
      <c r="T125"/>
    </row>
    <row r="126" spans="13:20" x14ac:dyDescent="0.25">
      <c r="M126" s="8"/>
      <c r="N126"/>
      <c r="O126" s="106"/>
      <c r="Q126"/>
      <c r="R126"/>
      <c r="T126"/>
    </row>
    <row r="127" spans="13:20" x14ac:dyDescent="0.25">
      <c r="M127" s="8"/>
      <c r="N127"/>
      <c r="O127" s="106"/>
      <c r="Q127"/>
      <c r="R127"/>
      <c r="T127"/>
    </row>
    <row r="128" spans="13:20" x14ac:dyDescent="0.25">
      <c r="M128" s="8"/>
      <c r="N128"/>
      <c r="O128" s="106"/>
      <c r="Q128"/>
      <c r="R128"/>
      <c r="T128"/>
    </row>
    <row r="129" spans="13:20" x14ac:dyDescent="0.25">
      <c r="M129" s="8"/>
      <c r="N129"/>
      <c r="O129" s="106"/>
      <c r="Q129"/>
      <c r="R129"/>
      <c r="T129"/>
    </row>
    <row r="130" spans="13:20" x14ac:dyDescent="0.25">
      <c r="M130" s="8"/>
      <c r="N130"/>
      <c r="O130" s="106"/>
      <c r="Q130"/>
      <c r="R130"/>
      <c r="T130"/>
    </row>
    <row r="131" spans="13:20" x14ac:dyDescent="0.25">
      <c r="M131" s="8"/>
      <c r="N131"/>
      <c r="O131" s="106"/>
      <c r="Q131"/>
      <c r="R131"/>
      <c r="T131"/>
    </row>
    <row r="132" spans="13:20" x14ac:dyDescent="0.25">
      <c r="M132" s="8"/>
      <c r="N132"/>
      <c r="O132" s="106"/>
      <c r="Q132"/>
      <c r="R132"/>
      <c r="T132"/>
    </row>
    <row r="133" spans="13:20" x14ac:dyDescent="0.25">
      <c r="M133" s="8"/>
      <c r="N133"/>
      <c r="O133" s="106"/>
      <c r="Q133"/>
      <c r="R133"/>
      <c r="T133"/>
    </row>
    <row r="134" spans="13:20" x14ac:dyDescent="0.25">
      <c r="M134" s="8"/>
      <c r="N134"/>
      <c r="O134" s="106"/>
      <c r="Q134"/>
      <c r="R134"/>
      <c r="T134"/>
    </row>
    <row r="135" spans="13:20" x14ac:dyDescent="0.25">
      <c r="M135" s="8"/>
      <c r="N135"/>
      <c r="O135" s="106"/>
      <c r="Q135"/>
      <c r="R135"/>
      <c r="T135"/>
    </row>
    <row r="136" spans="13:20" x14ac:dyDescent="0.25">
      <c r="M136" s="8"/>
      <c r="N136"/>
      <c r="O136" s="106"/>
      <c r="Q136"/>
      <c r="R136"/>
      <c r="T136"/>
    </row>
    <row r="137" spans="13:20" x14ac:dyDescent="0.25">
      <c r="M137" s="8"/>
      <c r="N137"/>
      <c r="O137" s="106"/>
      <c r="Q137"/>
      <c r="R137"/>
      <c r="T137"/>
    </row>
    <row r="138" spans="13:20" x14ac:dyDescent="0.25">
      <c r="M138" s="8"/>
      <c r="N138"/>
      <c r="O138" s="106"/>
      <c r="Q138"/>
      <c r="R138"/>
      <c r="T138"/>
    </row>
    <row r="139" spans="13:20" x14ac:dyDescent="0.25">
      <c r="M139" s="8"/>
      <c r="N139"/>
      <c r="O139" s="106"/>
      <c r="Q139"/>
      <c r="R139"/>
      <c r="T139"/>
    </row>
    <row r="140" spans="13:20" x14ac:dyDescent="0.25">
      <c r="M140" s="8"/>
      <c r="N140"/>
      <c r="O140" s="106"/>
      <c r="Q140"/>
      <c r="R140"/>
      <c r="T140"/>
    </row>
    <row r="141" spans="13:20" x14ac:dyDescent="0.25">
      <c r="M141" s="8"/>
      <c r="N141"/>
      <c r="O141" s="106"/>
      <c r="Q141"/>
      <c r="R141"/>
      <c r="T141"/>
    </row>
    <row r="142" spans="13:20" x14ac:dyDescent="0.25">
      <c r="M142" s="8"/>
      <c r="N142"/>
      <c r="O142" s="106"/>
      <c r="Q142"/>
      <c r="R142"/>
      <c r="T142"/>
    </row>
    <row r="143" spans="13:20" x14ac:dyDescent="0.25">
      <c r="M143" s="8"/>
      <c r="N143"/>
      <c r="O143" s="106"/>
      <c r="Q143"/>
      <c r="R143"/>
      <c r="T143"/>
    </row>
    <row r="144" spans="13:20" x14ac:dyDescent="0.25">
      <c r="M144" s="8"/>
      <c r="N144"/>
      <c r="O144" s="106"/>
      <c r="Q144"/>
      <c r="R144"/>
      <c r="T144"/>
    </row>
    <row r="145" spans="13:20" x14ac:dyDescent="0.25">
      <c r="M145" s="8"/>
      <c r="N145"/>
      <c r="O145" s="106"/>
      <c r="Q145"/>
      <c r="R145"/>
      <c r="T145"/>
    </row>
    <row r="146" spans="13:20" x14ac:dyDescent="0.25">
      <c r="M146" s="8"/>
      <c r="N146"/>
      <c r="O146" s="106"/>
      <c r="Q146"/>
      <c r="R146"/>
      <c r="T146"/>
    </row>
    <row r="147" spans="13:20" x14ac:dyDescent="0.25">
      <c r="M147" s="8"/>
      <c r="N147"/>
      <c r="O147" s="106"/>
      <c r="Q147"/>
      <c r="R147"/>
      <c r="T147"/>
    </row>
    <row r="148" spans="13:20" x14ac:dyDescent="0.25">
      <c r="M148" s="8"/>
      <c r="N148"/>
      <c r="O148" s="106"/>
      <c r="Q148"/>
      <c r="R148"/>
      <c r="T148"/>
    </row>
    <row r="149" spans="13:20" x14ac:dyDescent="0.25">
      <c r="M149" s="8"/>
      <c r="N149"/>
      <c r="O149" s="106"/>
      <c r="Q149"/>
      <c r="R149"/>
      <c r="T149"/>
    </row>
    <row r="150" spans="13:20" x14ac:dyDescent="0.25">
      <c r="M150" s="8"/>
      <c r="N150"/>
      <c r="O150" s="106"/>
      <c r="Q150"/>
      <c r="R150"/>
      <c r="T150"/>
    </row>
    <row r="151" spans="13:20" x14ac:dyDescent="0.25">
      <c r="M151" s="8"/>
      <c r="N151"/>
      <c r="O151" s="106"/>
      <c r="Q151"/>
      <c r="R151"/>
      <c r="T151"/>
    </row>
    <row r="152" spans="13:20" x14ac:dyDescent="0.25">
      <c r="M152" s="8"/>
      <c r="N152"/>
      <c r="O152" s="106"/>
      <c r="Q152"/>
      <c r="R152"/>
      <c r="T152"/>
    </row>
    <row r="153" spans="13:20" x14ac:dyDescent="0.25">
      <c r="M153" s="8"/>
      <c r="N153"/>
      <c r="O153" s="106"/>
      <c r="Q153"/>
      <c r="R153"/>
      <c r="T153"/>
    </row>
    <row r="154" spans="13:20" x14ac:dyDescent="0.25">
      <c r="M154" s="8"/>
      <c r="N154"/>
      <c r="O154" s="106"/>
      <c r="Q154"/>
      <c r="R154"/>
      <c r="T154"/>
    </row>
    <row r="155" spans="13:20" x14ac:dyDescent="0.25">
      <c r="M155" s="8"/>
      <c r="N155"/>
      <c r="O155" s="106"/>
      <c r="Q155"/>
      <c r="R155"/>
      <c r="T155"/>
    </row>
    <row r="156" spans="13:20" x14ac:dyDescent="0.25">
      <c r="M156" s="8"/>
      <c r="N156"/>
      <c r="O156" s="106"/>
      <c r="Q156"/>
      <c r="R156"/>
      <c r="T156"/>
    </row>
    <row r="157" spans="13:20" x14ac:dyDescent="0.25">
      <c r="M157" s="8"/>
      <c r="N157"/>
      <c r="O157" s="106"/>
      <c r="Q157"/>
      <c r="R157"/>
      <c r="T157"/>
    </row>
    <row r="158" spans="13:20" x14ac:dyDescent="0.25">
      <c r="M158" s="8"/>
      <c r="N158"/>
      <c r="O158" s="106"/>
      <c r="Q158"/>
      <c r="R158"/>
      <c r="T158"/>
    </row>
    <row r="159" spans="13:20" x14ac:dyDescent="0.25">
      <c r="M159" s="8"/>
      <c r="N159"/>
      <c r="O159" s="106"/>
      <c r="Q159"/>
      <c r="R159"/>
      <c r="T159"/>
    </row>
    <row r="160" spans="13:20" x14ac:dyDescent="0.25">
      <c r="M160" s="8"/>
      <c r="N160"/>
      <c r="O160" s="106"/>
      <c r="Q160"/>
      <c r="R160"/>
      <c r="T160"/>
    </row>
    <row r="161" spans="13:20" x14ac:dyDescent="0.25">
      <c r="M161" s="8"/>
      <c r="N161"/>
      <c r="O161" s="106"/>
      <c r="Q161"/>
      <c r="R161"/>
      <c r="T161"/>
    </row>
    <row r="162" spans="13:20" x14ac:dyDescent="0.25">
      <c r="M162" s="8"/>
      <c r="N162"/>
      <c r="O162" s="106"/>
      <c r="Q162"/>
      <c r="R162"/>
      <c r="T162"/>
    </row>
    <row r="163" spans="13:20" x14ac:dyDescent="0.25">
      <c r="M163" s="8"/>
      <c r="N163"/>
      <c r="O163" s="106"/>
      <c r="Q163"/>
      <c r="R163"/>
      <c r="T163"/>
    </row>
    <row r="164" spans="13:20" x14ac:dyDescent="0.25">
      <c r="M164" s="8"/>
      <c r="N164"/>
      <c r="O164" s="106"/>
      <c r="Q164"/>
      <c r="R164"/>
      <c r="T164"/>
    </row>
    <row r="165" spans="13:20" x14ac:dyDescent="0.25">
      <c r="M165" s="8"/>
      <c r="N165"/>
      <c r="O165" s="106"/>
      <c r="Q165"/>
      <c r="R165"/>
      <c r="T165"/>
    </row>
    <row r="166" spans="13:20" x14ac:dyDescent="0.25">
      <c r="M166" s="8"/>
      <c r="N166"/>
      <c r="O166" s="106"/>
      <c r="Q166"/>
      <c r="R166"/>
      <c r="T166"/>
    </row>
    <row r="167" spans="13:20" x14ac:dyDescent="0.25">
      <c r="M167" s="8"/>
      <c r="N167"/>
      <c r="O167" s="106"/>
      <c r="Q167"/>
      <c r="R167"/>
      <c r="T167"/>
    </row>
    <row r="168" spans="13:20" x14ac:dyDescent="0.25">
      <c r="M168" s="8"/>
      <c r="N168"/>
      <c r="O168" s="106"/>
      <c r="Q168"/>
      <c r="R168"/>
      <c r="T168"/>
    </row>
  </sheetData>
  <sheetProtection password="970B" sheet="1" selectLockedCells="1"/>
  <mergeCells count="26">
    <mergeCell ref="D11:D16"/>
    <mergeCell ref="Z3:AA5"/>
    <mergeCell ref="AB3:AC5"/>
    <mergeCell ref="AC6:AC7"/>
    <mergeCell ref="AB6:AB7"/>
    <mergeCell ref="AA6:AA7"/>
    <mergeCell ref="Z6:Z7"/>
    <mergeCell ref="W6:W7"/>
    <mergeCell ref="V6:V7"/>
    <mergeCell ref="K4:K5"/>
    <mergeCell ref="F12:G12"/>
    <mergeCell ref="I11:I16"/>
    <mergeCell ref="G8:G10"/>
    <mergeCell ref="K9:K11"/>
    <mergeCell ref="N6:N7"/>
    <mergeCell ref="M6:M7"/>
    <mergeCell ref="Z2:AA2"/>
    <mergeCell ref="O6:O7"/>
    <mergeCell ref="Q6:Q7"/>
    <mergeCell ref="S6:S7"/>
    <mergeCell ref="R6:R7"/>
    <mergeCell ref="P6:P7"/>
    <mergeCell ref="X6:X7"/>
    <mergeCell ref="U6:U7"/>
    <mergeCell ref="T6:T7"/>
    <mergeCell ref="Y6:Y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5"/>
  <sheetViews>
    <sheetView workbookViewId="0">
      <selection activeCell="G10" sqref="G10:G50"/>
    </sheetView>
  </sheetViews>
  <sheetFormatPr defaultRowHeight="13.2" x14ac:dyDescent="0.25"/>
  <cols>
    <col min="1" max="1" width="20.33203125" customWidth="1"/>
    <col min="6" max="6" width="16.109375" customWidth="1"/>
    <col min="8" max="8" width="10.6640625" bestFit="1" customWidth="1"/>
  </cols>
  <sheetData>
    <row r="1" spans="1:9" ht="21" x14ac:dyDescent="0.4">
      <c r="A1" s="23" t="s">
        <v>21</v>
      </c>
      <c r="B1" s="10"/>
      <c r="C1" s="10"/>
      <c r="D1" s="10"/>
      <c r="E1" s="10"/>
      <c r="F1" s="10"/>
      <c r="G1" s="10"/>
      <c r="H1" s="9">
        <v>42153</v>
      </c>
      <c r="I1" s="10"/>
    </row>
    <row r="3" spans="1:9" ht="14.4" x14ac:dyDescent="0.3">
      <c r="A3" s="21" t="s">
        <v>22</v>
      </c>
      <c r="B3" s="10"/>
      <c r="C3" s="10"/>
      <c r="D3" s="10"/>
      <c r="E3" s="10"/>
      <c r="F3" s="10"/>
      <c r="G3" s="10"/>
      <c r="H3" s="10"/>
      <c r="I3" s="10"/>
    </row>
    <row r="5" spans="1:9" ht="14.4" x14ac:dyDescent="0.3">
      <c r="A5" s="16" t="s">
        <v>23</v>
      </c>
      <c r="B5" s="10"/>
      <c r="C5" s="10"/>
      <c r="D5" s="10"/>
      <c r="E5" s="10"/>
      <c r="F5" s="18" t="s">
        <v>24</v>
      </c>
      <c r="G5" s="19"/>
      <c r="H5" s="19"/>
      <c r="I5" s="19"/>
    </row>
    <row r="6" spans="1:9" ht="15" thickBot="1" x14ac:dyDescent="0.35">
      <c r="A6" s="11" t="s">
        <v>25</v>
      </c>
      <c r="B6" s="10"/>
      <c r="C6" s="10"/>
      <c r="D6" s="10"/>
      <c r="E6" s="10"/>
      <c r="F6" s="18" t="s">
        <v>25</v>
      </c>
      <c r="G6" s="19"/>
      <c r="H6" s="19"/>
      <c r="I6" s="19"/>
    </row>
    <row r="7" spans="1:9" ht="27" thickBot="1" x14ac:dyDescent="0.35">
      <c r="A7" s="12"/>
      <c r="B7" s="12" t="s">
        <v>26</v>
      </c>
      <c r="C7" s="10"/>
      <c r="D7" s="10"/>
      <c r="E7" s="10"/>
      <c r="F7" s="20"/>
      <c r="G7" s="28" t="s">
        <v>26</v>
      </c>
      <c r="H7" s="10"/>
      <c r="I7" s="10"/>
    </row>
    <row r="8" spans="1:9" ht="53.4" thickBot="1" x14ac:dyDescent="0.35">
      <c r="A8" s="17" t="s">
        <v>27</v>
      </c>
      <c r="B8" s="17" t="s">
        <v>28</v>
      </c>
      <c r="C8" s="10"/>
      <c r="D8" s="10"/>
      <c r="E8" s="10"/>
      <c r="F8" s="17" t="s">
        <v>29</v>
      </c>
      <c r="G8" s="12" t="s">
        <v>30</v>
      </c>
      <c r="H8" s="10"/>
      <c r="I8" s="10"/>
    </row>
    <row r="9" spans="1:9" ht="15" thickBot="1" x14ac:dyDescent="0.35">
      <c r="A9" s="22" t="s">
        <v>31</v>
      </c>
      <c r="B9" s="22" t="s">
        <v>32</v>
      </c>
      <c r="C9" s="10"/>
      <c r="D9" s="10"/>
      <c r="E9" s="10"/>
      <c r="F9" s="22" t="s">
        <v>31</v>
      </c>
      <c r="G9" s="22" t="s">
        <v>32</v>
      </c>
      <c r="H9" s="10"/>
      <c r="I9" s="10"/>
    </row>
    <row r="10" spans="1:9" ht="14.4" x14ac:dyDescent="0.3">
      <c r="A10" s="24">
        <v>18</v>
      </c>
      <c r="B10" s="319">
        <v>3.82</v>
      </c>
      <c r="C10" s="10"/>
      <c r="D10" s="10"/>
      <c r="E10" s="10"/>
      <c r="F10" s="27">
        <v>0</v>
      </c>
      <c r="G10" s="319">
        <v>1</v>
      </c>
      <c r="H10" s="10"/>
      <c r="I10" s="10"/>
    </row>
    <row r="11" spans="1:9" ht="14.4" x14ac:dyDescent="0.3">
      <c r="A11" s="24">
        <v>19</v>
      </c>
      <c r="B11" s="319">
        <v>3.99</v>
      </c>
      <c r="C11" s="10"/>
      <c r="D11" s="10"/>
      <c r="E11" s="10"/>
      <c r="F11" s="27">
        <v>1</v>
      </c>
      <c r="G11" s="319">
        <v>1.02</v>
      </c>
      <c r="H11" s="10"/>
      <c r="I11" s="10"/>
    </row>
    <row r="12" spans="1:9" ht="14.4" x14ac:dyDescent="0.3">
      <c r="A12" s="13">
        <v>20</v>
      </c>
      <c r="B12" s="319">
        <v>4.16</v>
      </c>
      <c r="C12" s="10"/>
      <c r="D12" s="10"/>
      <c r="E12" s="10"/>
      <c r="F12" s="25">
        <v>2</v>
      </c>
      <c r="G12" s="319">
        <v>1.04</v>
      </c>
      <c r="H12" s="10"/>
      <c r="I12" s="10"/>
    </row>
    <row r="13" spans="1:9" ht="14.4" x14ac:dyDescent="0.3">
      <c r="A13" s="13">
        <v>21</v>
      </c>
      <c r="B13" s="319">
        <v>4.34</v>
      </c>
      <c r="C13" s="10"/>
      <c r="D13" s="10"/>
      <c r="E13" s="10"/>
      <c r="F13" s="25">
        <v>3</v>
      </c>
      <c r="G13" s="319">
        <v>1.06</v>
      </c>
      <c r="H13" s="10"/>
      <c r="I13" s="10"/>
    </row>
    <row r="14" spans="1:9" ht="14.4" x14ac:dyDescent="0.3">
      <c r="A14" s="13">
        <v>22</v>
      </c>
      <c r="B14" s="319">
        <v>4.5199999999999996</v>
      </c>
      <c r="C14" s="10"/>
      <c r="D14" s="10"/>
      <c r="E14" s="10"/>
      <c r="F14" s="25">
        <v>4</v>
      </c>
      <c r="G14" s="319">
        <v>1.08</v>
      </c>
      <c r="H14" s="10"/>
      <c r="I14" s="10"/>
    </row>
    <row r="15" spans="1:9" ht="14.4" x14ac:dyDescent="0.3">
      <c r="A15" s="13">
        <v>23</v>
      </c>
      <c r="B15" s="319">
        <v>4.71</v>
      </c>
      <c r="C15" s="10"/>
      <c r="D15" s="10"/>
      <c r="E15" s="10"/>
      <c r="F15" s="25">
        <v>5</v>
      </c>
      <c r="G15" s="319">
        <v>1.1000000000000001</v>
      </c>
      <c r="H15" s="10"/>
      <c r="I15" s="10"/>
    </row>
    <row r="16" spans="1:9" ht="14.4" x14ac:dyDescent="0.3">
      <c r="A16" s="13">
        <v>24</v>
      </c>
      <c r="B16" s="319">
        <v>4.91</v>
      </c>
      <c r="C16" s="10"/>
      <c r="D16" s="10"/>
      <c r="E16" s="10"/>
      <c r="F16" s="25">
        <v>6</v>
      </c>
      <c r="G16" s="319">
        <v>1.1299999999999999</v>
      </c>
      <c r="H16" s="10"/>
      <c r="I16" s="10"/>
    </row>
    <row r="17" spans="1:7" ht="14.4" x14ac:dyDescent="0.3">
      <c r="A17" s="13">
        <v>25</v>
      </c>
      <c r="B17" s="319">
        <v>5.1100000000000003</v>
      </c>
      <c r="C17" s="10"/>
      <c r="D17" s="10"/>
      <c r="E17" s="10"/>
      <c r="F17" s="25">
        <v>7</v>
      </c>
      <c r="G17" s="319">
        <v>1.1499999999999999</v>
      </c>
    </row>
    <row r="18" spans="1:7" ht="14.4" x14ac:dyDescent="0.3">
      <c r="A18" s="13">
        <v>26</v>
      </c>
      <c r="B18" s="319">
        <v>5.33</v>
      </c>
      <c r="C18" s="10"/>
      <c r="D18" s="10"/>
      <c r="E18" s="10"/>
      <c r="F18" s="25">
        <v>8</v>
      </c>
      <c r="G18" s="319">
        <v>1.17</v>
      </c>
    </row>
    <row r="19" spans="1:7" ht="14.4" x14ac:dyDescent="0.3">
      <c r="A19" s="13">
        <v>27</v>
      </c>
      <c r="B19" s="319">
        <v>5.55</v>
      </c>
      <c r="C19" s="10"/>
      <c r="D19" s="10"/>
      <c r="E19" s="10"/>
      <c r="F19" s="25">
        <v>9</v>
      </c>
      <c r="G19" s="319">
        <v>1.2</v>
      </c>
    </row>
    <row r="20" spans="1:7" ht="14.4" x14ac:dyDescent="0.3">
      <c r="A20" s="13">
        <v>28</v>
      </c>
      <c r="B20" s="319">
        <v>5.79</v>
      </c>
      <c r="C20" s="10"/>
      <c r="D20" s="10"/>
      <c r="E20" s="10"/>
      <c r="F20" s="25">
        <v>10</v>
      </c>
      <c r="G20" s="319">
        <v>1.22</v>
      </c>
    </row>
    <row r="21" spans="1:7" ht="14.4" x14ac:dyDescent="0.3">
      <c r="A21" s="13">
        <v>29</v>
      </c>
      <c r="B21" s="319">
        <v>6.03</v>
      </c>
      <c r="C21" s="10"/>
      <c r="D21" s="10"/>
      <c r="E21" s="10"/>
      <c r="F21" s="25">
        <v>11</v>
      </c>
      <c r="G21" s="319">
        <v>1.24</v>
      </c>
    </row>
    <row r="22" spans="1:7" ht="14.4" x14ac:dyDescent="0.3">
      <c r="A22" s="13">
        <v>30</v>
      </c>
      <c r="B22" s="319">
        <v>6.28</v>
      </c>
      <c r="C22" s="10"/>
      <c r="D22" s="10"/>
      <c r="E22" s="10"/>
      <c r="F22" s="25">
        <v>12</v>
      </c>
      <c r="G22" s="319">
        <v>1.27</v>
      </c>
    </row>
    <row r="23" spans="1:7" ht="14.4" x14ac:dyDescent="0.3">
      <c r="A23" s="13">
        <v>31</v>
      </c>
      <c r="B23" s="319">
        <v>6.54</v>
      </c>
      <c r="C23" s="10"/>
      <c r="D23" s="10"/>
      <c r="E23" s="10"/>
      <c r="F23" s="25">
        <v>13</v>
      </c>
      <c r="G23" s="319">
        <v>1.29</v>
      </c>
    </row>
    <row r="24" spans="1:7" ht="14.4" x14ac:dyDescent="0.3">
      <c r="A24" s="13">
        <v>32</v>
      </c>
      <c r="B24" s="319">
        <v>6.81</v>
      </c>
      <c r="C24" s="10"/>
      <c r="D24" s="10"/>
      <c r="E24" s="10"/>
      <c r="F24" s="25">
        <v>14</v>
      </c>
      <c r="G24" s="319">
        <v>1.32</v>
      </c>
    </row>
    <row r="25" spans="1:7" ht="14.4" x14ac:dyDescent="0.3">
      <c r="A25" s="13">
        <v>33</v>
      </c>
      <c r="B25" s="319">
        <v>7.1</v>
      </c>
      <c r="C25" s="10"/>
      <c r="D25" s="10"/>
      <c r="E25" s="10"/>
      <c r="F25" s="25">
        <v>15</v>
      </c>
      <c r="G25" s="319">
        <v>1.35</v>
      </c>
    </row>
    <row r="26" spans="1:7" ht="14.4" x14ac:dyDescent="0.3">
      <c r="A26" s="13">
        <v>34</v>
      </c>
      <c r="B26" s="319">
        <v>7.39</v>
      </c>
      <c r="C26" s="10"/>
      <c r="D26" s="10"/>
      <c r="E26" s="10"/>
      <c r="F26" s="25">
        <v>16</v>
      </c>
      <c r="G26" s="319">
        <v>1.37</v>
      </c>
    </row>
    <row r="27" spans="1:7" ht="14.4" x14ac:dyDescent="0.3">
      <c r="A27" s="13">
        <v>35</v>
      </c>
      <c r="B27" s="319">
        <v>7.7</v>
      </c>
      <c r="C27" s="10"/>
      <c r="D27" s="10"/>
      <c r="E27" s="10"/>
      <c r="F27" s="25">
        <v>17</v>
      </c>
      <c r="G27" s="319">
        <v>1.4</v>
      </c>
    </row>
    <row r="28" spans="1:7" ht="14.4" x14ac:dyDescent="0.3">
      <c r="A28" s="13">
        <v>36</v>
      </c>
      <c r="B28" s="319">
        <v>8.02</v>
      </c>
      <c r="C28" s="10"/>
      <c r="D28" s="10"/>
      <c r="E28" s="10"/>
      <c r="F28" s="25">
        <v>18</v>
      </c>
      <c r="G28" s="319">
        <v>1.43</v>
      </c>
    </row>
    <row r="29" spans="1:7" ht="14.4" x14ac:dyDescent="0.3">
      <c r="A29" s="13">
        <v>37</v>
      </c>
      <c r="B29" s="319">
        <v>8.35</v>
      </c>
      <c r="C29" s="10"/>
      <c r="D29" s="10"/>
      <c r="E29" s="10"/>
      <c r="F29" s="25">
        <v>19</v>
      </c>
      <c r="G29" s="319">
        <v>1.46</v>
      </c>
    </row>
    <row r="30" spans="1:7" ht="14.4" x14ac:dyDescent="0.3">
      <c r="A30" s="13">
        <v>38</v>
      </c>
      <c r="B30" s="319">
        <v>8.69</v>
      </c>
      <c r="C30" s="10"/>
      <c r="D30" s="10"/>
      <c r="E30" s="10"/>
      <c r="F30" s="25">
        <v>20</v>
      </c>
      <c r="G30" s="319">
        <v>1.49</v>
      </c>
    </row>
    <row r="31" spans="1:7" ht="14.4" x14ac:dyDescent="0.3">
      <c r="A31" s="13">
        <v>39</v>
      </c>
      <c r="B31" s="319">
        <v>9.0500000000000007</v>
      </c>
      <c r="C31" s="10"/>
      <c r="D31" s="10"/>
      <c r="E31" s="10"/>
      <c r="F31" s="25">
        <v>21</v>
      </c>
      <c r="G31" s="319">
        <v>1.52</v>
      </c>
    </row>
    <row r="32" spans="1:7" ht="14.4" x14ac:dyDescent="0.3">
      <c r="A32" s="13">
        <v>40</v>
      </c>
      <c r="B32" s="319">
        <v>9.42</v>
      </c>
      <c r="C32" s="10"/>
      <c r="D32" s="10"/>
      <c r="E32" s="10"/>
      <c r="F32" s="25">
        <v>22</v>
      </c>
      <c r="G32" s="319">
        <v>1.55</v>
      </c>
    </row>
    <row r="33" spans="1:7" ht="14.4" x14ac:dyDescent="0.3">
      <c r="A33" s="13">
        <v>41</v>
      </c>
      <c r="B33" s="319">
        <v>9.8000000000000007</v>
      </c>
      <c r="C33" s="10"/>
      <c r="D33" s="10"/>
      <c r="E33" s="10"/>
      <c r="F33" s="25">
        <v>23</v>
      </c>
      <c r="G33" s="319">
        <v>1.58</v>
      </c>
    </row>
    <row r="34" spans="1:7" ht="14.4" x14ac:dyDescent="0.3">
      <c r="A34" s="13">
        <v>42</v>
      </c>
      <c r="B34" s="319">
        <v>10.199999999999999</v>
      </c>
      <c r="C34" s="10"/>
      <c r="D34" s="10"/>
      <c r="E34" s="10"/>
      <c r="F34" s="25">
        <v>24</v>
      </c>
      <c r="G34" s="319">
        <v>1.61</v>
      </c>
    </row>
    <row r="35" spans="1:7" ht="14.4" x14ac:dyDescent="0.3">
      <c r="A35" s="13">
        <v>43</v>
      </c>
      <c r="B35" s="319">
        <v>10.62</v>
      </c>
      <c r="C35" s="10"/>
      <c r="D35" s="10"/>
      <c r="E35" s="10"/>
      <c r="F35" s="25">
        <v>25</v>
      </c>
      <c r="G35" s="319">
        <v>1.64</v>
      </c>
    </row>
    <row r="36" spans="1:7" ht="14.4" x14ac:dyDescent="0.3">
      <c r="A36" s="13">
        <v>44</v>
      </c>
      <c r="B36" s="319">
        <v>11.05</v>
      </c>
      <c r="C36" s="10"/>
      <c r="D36" s="10"/>
      <c r="E36" s="10"/>
      <c r="F36" s="25">
        <v>26</v>
      </c>
      <c r="G36" s="319">
        <v>1.67</v>
      </c>
    </row>
    <row r="37" spans="1:7" ht="14.4" x14ac:dyDescent="0.3">
      <c r="A37" s="13">
        <v>45</v>
      </c>
      <c r="B37" s="319">
        <v>11.49</v>
      </c>
      <c r="C37" s="10"/>
      <c r="D37" s="10"/>
      <c r="E37" s="10"/>
      <c r="F37" s="25">
        <v>27</v>
      </c>
      <c r="G37" s="319">
        <v>1.71</v>
      </c>
    </row>
    <row r="38" spans="1:7" ht="14.4" x14ac:dyDescent="0.3">
      <c r="A38" s="13">
        <v>46</v>
      </c>
      <c r="B38" s="319">
        <v>11.95</v>
      </c>
      <c r="C38" s="10"/>
      <c r="D38" s="10"/>
      <c r="E38" s="10"/>
      <c r="F38" s="25">
        <v>28</v>
      </c>
      <c r="G38" s="319">
        <v>1.74</v>
      </c>
    </row>
    <row r="39" spans="1:7" ht="14.4" x14ac:dyDescent="0.3">
      <c r="A39" s="13">
        <v>47</v>
      </c>
      <c r="B39" s="319">
        <v>12.43</v>
      </c>
      <c r="C39" s="10"/>
      <c r="D39" s="10"/>
      <c r="E39" s="10"/>
      <c r="F39" s="25">
        <v>29</v>
      </c>
      <c r="G39" s="319">
        <v>1.78</v>
      </c>
    </row>
    <row r="40" spans="1:7" ht="14.4" x14ac:dyDescent="0.3">
      <c r="A40" s="13">
        <v>48</v>
      </c>
      <c r="B40" s="319">
        <v>12.93</v>
      </c>
      <c r="C40" s="10"/>
      <c r="D40" s="10"/>
      <c r="E40" s="10"/>
      <c r="F40" s="25">
        <v>30</v>
      </c>
      <c r="G40" s="319">
        <v>1.81</v>
      </c>
    </row>
    <row r="41" spans="1:7" ht="14.4" x14ac:dyDescent="0.3">
      <c r="A41" s="13">
        <v>49</v>
      </c>
      <c r="B41" s="319">
        <v>13.45</v>
      </c>
      <c r="C41" s="10"/>
      <c r="D41" s="10"/>
      <c r="E41" s="10"/>
      <c r="F41" s="25">
        <v>31</v>
      </c>
      <c r="G41" s="319">
        <v>1.85</v>
      </c>
    </row>
    <row r="42" spans="1:7" ht="14.4" x14ac:dyDescent="0.3">
      <c r="A42" s="13">
        <v>50</v>
      </c>
      <c r="B42" s="319">
        <v>13.99</v>
      </c>
      <c r="C42" s="10"/>
      <c r="D42" s="10"/>
      <c r="E42" s="10"/>
      <c r="F42" s="25">
        <v>32</v>
      </c>
      <c r="G42" s="319">
        <v>1.88</v>
      </c>
    </row>
    <row r="43" spans="1:7" ht="14.4" x14ac:dyDescent="0.3">
      <c r="A43" s="13">
        <v>51</v>
      </c>
      <c r="B43" s="319">
        <v>14.54</v>
      </c>
      <c r="C43" s="10"/>
      <c r="D43" s="10"/>
      <c r="E43" s="10"/>
      <c r="F43" s="25">
        <v>33</v>
      </c>
      <c r="G43" s="319">
        <v>1.92</v>
      </c>
    </row>
    <row r="44" spans="1:7" ht="14.4" x14ac:dyDescent="0.3">
      <c r="A44" s="13">
        <v>52</v>
      </c>
      <c r="B44" s="319">
        <v>15.12</v>
      </c>
      <c r="C44" s="10"/>
      <c r="D44" s="10"/>
      <c r="E44" s="10"/>
      <c r="F44" s="25">
        <v>34</v>
      </c>
      <c r="G44" s="319">
        <v>1.96</v>
      </c>
    </row>
    <row r="45" spans="1:7" ht="14.4" x14ac:dyDescent="0.3">
      <c r="A45" s="13">
        <v>53</v>
      </c>
      <c r="B45" s="319">
        <v>15.73</v>
      </c>
      <c r="C45" s="10"/>
      <c r="D45" s="10"/>
      <c r="E45" s="10"/>
      <c r="F45" s="25">
        <v>35</v>
      </c>
      <c r="G45" s="319">
        <v>2</v>
      </c>
    </row>
    <row r="46" spans="1:7" ht="14.4" x14ac:dyDescent="0.3">
      <c r="A46" s="13">
        <v>54</v>
      </c>
      <c r="B46" s="319">
        <v>16.350000000000001</v>
      </c>
      <c r="C46" s="10"/>
      <c r="D46" s="10"/>
      <c r="E46" s="10"/>
      <c r="F46" s="25">
        <v>36</v>
      </c>
      <c r="G46" s="319">
        <v>2.04</v>
      </c>
    </row>
    <row r="47" spans="1:7" ht="14.4" x14ac:dyDescent="0.3">
      <c r="A47" s="13">
        <v>55</v>
      </c>
      <c r="B47" s="319">
        <v>17.010000000000002</v>
      </c>
      <c r="C47" s="10"/>
      <c r="D47" s="10"/>
      <c r="E47" s="10"/>
      <c r="F47" s="25">
        <v>37</v>
      </c>
      <c r="G47" s="319">
        <v>2.08</v>
      </c>
    </row>
    <row r="48" spans="1:7" ht="14.4" x14ac:dyDescent="0.3">
      <c r="A48" s="13">
        <v>56</v>
      </c>
      <c r="B48" s="319">
        <v>17.7</v>
      </c>
      <c r="C48" s="10"/>
      <c r="D48" s="10"/>
      <c r="E48" s="10"/>
      <c r="F48" s="25">
        <v>38</v>
      </c>
      <c r="G48" s="319">
        <v>2.12</v>
      </c>
    </row>
    <row r="49" spans="1:9" ht="14.4" x14ac:dyDescent="0.3">
      <c r="A49" s="13">
        <v>57</v>
      </c>
      <c r="B49" s="319">
        <v>18.43</v>
      </c>
      <c r="C49" s="10"/>
      <c r="D49" s="10"/>
      <c r="E49" s="10"/>
      <c r="F49" s="25">
        <v>39</v>
      </c>
      <c r="G49" s="319">
        <v>2.16</v>
      </c>
      <c r="H49" s="10"/>
      <c r="I49" s="10"/>
    </row>
    <row r="50" spans="1:9" ht="15" thickBot="1" x14ac:dyDescent="0.35">
      <c r="A50" s="13">
        <v>58</v>
      </c>
      <c r="B50" s="319">
        <v>19.2</v>
      </c>
      <c r="C50" s="10"/>
      <c r="D50" s="10"/>
      <c r="E50" s="10"/>
      <c r="F50" s="26">
        <v>40</v>
      </c>
      <c r="G50" s="319">
        <v>2.21</v>
      </c>
      <c r="H50" s="10"/>
      <c r="I50" s="10"/>
    </row>
    <row r="51" spans="1:9" ht="15.6" thickTop="1" thickBot="1" x14ac:dyDescent="0.35">
      <c r="A51" s="14">
        <v>59</v>
      </c>
      <c r="B51" s="319">
        <v>20.010000000000002</v>
      </c>
      <c r="C51" s="10"/>
      <c r="D51" s="10"/>
      <c r="E51" s="10"/>
      <c r="F51" s="10"/>
      <c r="G51" s="10"/>
      <c r="H51" s="10"/>
      <c r="I51" s="10"/>
    </row>
    <row r="52" spans="1:9" ht="15" thickTop="1" x14ac:dyDescent="0.3">
      <c r="A52" s="15"/>
      <c r="B52" s="10"/>
      <c r="C52" s="10"/>
      <c r="D52" s="10"/>
      <c r="E52" s="10"/>
      <c r="F52" s="19"/>
      <c r="G52" s="19"/>
      <c r="H52" s="19"/>
      <c r="I52" s="10"/>
    </row>
    <row r="53" spans="1:9" ht="14.4" x14ac:dyDescent="0.3">
      <c r="A53" s="15"/>
      <c r="B53" s="10"/>
      <c r="C53" s="10"/>
      <c r="D53" s="10"/>
      <c r="E53" s="10"/>
      <c r="F53" s="19"/>
      <c r="G53" s="19"/>
      <c r="H53" s="19"/>
      <c r="I53" s="10"/>
    </row>
    <row r="54" spans="1:9" ht="14.4" x14ac:dyDescent="0.3">
      <c r="A54" s="10"/>
      <c r="B54" s="10"/>
      <c r="C54" s="10"/>
      <c r="D54" s="10"/>
      <c r="E54" s="10"/>
      <c r="F54" s="19"/>
      <c r="G54" s="19"/>
      <c r="H54" s="19"/>
      <c r="I54" s="19"/>
    </row>
    <row r="55" spans="1:9" ht="14.4" x14ac:dyDescent="0.3">
      <c r="A55" s="10"/>
      <c r="B55" s="10"/>
      <c r="C55" s="10"/>
      <c r="D55" s="10"/>
      <c r="E55" s="10"/>
      <c r="F55" s="19"/>
      <c r="G55" s="19"/>
      <c r="H55" s="19"/>
      <c r="I55" s="19"/>
    </row>
    <row r="56" spans="1:9" ht="14.4" x14ac:dyDescent="0.3">
      <c r="A56" s="10"/>
      <c r="B56" s="10"/>
      <c r="C56" s="10"/>
      <c r="D56" s="10"/>
      <c r="E56" s="10"/>
      <c r="F56" s="19"/>
      <c r="G56" s="19"/>
      <c r="H56" s="19"/>
      <c r="I56" s="19"/>
    </row>
    <row r="57" spans="1:9" ht="14.4" x14ac:dyDescent="0.3">
      <c r="A57" s="10"/>
      <c r="B57" s="10"/>
      <c r="C57" s="10"/>
      <c r="D57" s="10"/>
      <c r="E57" s="10"/>
      <c r="F57" s="19"/>
      <c r="G57" s="19"/>
      <c r="H57" s="19"/>
      <c r="I57" s="19"/>
    </row>
    <row r="58" spans="1:9" ht="14.4" x14ac:dyDescent="0.3">
      <c r="A58" s="10"/>
      <c r="B58" s="10"/>
      <c r="C58" s="10"/>
      <c r="D58" s="10"/>
      <c r="E58" s="10"/>
      <c r="F58" s="19"/>
      <c r="G58" s="19"/>
      <c r="H58" s="19"/>
      <c r="I58" s="19"/>
    </row>
    <row r="59" spans="1:9" ht="14.4" x14ac:dyDescent="0.3">
      <c r="A59" s="10"/>
      <c r="B59" s="10"/>
      <c r="C59" s="10"/>
      <c r="D59" s="10"/>
      <c r="E59" s="10"/>
      <c r="F59" s="19"/>
      <c r="G59" s="19"/>
      <c r="H59" s="19"/>
      <c r="I59" s="19"/>
    </row>
    <row r="60" spans="1:9" ht="14.4" x14ac:dyDescent="0.3">
      <c r="A60" s="10"/>
      <c r="B60" s="10"/>
      <c r="C60" s="10"/>
      <c r="D60" s="10"/>
      <c r="E60" s="10"/>
      <c r="F60" s="19"/>
      <c r="G60" s="19"/>
      <c r="H60" s="19"/>
      <c r="I60" s="19"/>
    </row>
    <row r="61" spans="1:9" ht="14.4" x14ac:dyDescent="0.3">
      <c r="A61" s="10"/>
      <c r="B61" s="10"/>
      <c r="C61" s="10"/>
      <c r="D61" s="10"/>
      <c r="E61" s="10"/>
      <c r="F61" s="19"/>
      <c r="G61" s="19"/>
      <c r="H61" s="19"/>
      <c r="I61" s="19"/>
    </row>
    <row r="62" spans="1:9" ht="14.4" x14ac:dyDescent="0.3">
      <c r="A62" s="10"/>
      <c r="B62" s="10"/>
      <c r="C62" s="10"/>
      <c r="D62" s="10"/>
      <c r="E62" s="10"/>
      <c r="F62" s="19"/>
      <c r="G62" s="19"/>
      <c r="H62" s="19"/>
      <c r="I62" s="19"/>
    </row>
    <row r="63" spans="1:9" ht="14.4" x14ac:dyDescent="0.3">
      <c r="A63" s="10"/>
      <c r="B63" s="10"/>
      <c r="C63" s="10"/>
      <c r="D63" s="10"/>
      <c r="E63" s="10"/>
      <c r="F63" s="19"/>
      <c r="G63" s="19"/>
      <c r="H63" s="19"/>
      <c r="I63" s="19"/>
    </row>
    <row r="64" spans="1:9" ht="14.4" x14ac:dyDescent="0.3">
      <c r="A64" s="10"/>
      <c r="B64" s="10"/>
      <c r="C64" s="10"/>
      <c r="D64" s="10"/>
      <c r="E64" s="10"/>
      <c r="F64" s="19"/>
      <c r="G64" s="19"/>
      <c r="H64" s="19"/>
      <c r="I64" s="19"/>
    </row>
    <row r="65" spans="6:9" ht="14.4" x14ac:dyDescent="0.25">
      <c r="F65" s="19"/>
      <c r="G65" s="19"/>
      <c r="H65" s="19"/>
      <c r="I65" s="19"/>
    </row>
  </sheetData>
  <conditionalFormatting sqref="B10:B51">
    <cfRule type="expression" dxfId="3" priority="3" stopIfTrue="1">
      <formula>MOD(ROW(),2)=0</formula>
    </cfRule>
    <cfRule type="expression" dxfId="2" priority="4" stopIfTrue="1">
      <formula>MOD(ROW(),2)&lt;&gt;0</formula>
    </cfRule>
  </conditionalFormatting>
  <conditionalFormatting sqref="G10:G50">
    <cfRule type="expression" dxfId="1" priority="1" stopIfTrue="1">
      <formula>MOD(ROW(),2)=0</formula>
    </cfRule>
    <cfRule type="expression" dxfId="0" priority="2" stopIfTrue="1">
      <formula>MOD(ROW(),2)&lt;&gt;0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E22"/>
  <sheetViews>
    <sheetView showRowColHeaders="0" zoomScale="115" zoomScaleNormal="115" workbookViewId="0">
      <selection activeCell="C21" sqref="C21"/>
    </sheetView>
  </sheetViews>
  <sheetFormatPr defaultColWidth="9.109375" defaultRowHeight="13.2" x14ac:dyDescent="0.25"/>
  <cols>
    <col min="1" max="1" width="9.109375" style="91"/>
    <col min="2" max="2" width="1.33203125" style="91" customWidth="1"/>
    <col min="3" max="3" width="63" style="81" customWidth="1"/>
    <col min="4" max="4" width="21.44140625" style="81" customWidth="1"/>
    <col min="5" max="5" width="1.33203125" style="91" customWidth="1"/>
    <col min="6" max="16384" width="9.109375" style="91"/>
  </cols>
  <sheetData>
    <row r="1" spans="2:5" ht="25.5" customHeight="1" thickBot="1" x14ac:dyDescent="0.3"/>
    <row r="2" spans="2:5" ht="6.75" customHeight="1" x14ac:dyDescent="0.25">
      <c r="B2" s="92"/>
      <c r="C2" s="83"/>
      <c r="D2" s="83"/>
      <c r="E2" s="95"/>
    </row>
    <row r="3" spans="2:5" ht="55.5" customHeight="1" x14ac:dyDescent="0.25">
      <c r="B3" s="93"/>
      <c r="C3" s="87"/>
      <c r="D3" s="87"/>
      <c r="E3" s="96"/>
    </row>
    <row r="4" spans="2:5" ht="27.75" customHeight="1" x14ac:dyDescent="0.25">
      <c r="B4" s="93"/>
      <c r="C4" s="348" t="s">
        <v>213</v>
      </c>
      <c r="D4" s="348"/>
      <c r="E4" s="96"/>
    </row>
    <row r="5" spans="2:5" ht="17.100000000000001" customHeight="1" x14ac:dyDescent="0.25">
      <c r="B5" s="93"/>
      <c r="C5" s="47" t="str">
        <f>Calculator!C3</f>
        <v>Member Details</v>
      </c>
      <c r="D5" s="64"/>
      <c r="E5" s="96"/>
    </row>
    <row r="6" spans="2:5" ht="17.100000000000001" customHeight="1" x14ac:dyDescent="0.25">
      <c r="B6" s="93"/>
      <c r="C6" s="49" t="str">
        <f>Calculator!C15</f>
        <v xml:space="preserve">Date of Birth </v>
      </c>
      <c r="D6" s="65">
        <f>Calculator!D15</f>
        <v>0</v>
      </c>
      <c r="E6" s="96"/>
    </row>
    <row r="7" spans="2:5" ht="17.100000000000001" customHeight="1" x14ac:dyDescent="0.25">
      <c r="B7" s="93"/>
      <c r="C7" s="49" t="s">
        <v>215</v>
      </c>
      <c r="D7" s="50">
        <f>Codes!B3</f>
        <v>21915</v>
      </c>
      <c r="E7" s="96"/>
    </row>
    <row r="8" spans="2:5" ht="17.100000000000001" customHeight="1" x14ac:dyDescent="0.25">
      <c r="B8" s="93"/>
      <c r="C8" s="55" t="str">
        <f>Calculator!C21</f>
        <v xml:space="preserve">Calculation date (if blank, will use today's date) </v>
      </c>
      <c r="D8" s="66">
        <f ca="1">Codes!G14</f>
        <v>43810</v>
      </c>
      <c r="E8" s="96"/>
    </row>
    <row r="9" spans="2:5" ht="17.100000000000001" customHeight="1" x14ac:dyDescent="0.25">
      <c r="B9" s="93"/>
      <c r="C9" s="87"/>
      <c r="D9" s="97"/>
      <c r="E9" s="96"/>
    </row>
    <row r="10" spans="2:5" ht="17.100000000000001" customHeight="1" x14ac:dyDescent="0.25">
      <c r="B10" s="93"/>
      <c r="C10" s="62" t="s">
        <v>53</v>
      </c>
      <c r="D10" s="67"/>
      <c r="E10" s="96"/>
    </row>
    <row r="11" spans="2:5" ht="17.100000000000001" customHeight="1" x14ac:dyDescent="0.25">
      <c r="B11" s="93"/>
      <c r="C11" s="49" t="s">
        <v>74</v>
      </c>
      <c r="D11" s="68">
        <f>Codes!G21</f>
        <v>0</v>
      </c>
      <c r="E11" s="96"/>
    </row>
    <row r="12" spans="2:5" ht="17.100000000000001" customHeight="1" x14ac:dyDescent="0.25">
      <c r="B12" s="93"/>
      <c r="C12" s="49" t="s">
        <v>72</v>
      </c>
      <c r="D12" s="69">
        <f ca="1">Codes!G16</f>
        <v>119</v>
      </c>
      <c r="E12" s="96"/>
    </row>
    <row r="13" spans="2:5" ht="17.100000000000001" customHeight="1" x14ac:dyDescent="0.25">
      <c r="B13" s="93"/>
      <c r="C13" s="49" t="s">
        <v>71</v>
      </c>
      <c r="D13" s="69" t="e">
        <f ca="1">Codes!G22</f>
        <v>#N/A</v>
      </c>
      <c r="E13" s="96"/>
    </row>
    <row r="14" spans="2:5" ht="17.100000000000001" customHeight="1" x14ac:dyDescent="0.25">
      <c r="B14" s="93"/>
      <c r="C14" s="63" t="s">
        <v>73</v>
      </c>
      <c r="D14" s="69" t="str">
        <f ca="1">Codes!G17</f>
        <v/>
      </c>
      <c r="E14" s="96"/>
    </row>
    <row r="15" spans="2:5" ht="17.100000000000001" customHeight="1" x14ac:dyDescent="0.25">
      <c r="B15" s="93"/>
      <c r="C15" s="49" t="s">
        <v>216</v>
      </c>
      <c r="D15" s="69" t="e">
        <f ca="1">Codes!G23</f>
        <v>#N/A</v>
      </c>
      <c r="E15" s="96"/>
    </row>
    <row r="16" spans="2:5" ht="17.100000000000001" customHeight="1" x14ac:dyDescent="0.25">
      <c r="B16" s="93"/>
      <c r="C16" s="49"/>
      <c r="D16" s="69"/>
      <c r="E16" s="96"/>
    </row>
    <row r="17" spans="2:5" ht="17.100000000000001" customHeight="1" x14ac:dyDescent="0.25">
      <c r="B17" s="93"/>
      <c r="C17" s="49" t="s">
        <v>202</v>
      </c>
      <c r="D17" s="297" t="s">
        <v>201</v>
      </c>
      <c r="E17" s="96"/>
    </row>
    <row r="18" spans="2:5" ht="17.100000000000001" customHeight="1" x14ac:dyDescent="0.25">
      <c r="B18" s="93"/>
      <c r="C18" s="49" t="s">
        <v>62</v>
      </c>
      <c r="D18" s="68" t="e">
        <f ca="1">Codes!G26</f>
        <v>#N/A</v>
      </c>
      <c r="E18" s="96"/>
    </row>
    <row r="19" spans="2:5" ht="17.100000000000001" customHeight="1" x14ac:dyDescent="0.25">
      <c r="B19" s="93"/>
      <c r="C19" s="62" t="s">
        <v>61</v>
      </c>
      <c r="D19" s="70"/>
      <c r="E19" s="96"/>
    </row>
    <row r="20" spans="2:5" ht="17.100000000000001" customHeight="1" x14ac:dyDescent="0.25">
      <c r="B20" s="93"/>
      <c r="C20" s="51" t="str">
        <f>Calculator!C23</f>
        <v>Lump sum payment amount</v>
      </c>
      <c r="D20" s="71">
        <f>Calculator!D23</f>
        <v>0</v>
      </c>
      <c r="E20" s="96"/>
    </row>
    <row r="21" spans="2:5" ht="17.100000000000001" customHeight="1" x14ac:dyDescent="0.25">
      <c r="B21" s="93"/>
      <c r="C21" s="59" t="str">
        <f>Calculator!C25</f>
        <v>It will buy me this much added pension</v>
      </c>
      <c r="D21" s="72" t="str">
        <f ca="1">Calculator!D25</f>
        <v/>
      </c>
      <c r="E21" s="96"/>
    </row>
    <row r="22" spans="2:5" ht="6.75" customHeight="1" thickBot="1" x14ac:dyDescent="0.3">
      <c r="B22" s="94"/>
      <c r="C22" s="89"/>
      <c r="D22" s="98"/>
      <c r="E22" s="99"/>
    </row>
  </sheetData>
  <sheetProtection password="970B" sheet="1" selectLockedCells="1"/>
  <mergeCells count="1">
    <mergeCell ref="C4:D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E22"/>
  <sheetViews>
    <sheetView showRowColHeaders="0" zoomScale="115" zoomScaleNormal="115" workbookViewId="0">
      <selection activeCell="C21" sqref="C21"/>
    </sheetView>
  </sheetViews>
  <sheetFormatPr defaultColWidth="9.109375" defaultRowHeight="13.2" x14ac:dyDescent="0.25"/>
  <cols>
    <col min="1" max="1" width="9.109375" style="91"/>
    <col min="2" max="2" width="1.33203125" style="91" customWidth="1"/>
    <col min="3" max="3" width="63" style="81" customWidth="1"/>
    <col min="4" max="4" width="21.44140625" style="81" customWidth="1"/>
    <col min="5" max="5" width="1.33203125" style="91" customWidth="1"/>
    <col min="6" max="16384" width="9.109375" style="91"/>
  </cols>
  <sheetData>
    <row r="1" spans="2:5" ht="12.75" customHeight="1" thickBot="1" x14ac:dyDescent="0.3"/>
    <row r="2" spans="2:5" ht="6.75" customHeight="1" x14ac:dyDescent="0.25">
      <c r="B2" s="92"/>
      <c r="C2" s="83"/>
      <c r="D2" s="83"/>
      <c r="E2" s="95"/>
    </row>
    <row r="3" spans="2:5" ht="51.75" customHeight="1" x14ac:dyDescent="0.25">
      <c r="B3" s="93"/>
      <c r="C3" s="87"/>
      <c r="D3" s="87"/>
      <c r="E3" s="96"/>
    </row>
    <row r="4" spans="2:5" ht="34.5" customHeight="1" x14ac:dyDescent="0.25">
      <c r="B4" s="93"/>
      <c r="C4" s="348" t="s">
        <v>213</v>
      </c>
      <c r="D4" s="348"/>
      <c r="E4" s="96"/>
    </row>
    <row r="5" spans="2:5" ht="17.100000000000001" customHeight="1" x14ac:dyDescent="0.25">
      <c r="B5" s="93"/>
      <c r="C5" s="47" t="str">
        <f>Calculator!C3</f>
        <v>Member Details</v>
      </c>
      <c r="D5" s="64"/>
      <c r="E5" s="96"/>
    </row>
    <row r="6" spans="2:5" ht="17.100000000000001" customHeight="1" x14ac:dyDescent="0.25">
      <c r="B6" s="93"/>
      <c r="C6" s="49" t="str">
        <f>Calculator!C15</f>
        <v xml:space="preserve">Date of Birth </v>
      </c>
      <c r="D6" s="65">
        <f>Calculator!D15</f>
        <v>0</v>
      </c>
      <c r="E6" s="96"/>
    </row>
    <row r="7" spans="2:5" ht="17.100000000000001" customHeight="1" x14ac:dyDescent="0.25">
      <c r="B7" s="93"/>
      <c r="C7" s="49" t="s">
        <v>100</v>
      </c>
      <c r="D7" s="50">
        <f>Codes!B3</f>
        <v>21915</v>
      </c>
      <c r="E7" s="96"/>
    </row>
    <row r="8" spans="2:5" ht="17.100000000000001" customHeight="1" x14ac:dyDescent="0.25">
      <c r="B8" s="93"/>
      <c r="C8" s="55" t="str">
        <f>Calculator!C21</f>
        <v xml:space="preserve">Calculation date (if blank, will use today's date) </v>
      </c>
      <c r="D8" s="66">
        <f ca="1">Codes!G14</f>
        <v>43810</v>
      </c>
      <c r="E8" s="96"/>
    </row>
    <row r="9" spans="2:5" ht="17.100000000000001" customHeight="1" x14ac:dyDescent="0.25">
      <c r="B9" s="93"/>
      <c r="C9" s="87"/>
      <c r="D9" s="97"/>
      <c r="E9" s="96"/>
    </row>
    <row r="10" spans="2:5" ht="17.100000000000001" customHeight="1" x14ac:dyDescent="0.25">
      <c r="B10" s="93"/>
      <c r="C10" s="62" t="s">
        <v>54</v>
      </c>
      <c r="D10" s="67"/>
      <c r="E10" s="96"/>
    </row>
    <row r="11" spans="2:5" ht="17.100000000000001" customHeight="1" x14ac:dyDescent="0.25">
      <c r="B11" s="93"/>
      <c r="C11" s="49" t="s">
        <v>180</v>
      </c>
      <c r="D11" s="68">
        <f>Codes!G31</f>
        <v>0</v>
      </c>
      <c r="E11" s="96"/>
    </row>
    <row r="12" spans="2:5" ht="17.100000000000001" customHeight="1" x14ac:dyDescent="0.25">
      <c r="B12" s="93"/>
      <c r="C12" s="49" t="s">
        <v>72</v>
      </c>
      <c r="D12" s="69">
        <f ca="1">Codes!G16</f>
        <v>119</v>
      </c>
      <c r="E12" s="96"/>
    </row>
    <row r="13" spans="2:5" ht="17.100000000000001" customHeight="1" x14ac:dyDescent="0.25">
      <c r="B13" s="93"/>
      <c r="C13" s="49" t="s">
        <v>71</v>
      </c>
      <c r="D13" s="69" t="e">
        <f ca="1">Codes!G32</f>
        <v>#N/A</v>
      </c>
      <c r="E13" s="96"/>
    </row>
    <row r="14" spans="2:5" ht="17.100000000000001" customHeight="1" x14ac:dyDescent="0.25">
      <c r="B14" s="93"/>
      <c r="C14" s="63" t="s">
        <v>73</v>
      </c>
      <c r="D14" s="69" t="str">
        <f ca="1">Codes!G17</f>
        <v/>
      </c>
      <c r="E14" s="96"/>
    </row>
    <row r="15" spans="2:5" ht="17.100000000000001" customHeight="1" x14ac:dyDescent="0.25">
      <c r="B15" s="93"/>
      <c r="C15" s="49" t="s">
        <v>216</v>
      </c>
      <c r="D15" s="69" t="e">
        <f ca="1">Codes!G33</f>
        <v>#N/A</v>
      </c>
      <c r="E15" s="96"/>
    </row>
    <row r="16" spans="2:5" ht="17.100000000000001" customHeight="1" x14ac:dyDescent="0.25">
      <c r="B16" s="93"/>
      <c r="C16" s="49"/>
      <c r="D16" s="69"/>
      <c r="E16" s="96"/>
    </row>
    <row r="17" spans="2:5" ht="17.100000000000001" customHeight="1" x14ac:dyDescent="0.25">
      <c r="B17" s="93"/>
      <c r="C17" s="49" t="str">
        <f>Codes!F35</f>
        <v>LS =</v>
      </c>
      <c r="D17" s="69" t="s">
        <v>217</v>
      </c>
      <c r="E17" s="96"/>
    </row>
    <row r="18" spans="2:5" ht="17.100000000000001" customHeight="1" x14ac:dyDescent="0.25">
      <c r="B18" s="93"/>
      <c r="C18" s="55" t="str">
        <f>Codes!F36</f>
        <v>=</v>
      </c>
      <c r="D18" s="73" t="e">
        <f ca="1">Codes!G36</f>
        <v>#N/A</v>
      </c>
      <c r="E18" s="96"/>
    </row>
    <row r="19" spans="2:5" ht="17.100000000000001" customHeight="1" x14ac:dyDescent="0.25">
      <c r="B19" s="93"/>
      <c r="C19" s="62" t="s">
        <v>61</v>
      </c>
      <c r="D19" s="70"/>
      <c r="E19" s="96"/>
    </row>
    <row r="20" spans="2:5" ht="17.100000000000001" customHeight="1" x14ac:dyDescent="0.25">
      <c r="B20" s="93"/>
      <c r="C20" s="51" t="str">
        <f>Calculator!C27</f>
        <v xml:space="preserve">If I want to buy this much added pension </v>
      </c>
      <c r="D20" s="71">
        <f>Calculator!D27</f>
        <v>0</v>
      </c>
      <c r="E20" s="96"/>
    </row>
    <row r="21" spans="2:5" ht="17.100000000000001" customHeight="1" x14ac:dyDescent="0.25">
      <c r="B21" s="93"/>
      <c r="C21" s="59" t="str">
        <f>Calculator!C29</f>
        <v>I will need to pay a lump sum of</v>
      </c>
      <c r="D21" s="72" t="str">
        <f ca="1">Calculator!D29</f>
        <v/>
      </c>
      <c r="E21" s="96"/>
    </row>
    <row r="22" spans="2:5" ht="6.75" customHeight="1" thickBot="1" x14ac:dyDescent="0.3">
      <c r="B22" s="94"/>
      <c r="C22" s="89"/>
      <c r="D22" s="98"/>
      <c r="E22" s="99"/>
    </row>
  </sheetData>
  <sheetProtection password="970B" sheet="1" selectLockedCells="1"/>
  <mergeCells count="1">
    <mergeCell ref="C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76"/>
  <sheetViews>
    <sheetView zoomScaleNormal="100" zoomScaleSheetLayoutView="115" workbookViewId="0">
      <selection activeCell="R1" sqref="R1"/>
    </sheetView>
  </sheetViews>
  <sheetFormatPr defaultColWidth="9.109375" defaultRowHeight="13.2" x14ac:dyDescent="0.25"/>
  <cols>
    <col min="1" max="1" width="9.109375" style="81"/>
    <col min="2" max="2" width="1.33203125" style="81" customWidth="1"/>
    <col min="3" max="3" width="57.5546875" style="81" customWidth="1"/>
    <col min="4" max="4" width="21.109375" style="81" customWidth="1"/>
    <col min="5" max="5" width="20.5546875" style="81" customWidth="1"/>
    <col min="6" max="6" width="19.44140625" style="81" customWidth="1"/>
    <col min="7" max="7" width="1.33203125" style="81" customWidth="1"/>
    <col min="8" max="16384" width="9.109375" style="81"/>
  </cols>
  <sheetData>
    <row r="1" spans="2:7" ht="58.5" customHeight="1" thickBot="1" x14ac:dyDescent="0.3"/>
    <row r="2" spans="2:7" ht="6.75" customHeight="1" x14ac:dyDescent="0.25">
      <c r="B2" s="82"/>
      <c r="C2" s="83"/>
      <c r="D2" s="83"/>
      <c r="E2" s="83"/>
      <c r="F2" s="83"/>
      <c r="G2" s="84"/>
    </row>
    <row r="3" spans="2:7" ht="49.5" customHeight="1" x14ac:dyDescent="0.25">
      <c r="B3" s="85"/>
      <c r="C3" s="87"/>
      <c r="D3" s="87"/>
      <c r="E3" s="87"/>
      <c r="F3" s="87"/>
      <c r="G3" s="86"/>
    </row>
    <row r="4" spans="2:7" ht="36" customHeight="1" x14ac:dyDescent="0.25">
      <c r="B4" s="85"/>
      <c r="C4" s="348" t="s">
        <v>213</v>
      </c>
      <c r="D4" s="348"/>
      <c r="E4" s="360"/>
      <c r="F4" s="119"/>
      <c r="G4" s="86"/>
    </row>
    <row r="5" spans="2:7" ht="20.100000000000001" customHeight="1" x14ac:dyDescent="0.25">
      <c r="B5" s="85"/>
      <c r="C5" s="47" t="str">
        <f>Calculator!C3</f>
        <v>Member Details</v>
      </c>
      <c r="D5" s="117"/>
      <c r="E5" s="128"/>
      <c r="F5" s="48"/>
      <c r="G5" s="86"/>
    </row>
    <row r="6" spans="2:7" ht="20.100000000000001" customHeight="1" x14ac:dyDescent="0.25">
      <c r="B6" s="85"/>
      <c r="C6" s="352" t="str">
        <f>Calculator!C15</f>
        <v xml:space="preserve">Date of Birth </v>
      </c>
      <c r="D6" s="353"/>
      <c r="E6" s="120">
        <f>Calculator!D15</f>
        <v>0</v>
      </c>
      <c r="F6" s="57"/>
      <c r="G6" s="86"/>
    </row>
    <row r="7" spans="2:7" ht="20.100000000000001" customHeight="1" x14ac:dyDescent="0.25">
      <c r="B7" s="85"/>
      <c r="C7" s="352" t="s">
        <v>56</v>
      </c>
      <c r="D7" s="353"/>
      <c r="E7" s="120">
        <f>Codes!B3</f>
        <v>21915</v>
      </c>
      <c r="F7" s="57"/>
      <c r="G7" s="86"/>
    </row>
    <row r="8" spans="2:7" ht="20.100000000000001" customHeight="1" x14ac:dyDescent="0.25">
      <c r="B8" s="85"/>
      <c r="C8" s="352" t="str">
        <f>Calculator!C33</f>
        <v>Start date of periodic payments (if blank, will use today's date)</v>
      </c>
      <c r="D8" s="353"/>
      <c r="E8" s="120">
        <f ca="1">Codes!K15</f>
        <v>43810</v>
      </c>
      <c r="F8" s="57"/>
      <c r="G8" s="86"/>
    </row>
    <row r="9" spans="2:7" ht="30.75" customHeight="1" x14ac:dyDescent="0.25">
      <c r="B9" s="85"/>
      <c r="C9" s="354" t="str">
        <f ca="1">Calculator!C35</f>
        <v>End date of periodic contributions (if blank, will quote to end of scheme year 31 March 2020)</v>
      </c>
      <c r="D9" s="355"/>
      <c r="E9" s="129">
        <f ca="1">Codes!K19</f>
        <v>43921</v>
      </c>
      <c r="F9" s="75"/>
      <c r="G9" s="86"/>
    </row>
    <row r="10" spans="2:7" ht="20.100000000000001" customHeight="1" x14ac:dyDescent="0.25">
      <c r="B10" s="85"/>
      <c r="C10" s="87"/>
      <c r="D10" s="87"/>
      <c r="E10" s="87"/>
      <c r="F10" s="87"/>
      <c r="G10" s="86"/>
    </row>
    <row r="11" spans="2:7" ht="20.100000000000001" customHeight="1" x14ac:dyDescent="0.25">
      <c r="B11" s="85"/>
      <c r="C11" s="61" t="s">
        <v>189</v>
      </c>
      <c r="D11" s="118"/>
      <c r="E11" s="125"/>
      <c r="F11" s="58"/>
      <c r="G11" s="86"/>
    </row>
    <row r="12" spans="2:7" ht="20.100000000000001" customHeight="1" x14ac:dyDescent="0.25">
      <c r="B12" s="85"/>
      <c r="C12" s="352" t="s">
        <v>63</v>
      </c>
      <c r="D12" s="353"/>
      <c r="E12" s="121">
        <f>Calculator!D37</f>
        <v>0</v>
      </c>
      <c r="F12" s="54"/>
      <c r="G12" s="86"/>
    </row>
    <row r="13" spans="2:7" ht="20.100000000000001" customHeight="1" x14ac:dyDescent="0.25">
      <c r="B13" s="85"/>
      <c r="C13" s="352" t="s">
        <v>132</v>
      </c>
      <c r="D13" s="353"/>
      <c r="E13" s="121" t="str">
        <f>Codes!Z8</f>
        <v/>
      </c>
      <c r="F13" s="54"/>
      <c r="G13" s="86"/>
    </row>
    <row r="14" spans="2:7" ht="20.100000000000001" customHeight="1" x14ac:dyDescent="0.25">
      <c r="B14" s="85"/>
      <c r="C14" s="352" t="s">
        <v>133</v>
      </c>
      <c r="D14" s="353"/>
      <c r="E14" s="123">
        <f>Codes!V8</f>
        <v>0</v>
      </c>
      <c r="F14" s="53"/>
      <c r="G14" s="86"/>
    </row>
    <row r="15" spans="2:7" ht="20.100000000000001" customHeight="1" x14ac:dyDescent="0.25">
      <c r="B15" s="85"/>
      <c r="C15" s="352" t="s">
        <v>136</v>
      </c>
      <c r="D15" s="353"/>
      <c r="E15" s="123" t="e">
        <f>Codes!W8</f>
        <v>#N/A</v>
      </c>
      <c r="F15" s="53"/>
      <c r="G15" s="86"/>
    </row>
    <row r="16" spans="2:7" ht="20.100000000000001" customHeight="1" x14ac:dyDescent="0.25">
      <c r="B16" s="85"/>
      <c r="C16" s="352" t="s">
        <v>75</v>
      </c>
      <c r="D16" s="353"/>
      <c r="E16" s="123" t="e">
        <f ca="1">Codes!X8</f>
        <v>#NUM!</v>
      </c>
      <c r="F16" s="53"/>
      <c r="G16" s="86"/>
    </row>
    <row r="17" spans="2:8" ht="20.100000000000001" customHeight="1" x14ac:dyDescent="0.25">
      <c r="B17" s="85"/>
      <c r="C17" s="352" t="s">
        <v>214</v>
      </c>
      <c r="D17" s="353"/>
      <c r="E17" s="123" t="e">
        <f ca="1">Codes!Y8</f>
        <v>#NUM!</v>
      </c>
      <c r="F17" s="53"/>
      <c r="G17" s="86"/>
    </row>
    <row r="18" spans="2:8" ht="20.100000000000001" customHeight="1" x14ac:dyDescent="0.25">
      <c r="B18" s="85"/>
      <c r="C18" s="352" t="s">
        <v>183</v>
      </c>
      <c r="D18" s="353"/>
      <c r="E18" s="356" t="s">
        <v>134</v>
      </c>
      <c r="F18" s="357"/>
      <c r="G18" s="86"/>
    </row>
    <row r="19" spans="2:8" ht="20.100000000000001" customHeight="1" x14ac:dyDescent="0.25">
      <c r="B19" s="85"/>
      <c r="C19" s="354" t="s">
        <v>33</v>
      </c>
      <c r="D19" s="355"/>
      <c r="E19" s="126" t="str">
        <f>Codes!AA8</f>
        <v/>
      </c>
      <c r="F19" s="56"/>
      <c r="G19" s="86"/>
    </row>
    <row r="20" spans="2:8" ht="20.100000000000001" customHeight="1" x14ac:dyDescent="0.25">
      <c r="B20" s="85"/>
      <c r="C20" s="280"/>
      <c r="D20" s="280"/>
      <c r="E20" s="121"/>
      <c r="F20" s="121"/>
      <c r="G20" s="86"/>
    </row>
    <row r="21" spans="2:8" ht="7.5" customHeight="1" x14ac:dyDescent="0.25">
      <c r="B21" s="85"/>
      <c r="C21" s="281"/>
      <c r="D21" s="281"/>
      <c r="E21" s="126"/>
      <c r="F21" s="126"/>
      <c r="G21" s="86"/>
    </row>
    <row r="22" spans="2:8" ht="20.100000000000001" customHeight="1" x14ac:dyDescent="0.25">
      <c r="B22" s="85"/>
      <c r="C22" s="61" t="s">
        <v>61</v>
      </c>
      <c r="D22" s="118"/>
      <c r="E22" s="125"/>
      <c r="F22" s="58"/>
      <c r="G22" s="86"/>
    </row>
    <row r="23" spans="2:8" ht="26.25" customHeight="1" x14ac:dyDescent="0.25">
      <c r="B23" s="85"/>
      <c r="C23" s="358" t="s">
        <v>97</v>
      </c>
      <c r="D23" s="359"/>
      <c r="E23" s="143">
        <f>Calculator!D37</f>
        <v>0</v>
      </c>
      <c r="F23" s="116"/>
      <c r="G23" s="86"/>
    </row>
    <row r="24" spans="2:8" ht="48" customHeight="1" x14ac:dyDescent="0.25">
      <c r="B24" s="85"/>
      <c r="C24" s="51" t="s">
        <v>94</v>
      </c>
      <c r="D24" s="135" t="s">
        <v>96</v>
      </c>
      <c r="E24" s="130" t="s">
        <v>95</v>
      </c>
      <c r="F24" s="140" t="s">
        <v>99</v>
      </c>
      <c r="G24" s="86"/>
    </row>
    <row r="25" spans="2:8" ht="20.100000000000001" customHeight="1" x14ac:dyDescent="0.25">
      <c r="B25" s="85"/>
      <c r="C25" s="144" t="str">
        <f>Codes!M8</f>
        <v/>
      </c>
      <c r="D25" s="136" t="str">
        <f>Codes!U8</f>
        <v/>
      </c>
      <c r="E25" s="142" t="str">
        <f>Codes!AA8</f>
        <v/>
      </c>
      <c r="F25" s="145" t="str">
        <f>IF(E25="","",E25)</f>
        <v/>
      </c>
      <c r="G25" s="86"/>
      <c r="H25" s="101"/>
    </row>
    <row r="26" spans="2:8" ht="20.100000000000001" customHeight="1" x14ac:dyDescent="0.25">
      <c r="B26" s="85"/>
      <c r="C26" s="144" t="str">
        <f ca="1">Codes!M9</f>
        <v/>
      </c>
      <c r="D26" s="136" t="str">
        <f ca="1">Codes!U9</f>
        <v/>
      </c>
      <c r="E26" s="142" t="str">
        <f ca="1">Codes!AA9</f>
        <v/>
      </c>
      <c r="F26" s="145" t="str">
        <f ca="1">IF(E26="","",E26+F25)</f>
        <v/>
      </c>
      <c r="G26" s="86"/>
      <c r="H26" s="101"/>
    </row>
    <row r="27" spans="2:8" ht="20.100000000000001" customHeight="1" x14ac:dyDescent="0.25">
      <c r="B27" s="85"/>
      <c r="C27" s="144" t="str">
        <f ca="1">Codes!M10</f>
        <v/>
      </c>
      <c r="D27" s="136" t="str">
        <f ca="1">Codes!U10</f>
        <v/>
      </c>
      <c r="E27" s="142" t="str">
        <f ca="1">Codes!AA10</f>
        <v/>
      </c>
      <c r="F27" s="145" t="str">
        <f ca="1">IF(E27="","",E27+F26)</f>
        <v/>
      </c>
      <c r="G27" s="86"/>
      <c r="H27" s="101"/>
    </row>
    <row r="28" spans="2:8" ht="20.100000000000001" customHeight="1" x14ac:dyDescent="0.25">
      <c r="B28" s="85"/>
      <c r="C28" s="144" t="str">
        <f ca="1">Codes!M11</f>
        <v/>
      </c>
      <c r="D28" s="136" t="str">
        <f ca="1">Codes!U11</f>
        <v/>
      </c>
      <c r="E28" s="142" t="str">
        <f ca="1">Codes!AA11</f>
        <v/>
      </c>
      <c r="F28" s="145" t="str">
        <f ca="1">IF(E28="","",E28+F27)</f>
        <v/>
      </c>
      <c r="G28" s="86"/>
      <c r="H28" s="101"/>
    </row>
    <row r="29" spans="2:8" ht="20.100000000000001" customHeight="1" x14ac:dyDescent="0.25">
      <c r="B29" s="85"/>
      <c r="C29" s="144" t="str">
        <f ca="1">Codes!M12</f>
        <v/>
      </c>
      <c r="D29" s="136" t="str">
        <f ca="1">Codes!U12</f>
        <v/>
      </c>
      <c r="E29" s="142" t="str">
        <f ca="1">Codes!AA12</f>
        <v/>
      </c>
      <c r="F29" s="145" t="str">
        <f ca="1">IF(E29="","",E29+F28)</f>
        <v/>
      </c>
      <c r="G29" s="86"/>
      <c r="H29" s="101"/>
    </row>
    <row r="30" spans="2:8" ht="20.100000000000001" customHeight="1" x14ac:dyDescent="0.25">
      <c r="B30" s="85"/>
      <c r="C30" s="144" t="str">
        <f ca="1">Codes!M13</f>
        <v/>
      </c>
      <c r="D30" s="136" t="str">
        <f ca="1">Codes!U13</f>
        <v/>
      </c>
      <c r="E30" s="142" t="str">
        <f ca="1">Codes!AA13</f>
        <v/>
      </c>
      <c r="F30" s="145" t="str">
        <f t="shared" ref="F30:F35" ca="1" si="0">IF(E30="","",E30+F29)</f>
        <v/>
      </c>
      <c r="G30" s="86"/>
      <c r="H30" s="101"/>
    </row>
    <row r="31" spans="2:8" ht="20.100000000000001" customHeight="1" x14ac:dyDescent="0.25">
      <c r="B31" s="85"/>
      <c r="C31" s="144" t="str">
        <f ca="1">Codes!M14</f>
        <v/>
      </c>
      <c r="D31" s="136" t="str">
        <f ca="1">Codes!U14</f>
        <v/>
      </c>
      <c r="E31" s="142" t="str">
        <f ca="1">Codes!AA14</f>
        <v/>
      </c>
      <c r="F31" s="145" t="str">
        <f t="shared" ca="1" si="0"/>
        <v/>
      </c>
      <c r="G31" s="86"/>
      <c r="H31" s="101"/>
    </row>
    <row r="32" spans="2:8" ht="20.100000000000001" customHeight="1" x14ac:dyDescent="0.25">
      <c r="B32" s="85"/>
      <c r="C32" s="144" t="str">
        <f ca="1">Codes!M15</f>
        <v/>
      </c>
      <c r="D32" s="136" t="str">
        <f ca="1">Codes!U15</f>
        <v/>
      </c>
      <c r="E32" s="142" t="str">
        <f ca="1">Codes!AA15</f>
        <v/>
      </c>
      <c r="F32" s="145" t="str">
        <f t="shared" ca="1" si="0"/>
        <v/>
      </c>
      <c r="G32" s="86"/>
      <c r="H32" s="101"/>
    </row>
    <row r="33" spans="2:8" ht="19.5" customHeight="1" x14ac:dyDescent="0.25">
      <c r="B33" s="85"/>
      <c r="C33" s="144" t="str">
        <f ca="1">Codes!M16</f>
        <v/>
      </c>
      <c r="D33" s="136" t="str">
        <f ca="1">Codes!U16</f>
        <v/>
      </c>
      <c r="E33" s="142" t="str">
        <f ca="1">Codes!AA16</f>
        <v/>
      </c>
      <c r="F33" s="145" t="str">
        <f t="shared" ca="1" si="0"/>
        <v/>
      </c>
      <c r="G33" s="86"/>
      <c r="H33" s="101"/>
    </row>
    <row r="34" spans="2:8" ht="19.5" customHeight="1" x14ac:dyDescent="0.25">
      <c r="B34" s="85"/>
      <c r="C34" s="144" t="str">
        <f ca="1">Codes!M17</f>
        <v/>
      </c>
      <c r="D34" s="136" t="str">
        <f ca="1">Codes!U17</f>
        <v/>
      </c>
      <c r="E34" s="142" t="str">
        <f ca="1">Codes!AA17</f>
        <v/>
      </c>
      <c r="F34" s="145" t="str">
        <f t="shared" ca="1" si="0"/>
        <v/>
      </c>
      <c r="G34" s="86"/>
      <c r="H34" s="101"/>
    </row>
    <row r="35" spans="2:8" ht="19.5" customHeight="1" x14ac:dyDescent="0.25">
      <c r="B35" s="85"/>
      <c r="C35" s="144" t="str">
        <f ca="1">Codes!M18</f>
        <v/>
      </c>
      <c r="D35" s="136" t="str">
        <f ca="1">Codes!U18</f>
        <v/>
      </c>
      <c r="E35" s="142" t="str">
        <f ca="1">Codes!AA18</f>
        <v/>
      </c>
      <c r="F35" s="145" t="str">
        <f t="shared" ca="1" si="0"/>
        <v/>
      </c>
      <c r="G35" s="86"/>
      <c r="H35" s="101"/>
    </row>
    <row r="36" spans="2:8" ht="19.5" customHeight="1" x14ac:dyDescent="0.25">
      <c r="B36" s="85"/>
      <c r="C36" s="144" t="str">
        <f ca="1">Codes!M19</f>
        <v/>
      </c>
      <c r="D36" s="136" t="str">
        <f ca="1">Codes!U19</f>
        <v/>
      </c>
      <c r="E36" s="142" t="str">
        <f ca="1">Codes!AA19</f>
        <v/>
      </c>
      <c r="F36" s="145" t="str">
        <f t="shared" ref="F36:F42" ca="1" si="1">IF(E36="","",E36+F35)</f>
        <v/>
      </c>
      <c r="G36" s="86"/>
      <c r="H36" s="101"/>
    </row>
    <row r="37" spans="2:8" ht="19.5" customHeight="1" x14ac:dyDescent="0.25">
      <c r="B37" s="85"/>
      <c r="C37" s="144" t="str">
        <f ca="1">Codes!M20</f>
        <v/>
      </c>
      <c r="D37" s="136" t="str">
        <f ca="1">Codes!U20</f>
        <v/>
      </c>
      <c r="E37" s="142" t="str">
        <f ca="1">Codes!AA20</f>
        <v/>
      </c>
      <c r="F37" s="145" t="str">
        <f t="shared" ca="1" si="1"/>
        <v/>
      </c>
      <c r="G37" s="86"/>
      <c r="H37" s="101"/>
    </row>
    <row r="38" spans="2:8" ht="19.5" customHeight="1" x14ac:dyDescent="0.25">
      <c r="B38" s="85"/>
      <c r="C38" s="144" t="str">
        <f ca="1">Codes!M21</f>
        <v/>
      </c>
      <c r="D38" s="136" t="str">
        <f ca="1">Codes!U21</f>
        <v/>
      </c>
      <c r="E38" s="142" t="str">
        <f ca="1">Codes!AA21</f>
        <v/>
      </c>
      <c r="F38" s="145" t="str">
        <f t="shared" ca="1" si="1"/>
        <v/>
      </c>
      <c r="G38" s="86"/>
      <c r="H38" s="101"/>
    </row>
    <row r="39" spans="2:8" ht="19.5" customHeight="1" x14ac:dyDescent="0.25">
      <c r="B39" s="85"/>
      <c r="C39" s="144" t="str">
        <f ca="1">Codes!M22</f>
        <v/>
      </c>
      <c r="D39" s="136" t="str">
        <f ca="1">Codes!U22</f>
        <v/>
      </c>
      <c r="E39" s="142" t="str">
        <f ca="1">Codes!AA22</f>
        <v/>
      </c>
      <c r="F39" s="145" t="str">
        <f t="shared" ca="1" si="1"/>
        <v/>
      </c>
      <c r="G39" s="86"/>
      <c r="H39" s="101"/>
    </row>
    <row r="40" spans="2:8" ht="19.5" customHeight="1" x14ac:dyDescent="0.25">
      <c r="B40" s="85"/>
      <c r="C40" s="144" t="str">
        <f ca="1">Codes!M23</f>
        <v/>
      </c>
      <c r="D40" s="136" t="str">
        <f ca="1">Codes!U23</f>
        <v/>
      </c>
      <c r="E40" s="142" t="str">
        <f ca="1">Codes!AA23</f>
        <v/>
      </c>
      <c r="F40" s="145" t="str">
        <f t="shared" ca="1" si="1"/>
        <v/>
      </c>
      <c r="G40" s="86"/>
      <c r="H40" s="101"/>
    </row>
    <row r="41" spans="2:8" ht="19.5" customHeight="1" x14ac:dyDescent="0.25">
      <c r="B41" s="85"/>
      <c r="C41" s="144" t="str">
        <f ca="1">Codes!M24</f>
        <v/>
      </c>
      <c r="D41" s="136" t="str">
        <f ca="1">Codes!U24</f>
        <v/>
      </c>
      <c r="E41" s="142" t="str">
        <f ca="1">Codes!AA24</f>
        <v/>
      </c>
      <c r="F41" s="145" t="str">
        <f t="shared" ca="1" si="1"/>
        <v/>
      </c>
      <c r="G41" s="86"/>
      <c r="H41" s="101"/>
    </row>
    <row r="42" spans="2:8" ht="19.5" customHeight="1" x14ac:dyDescent="0.25">
      <c r="B42" s="85"/>
      <c r="C42" s="144" t="str">
        <f ca="1">Codes!M25</f>
        <v/>
      </c>
      <c r="D42" s="136" t="str">
        <f ca="1">Codes!U25</f>
        <v/>
      </c>
      <c r="E42" s="142" t="str">
        <f ca="1">Codes!AA25</f>
        <v/>
      </c>
      <c r="F42" s="145" t="str">
        <f t="shared" ca="1" si="1"/>
        <v/>
      </c>
      <c r="G42" s="86"/>
      <c r="H42" s="101"/>
    </row>
    <row r="43" spans="2:8" ht="19.5" customHeight="1" x14ac:dyDescent="0.25">
      <c r="B43" s="85"/>
      <c r="C43" s="144" t="str">
        <f ca="1">Codes!M26</f>
        <v/>
      </c>
      <c r="D43" s="136" t="str">
        <f ca="1">Codes!U26</f>
        <v/>
      </c>
      <c r="E43" s="142" t="str">
        <f ca="1">Codes!AA26</f>
        <v/>
      </c>
      <c r="F43" s="145" t="str">
        <f t="shared" ref="F43:F48" ca="1" si="2">IF(E43="","",E43+F42)</f>
        <v/>
      </c>
      <c r="G43" s="86"/>
      <c r="H43" s="101"/>
    </row>
    <row r="44" spans="2:8" ht="19.5" customHeight="1" x14ac:dyDescent="0.25">
      <c r="B44" s="85"/>
      <c r="C44" s="144" t="str">
        <f ca="1">Codes!M27</f>
        <v/>
      </c>
      <c r="D44" s="136" t="str">
        <f ca="1">Codes!U27</f>
        <v/>
      </c>
      <c r="E44" s="142" t="str">
        <f ca="1">Codes!AA27</f>
        <v/>
      </c>
      <c r="F44" s="145" t="str">
        <f t="shared" ca="1" si="2"/>
        <v/>
      </c>
      <c r="G44" s="86"/>
      <c r="H44" s="101"/>
    </row>
    <row r="45" spans="2:8" ht="19.5" customHeight="1" x14ac:dyDescent="0.25">
      <c r="B45" s="85"/>
      <c r="C45" s="144" t="str">
        <f ca="1">Codes!M28</f>
        <v/>
      </c>
      <c r="D45" s="136" t="str">
        <f ca="1">Codes!U28</f>
        <v/>
      </c>
      <c r="E45" s="142" t="str">
        <f ca="1">Codes!AA28</f>
        <v/>
      </c>
      <c r="F45" s="145" t="str">
        <f t="shared" ca="1" si="2"/>
        <v/>
      </c>
      <c r="G45" s="86"/>
      <c r="H45" s="101"/>
    </row>
    <row r="46" spans="2:8" ht="19.5" customHeight="1" x14ac:dyDescent="0.25">
      <c r="B46" s="85"/>
      <c r="C46" s="144" t="str">
        <f ca="1">Codes!M29</f>
        <v/>
      </c>
      <c r="D46" s="136" t="str">
        <f ca="1">Codes!U29</f>
        <v/>
      </c>
      <c r="E46" s="142" t="str">
        <f ca="1">Codes!AA29</f>
        <v/>
      </c>
      <c r="F46" s="145" t="str">
        <f t="shared" ca="1" si="2"/>
        <v/>
      </c>
      <c r="G46" s="86"/>
      <c r="H46" s="101"/>
    </row>
    <row r="47" spans="2:8" ht="19.5" customHeight="1" x14ac:dyDescent="0.25">
      <c r="B47" s="85"/>
      <c r="C47" s="144" t="str">
        <f ca="1">Codes!M30</f>
        <v/>
      </c>
      <c r="D47" s="136" t="str">
        <f ca="1">Codes!U30</f>
        <v/>
      </c>
      <c r="E47" s="142" t="str">
        <f ca="1">Codes!AA30</f>
        <v/>
      </c>
      <c r="F47" s="145" t="str">
        <f t="shared" ca="1" si="2"/>
        <v/>
      </c>
      <c r="G47" s="86"/>
      <c r="H47" s="101"/>
    </row>
    <row r="48" spans="2:8" ht="19.5" customHeight="1" x14ac:dyDescent="0.25">
      <c r="B48" s="85"/>
      <c r="C48" s="144" t="str">
        <f ca="1">Codes!M31</f>
        <v/>
      </c>
      <c r="D48" s="136" t="str">
        <f ca="1">Codes!U31</f>
        <v/>
      </c>
      <c r="E48" s="142" t="str">
        <f ca="1">Codes!AA31</f>
        <v/>
      </c>
      <c r="F48" s="145" t="str">
        <f t="shared" ca="1" si="2"/>
        <v/>
      </c>
      <c r="G48" s="86"/>
      <c r="H48" s="101"/>
    </row>
    <row r="49" spans="2:8" ht="19.5" customHeight="1" x14ac:dyDescent="0.25">
      <c r="B49" s="85"/>
      <c r="C49" s="144" t="str">
        <f ca="1">Codes!M32</f>
        <v/>
      </c>
      <c r="D49" s="136" t="str">
        <f ca="1">Codes!U32</f>
        <v/>
      </c>
      <c r="E49" s="142" t="str">
        <f ca="1">Codes!AA32</f>
        <v/>
      </c>
      <c r="F49" s="145" t="str">
        <f t="shared" ref="F49:F56" ca="1" si="3">IF(E49="","",E49+F48)</f>
        <v/>
      </c>
      <c r="G49" s="86"/>
      <c r="H49" s="101"/>
    </row>
    <row r="50" spans="2:8" ht="19.5" customHeight="1" x14ac:dyDescent="0.25">
      <c r="B50" s="85"/>
      <c r="C50" s="144" t="str">
        <f ca="1">Codes!M33</f>
        <v/>
      </c>
      <c r="D50" s="136" t="str">
        <f ca="1">Codes!U33</f>
        <v/>
      </c>
      <c r="E50" s="142" t="str">
        <f ca="1">Codes!AA33</f>
        <v/>
      </c>
      <c r="F50" s="145" t="str">
        <f t="shared" ca="1" si="3"/>
        <v/>
      </c>
      <c r="G50" s="86"/>
      <c r="H50" s="101"/>
    </row>
    <row r="51" spans="2:8" ht="19.5" customHeight="1" x14ac:dyDescent="0.25">
      <c r="B51" s="85"/>
      <c r="C51" s="144" t="str">
        <f ca="1">Codes!M34</f>
        <v/>
      </c>
      <c r="D51" s="136" t="str">
        <f ca="1">Codes!U34</f>
        <v/>
      </c>
      <c r="E51" s="142" t="str">
        <f ca="1">Codes!AA34</f>
        <v/>
      </c>
      <c r="F51" s="145" t="str">
        <f t="shared" ca="1" si="3"/>
        <v/>
      </c>
      <c r="G51" s="86"/>
      <c r="H51" s="101"/>
    </row>
    <row r="52" spans="2:8" ht="19.5" customHeight="1" x14ac:dyDescent="0.25">
      <c r="B52" s="85"/>
      <c r="C52" s="144" t="str">
        <f ca="1">Codes!M35</f>
        <v/>
      </c>
      <c r="D52" s="136" t="str">
        <f ca="1">Codes!U35</f>
        <v/>
      </c>
      <c r="E52" s="142" t="str">
        <f ca="1">Codes!AA35</f>
        <v/>
      </c>
      <c r="F52" s="145" t="str">
        <f t="shared" ca="1" si="3"/>
        <v/>
      </c>
      <c r="G52" s="86"/>
      <c r="H52" s="101"/>
    </row>
    <row r="53" spans="2:8" ht="19.5" customHeight="1" x14ac:dyDescent="0.25">
      <c r="B53" s="85"/>
      <c r="C53" s="144" t="str">
        <f ca="1">Codes!M36</f>
        <v/>
      </c>
      <c r="D53" s="136" t="str">
        <f ca="1">Codes!U36</f>
        <v/>
      </c>
      <c r="E53" s="142" t="str">
        <f ca="1">Codes!AA36</f>
        <v/>
      </c>
      <c r="F53" s="145" t="str">
        <f t="shared" ca="1" si="3"/>
        <v/>
      </c>
      <c r="G53" s="86"/>
      <c r="H53" s="101"/>
    </row>
    <row r="54" spans="2:8" ht="19.5" customHeight="1" x14ac:dyDescent="0.25">
      <c r="B54" s="85"/>
      <c r="C54" s="144" t="str">
        <f ca="1">Codes!M37</f>
        <v/>
      </c>
      <c r="D54" s="136" t="str">
        <f ca="1">Codes!U37</f>
        <v/>
      </c>
      <c r="E54" s="142" t="str">
        <f ca="1">Codes!AA37</f>
        <v/>
      </c>
      <c r="F54" s="145" t="str">
        <f t="shared" ca="1" si="3"/>
        <v/>
      </c>
      <c r="G54" s="86"/>
      <c r="H54" s="101"/>
    </row>
    <row r="55" spans="2:8" ht="19.5" customHeight="1" x14ac:dyDescent="0.25">
      <c r="B55" s="85"/>
      <c r="C55" s="144" t="str">
        <f ca="1">Codes!M38</f>
        <v/>
      </c>
      <c r="D55" s="136" t="str">
        <f ca="1">Codes!U38</f>
        <v/>
      </c>
      <c r="E55" s="142" t="str">
        <f ca="1">Codes!AA38</f>
        <v/>
      </c>
      <c r="F55" s="145" t="str">
        <f t="shared" ca="1" si="3"/>
        <v/>
      </c>
      <c r="G55" s="86"/>
      <c r="H55" s="101"/>
    </row>
    <row r="56" spans="2:8" ht="19.5" customHeight="1" x14ac:dyDescent="0.25">
      <c r="B56" s="85"/>
      <c r="C56" s="144" t="str">
        <f ca="1">Codes!M39</f>
        <v/>
      </c>
      <c r="D56" s="136" t="str">
        <f ca="1">Codes!U39</f>
        <v/>
      </c>
      <c r="E56" s="142" t="str">
        <f ca="1">Codes!AA39</f>
        <v/>
      </c>
      <c r="F56" s="145" t="str">
        <f t="shared" ca="1" si="3"/>
        <v/>
      </c>
      <c r="G56" s="86"/>
      <c r="H56" s="101"/>
    </row>
    <row r="57" spans="2:8" ht="19.5" customHeight="1" x14ac:dyDescent="0.25">
      <c r="B57" s="85"/>
      <c r="C57" s="144" t="str">
        <f ca="1">Codes!M40</f>
        <v/>
      </c>
      <c r="D57" s="136" t="str">
        <f ca="1">Codes!U40</f>
        <v/>
      </c>
      <c r="E57" s="142" t="str">
        <f ca="1">Codes!AA40</f>
        <v/>
      </c>
      <c r="F57" s="145" t="str">
        <f t="shared" ref="F57:F70" ca="1" si="4">IF(E57="","",E57+F56)</f>
        <v/>
      </c>
      <c r="G57" s="86"/>
      <c r="H57" s="101"/>
    </row>
    <row r="58" spans="2:8" ht="19.5" customHeight="1" x14ac:dyDescent="0.25">
      <c r="B58" s="85"/>
      <c r="C58" s="144" t="str">
        <f ca="1">Codes!M41</f>
        <v/>
      </c>
      <c r="D58" s="136" t="str">
        <f ca="1">Codes!U41</f>
        <v/>
      </c>
      <c r="E58" s="142" t="str">
        <f ca="1">Codes!AA41</f>
        <v/>
      </c>
      <c r="F58" s="145" t="str">
        <f t="shared" ca="1" si="4"/>
        <v/>
      </c>
      <c r="G58" s="86"/>
      <c r="H58" s="101"/>
    </row>
    <row r="59" spans="2:8" ht="19.5" customHeight="1" x14ac:dyDescent="0.25">
      <c r="B59" s="85"/>
      <c r="C59" s="144" t="str">
        <f ca="1">Codes!M42</f>
        <v/>
      </c>
      <c r="D59" s="136" t="str">
        <f ca="1">Codes!U42</f>
        <v/>
      </c>
      <c r="E59" s="142" t="str">
        <f ca="1">Codes!AA42</f>
        <v/>
      </c>
      <c r="F59" s="145" t="str">
        <f t="shared" ca="1" si="4"/>
        <v/>
      </c>
      <c r="G59" s="86"/>
      <c r="H59" s="101"/>
    </row>
    <row r="60" spans="2:8" ht="19.5" customHeight="1" x14ac:dyDescent="0.25">
      <c r="B60" s="85"/>
      <c r="C60" s="144" t="str">
        <f ca="1">Codes!M43</f>
        <v/>
      </c>
      <c r="D60" s="136" t="str">
        <f ca="1">Codes!U43</f>
        <v/>
      </c>
      <c r="E60" s="142" t="str">
        <f ca="1">Codes!AA43</f>
        <v/>
      </c>
      <c r="F60" s="145" t="str">
        <f t="shared" ca="1" si="4"/>
        <v/>
      </c>
      <c r="G60" s="86"/>
      <c r="H60" s="101"/>
    </row>
    <row r="61" spans="2:8" ht="19.5" customHeight="1" x14ac:dyDescent="0.25">
      <c r="B61" s="85"/>
      <c r="C61" s="144" t="str">
        <f ca="1">Codes!M44</f>
        <v/>
      </c>
      <c r="D61" s="136" t="str">
        <f ca="1">Codes!U44</f>
        <v/>
      </c>
      <c r="E61" s="142" t="str">
        <f ca="1">Codes!AA44</f>
        <v/>
      </c>
      <c r="F61" s="145" t="str">
        <f t="shared" ca="1" si="4"/>
        <v/>
      </c>
      <c r="G61" s="86"/>
      <c r="H61" s="101"/>
    </row>
    <row r="62" spans="2:8" ht="19.5" customHeight="1" x14ac:dyDescent="0.25">
      <c r="B62" s="85"/>
      <c r="C62" s="144" t="str">
        <f ca="1">Codes!M45</f>
        <v/>
      </c>
      <c r="D62" s="136" t="str">
        <f ca="1">Codes!U45</f>
        <v/>
      </c>
      <c r="E62" s="142" t="str">
        <f ca="1">Codes!AA45</f>
        <v/>
      </c>
      <c r="F62" s="145" t="str">
        <f t="shared" ca="1" si="4"/>
        <v/>
      </c>
      <c r="G62" s="86"/>
      <c r="H62" s="101"/>
    </row>
    <row r="63" spans="2:8" ht="19.5" customHeight="1" x14ac:dyDescent="0.25">
      <c r="B63" s="85"/>
      <c r="C63" s="144" t="str">
        <f ca="1">Codes!M46</f>
        <v/>
      </c>
      <c r="D63" s="136" t="str">
        <f ca="1">Codes!U46</f>
        <v/>
      </c>
      <c r="E63" s="142" t="str">
        <f ca="1">Codes!AA46</f>
        <v/>
      </c>
      <c r="F63" s="145" t="str">
        <f t="shared" ca="1" si="4"/>
        <v/>
      </c>
      <c r="G63" s="86"/>
      <c r="H63" s="101"/>
    </row>
    <row r="64" spans="2:8" ht="19.5" customHeight="1" x14ac:dyDescent="0.25">
      <c r="B64" s="85"/>
      <c r="C64" s="144" t="str">
        <f ca="1">Codes!M47</f>
        <v/>
      </c>
      <c r="D64" s="136" t="str">
        <f ca="1">Codes!U47</f>
        <v/>
      </c>
      <c r="E64" s="142" t="str">
        <f ca="1">Codes!AA47</f>
        <v/>
      </c>
      <c r="F64" s="145" t="str">
        <f t="shared" ca="1" si="4"/>
        <v/>
      </c>
      <c r="G64" s="86"/>
      <c r="H64" s="101"/>
    </row>
    <row r="65" spans="2:8" ht="19.5" customHeight="1" x14ac:dyDescent="0.25">
      <c r="B65" s="85"/>
      <c r="C65" s="144" t="str">
        <f ca="1">Codes!M48</f>
        <v/>
      </c>
      <c r="D65" s="136" t="str">
        <f ca="1">Codes!U48</f>
        <v/>
      </c>
      <c r="E65" s="142" t="str">
        <f ca="1">Codes!AA48</f>
        <v/>
      </c>
      <c r="F65" s="145" t="str">
        <f t="shared" ca="1" si="4"/>
        <v/>
      </c>
      <c r="G65" s="86"/>
      <c r="H65" s="101"/>
    </row>
    <row r="66" spans="2:8" ht="19.5" customHeight="1" x14ac:dyDescent="0.25">
      <c r="B66" s="85"/>
      <c r="C66" s="144" t="str">
        <f ca="1">Codes!M49</f>
        <v/>
      </c>
      <c r="D66" s="136" t="str">
        <f ca="1">Codes!U49</f>
        <v/>
      </c>
      <c r="E66" s="142" t="str">
        <f ca="1">Codes!AA49</f>
        <v/>
      </c>
      <c r="F66" s="145" t="str">
        <f t="shared" ca="1" si="4"/>
        <v/>
      </c>
      <c r="G66" s="86"/>
      <c r="H66" s="101"/>
    </row>
    <row r="67" spans="2:8" ht="19.5" customHeight="1" x14ac:dyDescent="0.25">
      <c r="B67" s="85"/>
      <c r="C67" s="144" t="str">
        <f ca="1">Codes!M50</f>
        <v/>
      </c>
      <c r="D67" s="136" t="str">
        <f ca="1">Codes!U50</f>
        <v/>
      </c>
      <c r="E67" s="142" t="str">
        <f ca="1">Codes!AA50</f>
        <v/>
      </c>
      <c r="F67" s="145" t="str">
        <f t="shared" ca="1" si="4"/>
        <v/>
      </c>
      <c r="G67" s="86"/>
      <c r="H67" s="101"/>
    </row>
    <row r="68" spans="2:8" ht="19.5" customHeight="1" x14ac:dyDescent="0.25">
      <c r="B68" s="85"/>
      <c r="C68" s="144" t="str">
        <f ca="1">Codes!M51</f>
        <v/>
      </c>
      <c r="D68" s="136" t="str">
        <f ca="1">Codes!U51</f>
        <v/>
      </c>
      <c r="E68" s="142" t="str">
        <f ca="1">Codes!AA51</f>
        <v/>
      </c>
      <c r="F68" s="145" t="str">
        <f t="shared" ca="1" si="4"/>
        <v/>
      </c>
      <c r="G68" s="86"/>
      <c r="H68" s="101"/>
    </row>
    <row r="69" spans="2:8" ht="19.5" customHeight="1" x14ac:dyDescent="0.25">
      <c r="B69" s="85"/>
      <c r="C69" s="144" t="str">
        <f ca="1">Codes!M52</f>
        <v/>
      </c>
      <c r="D69" s="136" t="str">
        <f ca="1">Codes!U52</f>
        <v/>
      </c>
      <c r="E69" s="142" t="str">
        <f ca="1">Codes!AA52</f>
        <v/>
      </c>
      <c r="F69" s="145" t="str">
        <f t="shared" ca="1" si="4"/>
        <v/>
      </c>
      <c r="G69" s="86"/>
      <c r="H69" s="101"/>
    </row>
    <row r="70" spans="2:8" ht="19.5" customHeight="1" x14ac:dyDescent="0.25">
      <c r="B70" s="85"/>
      <c r="C70" s="144" t="str">
        <f ca="1">Codes!M53</f>
        <v/>
      </c>
      <c r="D70" s="136" t="str">
        <f ca="1">Codes!U53</f>
        <v/>
      </c>
      <c r="E70" s="142" t="str">
        <f ca="1">Codes!AA53</f>
        <v/>
      </c>
      <c r="F70" s="145" t="str">
        <f t="shared" ca="1" si="4"/>
        <v/>
      </c>
      <c r="G70" s="86"/>
      <c r="H70" s="101"/>
    </row>
    <row r="71" spans="2:8" ht="19.5" customHeight="1" x14ac:dyDescent="0.25">
      <c r="B71" s="85"/>
      <c r="C71" s="277" t="s">
        <v>186</v>
      </c>
      <c r="D71" s="278"/>
      <c r="E71" s="124" t="str">
        <f>IF(OR(ISERROR(E25),E25=""),"",SUM(E25:E70))</f>
        <v/>
      </c>
      <c r="F71" s="52"/>
      <c r="G71" s="86"/>
    </row>
    <row r="72" spans="2:8" ht="19.5" customHeight="1" x14ac:dyDescent="0.25">
      <c r="B72" s="85"/>
      <c r="C72" s="288" t="str">
        <f>IF(E71&gt;Codes!B14,"The maximum added pension balance is currently £"&amp;Codes!B14&amp;".
 Please review your purchase amount or contribution period","")</f>
        <v>The maximum added pension balance is currently £6500.
 Please review your purchase amount or contribution period</v>
      </c>
      <c r="D72" s="279"/>
      <c r="E72" s="127"/>
      <c r="F72" s="60"/>
      <c r="G72" s="86"/>
    </row>
    <row r="73" spans="2:8" ht="6.75" customHeight="1" thickBot="1" x14ac:dyDescent="0.3">
      <c r="B73" s="88"/>
      <c r="C73" s="89"/>
      <c r="D73" s="89"/>
      <c r="E73" s="89"/>
      <c r="F73" s="89"/>
      <c r="G73" s="90"/>
    </row>
    <row r="76" spans="2:8" ht="85.5" customHeight="1" x14ac:dyDescent="0.25">
      <c r="C76" s="349" t="s">
        <v>193</v>
      </c>
      <c r="D76" s="350"/>
      <c r="E76" s="350"/>
      <c r="F76" s="351"/>
    </row>
  </sheetData>
  <sheetProtection password="970B" sheet="1" selectLockedCells="1"/>
  <mergeCells count="16">
    <mergeCell ref="C13:D13"/>
    <mergeCell ref="C14:D14"/>
    <mergeCell ref="C15:D15"/>
    <mergeCell ref="C4:E4"/>
    <mergeCell ref="C6:D6"/>
    <mergeCell ref="C7:D7"/>
    <mergeCell ref="C8:D8"/>
    <mergeCell ref="C9:D9"/>
    <mergeCell ref="C12:D12"/>
    <mergeCell ref="C76:F76"/>
    <mergeCell ref="C16:D16"/>
    <mergeCell ref="C17:D17"/>
    <mergeCell ref="C18:D18"/>
    <mergeCell ref="C19:D19"/>
    <mergeCell ref="E18:F18"/>
    <mergeCell ref="C23:D23"/>
  </mergeCells>
  <pageMargins left="0.7" right="0.7" top="0.75" bottom="0.75" header="0.3" footer="0.3"/>
  <pageSetup paperSize="9" scale="68" orientation="portrait" r:id="rId1"/>
  <headerFooter>
    <oddHeader>&amp;L&amp;G&amp;RFire APBAPP</oddHeader>
  </headerFooter>
  <rowBreaks count="1" manualBreakCount="1">
    <brk id="20" min="2" max="5"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67"/>
  <sheetViews>
    <sheetView zoomScaleNormal="100" zoomScaleSheetLayoutView="100" workbookViewId="0">
      <selection activeCell="E9" sqref="E9"/>
    </sheetView>
  </sheetViews>
  <sheetFormatPr defaultColWidth="9.109375" defaultRowHeight="13.2" x14ac:dyDescent="0.25"/>
  <cols>
    <col min="1" max="1" width="9.109375" style="81"/>
    <col min="2" max="2" width="1.33203125" style="81" customWidth="1"/>
    <col min="3" max="3" width="55.109375" style="81" customWidth="1"/>
    <col min="4" max="4" width="21.5546875" style="81" customWidth="1"/>
    <col min="5" max="5" width="25.5546875" style="81" customWidth="1"/>
    <col min="6" max="6" width="19.5546875" style="81" customWidth="1"/>
    <col min="7" max="7" width="1.33203125" style="81" customWidth="1"/>
    <col min="8" max="16384" width="9.109375" style="81"/>
  </cols>
  <sheetData>
    <row r="1" spans="2:7" ht="58.5" customHeight="1" thickBot="1" x14ac:dyDescent="0.3"/>
    <row r="2" spans="2:7" ht="6.75" customHeight="1" x14ac:dyDescent="0.25">
      <c r="B2" s="82"/>
      <c r="C2" s="83"/>
      <c r="D2" s="83"/>
      <c r="E2" s="83"/>
      <c r="F2" s="83"/>
      <c r="G2" s="84"/>
    </row>
    <row r="3" spans="2:7" ht="50.25" customHeight="1" x14ac:dyDescent="0.25">
      <c r="B3" s="85"/>
      <c r="C3" s="87"/>
      <c r="D3" s="87"/>
      <c r="E3" s="87"/>
      <c r="F3" s="87"/>
      <c r="G3" s="86"/>
    </row>
    <row r="4" spans="2:7" ht="36" customHeight="1" x14ac:dyDescent="0.25">
      <c r="B4" s="85"/>
      <c r="C4" s="348" t="s">
        <v>213</v>
      </c>
      <c r="D4" s="360"/>
      <c r="E4" s="360"/>
      <c r="F4" s="119"/>
      <c r="G4" s="86"/>
    </row>
    <row r="5" spans="2:7" ht="20.100000000000001" customHeight="1" x14ac:dyDescent="0.25">
      <c r="B5" s="85"/>
      <c r="C5" s="47" t="str">
        <f>Calculator!C3</f>
        <v>Member Details</v>
      </c>
      <c r="D5" s="117"/>
      <c r="E5" s="128"/>
      <c r="F5" s="48"/>
      <c r="G5" s="86"/>
    </row>
    <row r="6" spans="2:7" ht="20.100000000000001" customHeight="1" x14ac:dyDescent="0.25">
      <c r="B6" s="85"/>
      <c r="C6" s="352" t="str">
        <f>Calculator!C15</f>
        <v xml:space="preserve">Date of Birth </v>
      </c>
      <c r="D6" s="353"/>
      <c r="E6" s="120">
        <f>Calculator!D15</f>
        <v>0</v>
      </c>
      <c r="F6" s="57"/>
      <c r="G6" s="86"/>
    </row>
    <row r="7" spans="2:7" ht="20.100000000000001" customHeight="1" x14ac:dyDescent="0.25">
      <c r="B7" s="85"/>
      <c r="C7" s="352" t="s">
        <v>56</v>
      </c>
      <c r="D7" s="353"/>
      <c r="E7" s="120">
        <f>Codes!B3</f>
        <v>21915</v>
      </c>
      <c r="F7" s="57"/>
      <c r="G7" s="86"/>
    </row>
    <row r="8" spans="2:7" ht="20.100000000000001" customHeight="1" x14ac:dyDescent="0.25">
      <c r="B8" s="85"/>
      <c r="C8" s="352" t="str">
        <f>Calculator!C33</f>
        <v>Start date of periodic payments (if blank, will use today's date)</v>
      </c>
      <c r="D8" s="353"/>
      <c r="E8" s="120">
        <f ca="1">Codes!K15</f>
        <v>43810</v>
      </c>
      <c r="F8" s="57"/>
      <c r="G8" s="86"/>
    </row>
    <row r="9" spans="2:7" ht="30.75" customHeight="1" x14ac:dyDescent="0.25">
      <c r="B9" s="85"/>
      <c r="C9" s="352" t="str">
        <f ca="1">Calculator!C35</f>
        <v>End date of periodic contributions (if blank, will quote to end of scheme year 31 March 2020)</v>
      </c>
      <c r="D9" s="353"/>
      <c r="E9" s="120">
        <f ca="1">Codes!K19</f>
        <v>43921</v>
      </c>
      <c r="F9" s="57"/>
      <c r="G9" s="86"/>
    </row>
    <row r="10" spans="2:7" ht="20.100000000000001" customHeight="1" x14ac:dyDescent="0.25">
      <c r="B10" s="85"/>
      <c r="C10" s="139"/>
      <c r="D10" s="137"/>
      <c r="E10" s="137"/>
      <c r="F10" s="138"/>
      <c r="G10" s="86"/>
    </row>
    <row r="11" spans="2:7" ht="20.100000000000001" customHeight="1" x14ac:dyDescent="0.25">
      <c r="B11" s="85"/>
      <c r="C11" s="61" t="s">
        <v>191</v>
      </c>
      <c r="D11" s="134"/>
      <c r="E11" s="125"/>
      <c r="F11" s="58"/>
      <c r="G11" s="86"/>
    </row>
    <row r="12" spans="2:7" ht="20.100000000000001" customHeight="1" x14ac:dyDescent="0.25">
      <c r="B12" s="85"/>
      <c r="C12" s="352" t="s">
        <v>180</v>
      </c>
      <c r="D12" s="353"/>
      <c r="E12" s="121" t="str">
        <f>Codes!AB8</f>
        <v/>
      </c>
      <c r="F12" s="54"/>
      <c r="G12" s="86"/>
    </row>
    <row r="13" spans="2:7" ht="20.100000000000001" customHeight="1" x14ac:dyDescent="0.25">
      <c r="B13" s="85"/>
      <c r="C13" s="352" t="s">
        <v>135</v>
      </c>
      <c r="D13" s="353"/>
      <c r="E13" s="122" t="str">
        <f>Codes!U8</f>
        <v/>
      </c>
      <c r="F13" s="74"/>
      <c r="G13" s="86"/>
    </row>
    <row r="14" spans="2:7" ht="20.100000000000001" customHeight="1" x14ac:dyDescent="0.25">
      <c r="B14" s="85"/>
      <c r="C14" s="352" t="s">
        <v>72</v>
      </c>
      <c r="D14" s="353"/>
      <c r="E14" s="123">
        <f>Codes!V8</f>
        <v>0</v>
      </c>
      <c r="F14" s="53"/>
      <c r="G14" s="86"/>
    </row>
    <row r="15" spans="2:7" ht="20.100000000000001" customHeight="1" x14ac:dyDescent="0.25">
      <c r="B15" s="85"/>
      <c r="C15" s="352" t="s">
        <v>136</v>
      </c>
      <c r="D15" s="353"/>
      <c r="E15" s="123" t="e">
        <f>Codes!W8</f>
        <v>#N/A</v>
      </c>
      <c r="F15" s="53"/>
      <c r="G15" s="86"/>
    </row>
    <row r="16" spans="2:7" ht="20.100000000000001" customHeight="1" x14ac:dyDescent="0.25">
      <c r="B16" s="85"/>
      <c r="C16" s="352" t="s">
        <v>75</v>
      </c>
      <c r="D16" s="353"/>
      <c r="E16" s="123" t="e">
        <f ca="1">Codes!X8</f>
        <v>#NUM!</v>
      </c>
      <c r="F16" s="53"/>
      <c r="G16" s="86"/>
    </row>
    <row r="17" spans="1:7" ht="20.100000000000001" customHeight="1" x14ac:dyDescent="0.25">
      <c r="B17" s="85"/>
      <c r="C17" s="352" t="s">
        <v>212</v>
      </c>
      <c r="D17" s="353"/>
      <c r="E17" s="123" t="e">
        <f ca="1">Codes!Y8</f>
        <v>#NUM!</v>
      </c>
      <c r="F17" s="53"/>
      <c r="G17" s="86"/>
    </row>
    <row r="18" spans="1:7" ht="20.100000000000001" customHeight="1" x14ac:dyDescent="0.25">
      <c r="B18" s="85"/>
      <c r="C18" s="352"/>
      <c r="D18" s="353"/>
      <c r="E18" s="120"/>
      <c r="F18" s="57"/>
      <c r="G18" s="86"/>
    </row>
    <row r="19" spans="1:7" ht="20.100000000000001" customHeight="1" x14ac:dyDescent="0.25">
      <c r="B19" s="85"/>
      <c r="C19" s="352" t="s">
        <v>76</v>
      </c>
      <c r="D19" s="353"/>
      <c r="E19" s="366" t="s">
        <v>192</v>
      </c>
      <c r="F19" s="367"/>
      <c r="G19" s="86"/>
    </row>
    <row r="20" spans="1:7" ht="20.100000000000001" customHeight="1" x14ac:dyDescent="0.25">
      <c r="B20" s="85"/>
      <c r="C20" s="354" t="s">
        <v>33</v>
      </c>
      <c r="D20" s="355"/>
      <c r="E20" s="126" t="str">
        <f>Codes!AC8</f>
        <v/>
      </c>
      <c r="F20" s="56"/>
      <c r="G20" s="86"/>
    </row>
    <row r="21" spans="1:7" ht="20.100000000000001" customHeight="1" x14ac:dyDescent="0.25">
      <c r="B21" s="85"/>
      <c r="C21" s="61" t="s">
        <v>61</v>
      </c>
      <c r="D21" s="118"/>
      <c r="E21" s="125"/>
      <c r="F21" s="58"/>
      <c r="G21" s="86"/>
    </row>
    <row r="22" spans="1:7" ht="39" customHeight="1" x14ac:dyDescent="0.25">
      <c r="B22" s="85"/>
      <c r="C22" s="361" t="s">
        <v>182</v>
      </c>
      <c r="D22" s="362"/>
      <c r="E22" s="124">
        <f>Calculator!D42</f>
        <v>0</v>
      </c>
      <c r="F22" s="52"/>
      <c r="G22" s="86"/>
    </row>
    <row r="23" spans="1:7" ht="36" customHeight="1" x14ac:dyDescent="0.25">
      <c r="B23" s="85"/>
      <c r="C23" s="51" t="s">
        <v>94</v>
      </c>
      <c r="D23" s="135" t="s">
        <v>96</v>
      </c>
      <c r="E23" s="130" t="s">
        <v>98</v>
      </c>
      <c r="F23" s="140" t="s">
        <v>99</v>
      </c>
      <c r="G23" s="86"/>
    </row>
    <row r="24" spans="1:7" ht="20.100000000000001" customHeight="1" x14ac:dyDescent="0.25">
      <c r="A24" s="141">
        <f>IF(E24&lt;&gt;"",1,0)</f>
        <v>0</v>
      </c>
      <c r="B24" s="85"/>
      <c r="C24" s="131" t="str">
        <f>Codes!M8</f>
        <v/>
      </c>
      <c r="D24" s="136" t="str">
        <f>Codes!U8</f>
        <v/>
      </c>
      <c r="E24" s="132" t="str">
        <f>Codes!AC8</f>
        <v/>
      </c>
      <c r="F24" s="133" t="str">
        <f>IF(E24="","",Calculator!$D$42)</f>
        <v/>
      </c>
      <c r="G24" s="86"/>
    </row>
    <row r="25" spans="1:7" ht="20.100000000000001" customHeight="1" x14ac:dyDescent="0.25">
      <c r="A25" s="141">
        <f t="shared" ref="A25:A61" ca="1" si="0">IF(E25&lt;&gt;"",1,0)</f>
        <v>0</v>
      </c>
      <c r="B25" s="85"/>
      <c r="C25" s="131" t="str">
        <f ca="1">Codes!M9</f>
        <v/>
      </c>
      <c r="D25" s="136" t="str">
        <f ca="1">Codes!U9</f>
        <v/>
      </c>
      <c r="E25" s="132" t="str">
        <f ca="1">Codes!AC9</f>
        <v/>
      </c>
      <c r="F25" s="133" t="str">
        <f ca="1">IF(E25="","",Calculator!$D$42+F24)</f>
        <v/>
      </c>
      <c r="G25" s="86"/>
    </row>
    <row r="26" spans="1:7" ht="20.100000000000001" customHeight="1" x14ac:dyDescent="0.25">
      <c r="A26" s="141">
        <f t="shared" ca="1" si="0"/>
        <v>0</v>
      </c>
      <c r="B26" s="85"/>
      <c r="C26" s="131" t="str">
        <f ca="1">Codes!M10</f>
        <v/>
      </c>
      <c r="D26" s="136" t="str">
        <f ca="1">Codes!U10</f>
        <v/>
      </c>
      <c r="E26" s="132" t="str">
        <f ca="1">Codes!AC10</f>
        <v/>
      </c>
      <c r="F26" s="133" t="str">
        <f ca="1">IF(E26="","",Calculator!$D$42+F25)</f>
        <v/>
      </c>
      <c r="G26" s="86"/>
    </row>
    <row r="27" spans="1:7" ht="20.100000000000001" customHeight="1" x14ac:dyDescent="0.25">
      <c r="A27" s="141">
        <f t="shared" ca="1" si="0"/>
        <v>0</v>
      </c>
      <c r="B27" s="85"/>
      <c r="C27" s="131" t="str">
        <f ca="1">Codes!M11</f>
        <v/>
      </c>
      <c r="D27" s="136" t="str">
        <f ca="1">Codes!U11</f>
        <v/>
      </c>
      <c r="E27" s="132" t="str">
        <f ca="1">Codes!AC11</f>
        <v/>
      </c>
      <c r="F27" s="133" t="str">
        <f ca="1">IF(E27="","",Calculator!$D$42+F26)</f>
        <v/>
      </c>
      <c r="G27" s="86"/>
    </row>
    <row r="28" spans="1:7" ht="20.100000000000001" customHeight="1" x14ac:dyDescent="0.25">
      <c r="A28" s="141">
        <f t="shared" ca="1" si="0"/>
        <v>0</v>
      </c>
      <c r="B28" s="85"/>
      <c r="C28" s="131" t="str">
        <f ca="1">Codes!M12</f>
        <v/>
      </c>
      <c r="D28" s="136" t="str">
        <f ca="1">Codes!U12</f>
        <v/>
      </c>
      <c r="E28" s="132" t="str">
        <f ca="1">Codes!AC12</f>
        <v/>
      </c>
      <c r="F28" s="133" t="str">
        <f ca="1">IF(E28="","",Calculator!$D$42+F27)</f>
        <v/>
      </c>
      <c r="G28" s="86"/>
    </row>
    <row r="29" spans="1:7" ht="20.100000000000001" customHeight="1" x14ac:dyDescent="0.25">
      <c r="A29" s="141">
        <f t="shared" ca="1" si="0"/>
        <v>0</v>
      </c>
      <c r="B29" s="85"/>
      <c r="C29" s="131" t="str">
        <f ca="1">Codes!M13</f>
        <v/>
      </c>
      <c r="D29" s="136" t="str">
        <f ca="1">Codes!U13</f>
        <v/>
      </c>
      <c r="E29" s="132" t="str">
        <f ca="1">Codes!AC13</f>
        <v/>
      </c>
      <c r="F29" s="133" t="str">
        <f ca="1">IF(E29="","",Calculator!$D$42+F28)</f>
        <v/>
      </c>
      <c r="G29" s="86"/>
    </row>
    <row r="30" spans="1:7" ht="20.100000000000001" customHeight="1" x14ac:dyDescent="0.25">
      <c r="A30" s="141">
        <f t="shared" ca="1" si="0"/>
        <v>0</v>
      </c>
      <c r="B30" s="85"/>
      <c r="C30" s="131" t="str">
        <f ca="1">Codes!M14</f>
        <v/>
      </c>
      <c r="D30" s="136" t="str">
        <f ca="1">Codes!U14</f>
        <v/>
      </c>
      <c r="E30" s="132" t="str">
        <f ca="1">Codes!AC14</f>
        <v/>
      </c>
      <c r="F30" s="133" t="str">
        <f ca="1">IF(E30="","",Calculator!$D$42+F29)</f>
        <v/>
      </c>
      <c r="G30" s="86"/>
    </row>
    <row r="31" spans="1:7" ht="20.100000000000001" customHeight="1" x14ac:dyDescent="0.25">
      <c r="A31" s="141">
        <f t="shared" ca="1" si="0"/>
        <v>0</v>
      </c>
      <c r="B31" s="85"/>
      <c r="C31" s="131" t="str">
        <f ca="1">Codes!M15</f>
        <v/>
      </c>
      <c r="D31" s="136" t="str">
        <f ca="1">Codes!U15</f>
        <v/>
      </c>
      <c r="E31" s="132" t="str">
        <f ca="1">Codes!AC15</f>
        <v/>
      </c>
      <c r="F31" s="133" t="str">
        <f ca="1">IF(E31="","",Calculator!$D$42+F30)</f>
        <v/>
      </c>
      <c r="G31" s="86"/>
    </row>
    <row r="32" spans="1:7" ht="20.100000000000001" customHeight="1" x14ac:dyDescent="0.25">
      <c r="A32" s="141">
        <f t="shared" ca="1" si="0"/>
        <v>0</v>
      </c>
      <c r="B32" s="85"/>
      <c r="C32" s="131" t="str">
        <f ca="1">Codes!M16</f>
        <v/>
      </c>
      <c r="D32" s="136" t="str">
        <f ca="1">Codes!U16</f>
        <v/>
      </c>
      <c r="E32" s="132" t="str">
        <f ca="1">Codes!AC16</f>
        <v/>
      </c>
      <c r="F32" s="133" t="str">
        <f ca="1">IF(E32="","",Calculator!$D$42+F31)</f>
        <v/>
      </c>
      <c r="G32" s="86"/>
    </row>
    <row r="33" spans="1:7" ht="20.100000000000001" customHeight="1" x14ac:dyDescent="0.25">
      <c r="A33" s="141">
        <f t="shared" ca="1" si="0"/>
        <v>0</v>
      </c>
      <c r="B33" s="85"/>
      <c r="C33" s="131" t="str">
        <f ca="1">Codes!M17</f>
        <v/>
      </c>
      <c r="D33" s="136" t="str">
        <f ca="1">Codes!U17</f>
        <v/>
      </c>
      <c r="E33" s="132" t="str">
        <f ca="1">Codes!AC17</f>
        <v/>
      </c>
      <c r="F33" s="133" t="str">
        <f ca="1">IF(E33="","",Calculator!$D$42+F32)</f>
        <v/>
      </c>
      <c r="G33" s="86"/>
    </row>
    <row r="34" spans="1:7" ht="19.5" customHeight="1" x14ac:dyDescent="0.25">
      <c r="A34" s="141">
        <f t="shared" ca="1" si="0"/>
        <v>0</v>
      </c>
      <c r="B34" s="85"/>
      <c r="C34" s="131" t="str">
        <f ca="1">Codes!M18</f>
        <v/>
      </c>
      <c r="D34" s="136" t="str">
        <f ca="1">Codes!U18</f>
        <v/>
      </c>
      <c r="E34" s="132" t="str">
        <f ca="1">Codes!AC18</f>
        <v/>
      </c>
      <c r="F34" s="133" t="str">
        <f ca="1">IF(E34="","",Calculator!$D$42+F33)</f>
        <v/>
      </c>
      <c r="G34" s="86"/>
    </row>
    <row r="35" spans="1:7" ht="19.5" customHeight="1" x14ac:dyDescent="0.25">
      <c r="A35" s="141">
        <f t="shared" ca="1" si="0"/>
        <v>0</v>
      </c>
      <c r="B35" s="85"/>
      <c r="C35" s="131" t="str">
        <f ca="1">Codes!M19</f>
        <v/>
      </c>
      <c r="D35" s="136" t="str">
        <f ca="1">Codes!U19</f>
        <v/>
      </c>
      <c r="E35" s="132" t="str">
        <f ca="1">Codes!AC19</f>
        <v/>
      </c>
      <c r="F35" s="133" t="str">
        <f ca="1">IF(E35="","",Calculator!$D$42+F34)</f>
        <v/>
      </c>
      <c r="G35" s="86"/>
    </row>
    <row r="36" spans="1:7" ht="19.5" customHeight="1" x14ac:dyDescent="0.25">
      <c r="A36" s="141">
        <f t="shared" ca="1" si="0"/>
        <v>0</v>
      </c>
      <c r="B36" s="85"/>
      <c r="C36" s="131" t="str">
        <f ca="1">Codes!M20</f>
        <v/>
      </c>
      <c r="D36" s="136" t="str">
        <f ca="1">Codes!U20</f>
        <v/>
      </c>
      <c r="E36" s="132" t="str">
        <f ca="1">Codes!AC20</f>
        <v/>
      </c>
      <c r="F36" s="133" t="str">
        <f ca="1">IF(E36="","",Calculator!$D$42+F35)</f>
        <v/>
      </c>
      <c r="G36" s="86"/>
    </row>
    <row r="37" spans="1:7" ht="19.5" customHeight="1" x14ac:dyDescent="0.25">
      <c r="A37" s="141">
        <f t="shared" ca="1" si="0"/>
        <v>0</v>
      </c>
      <c r="B37" s="85"/>
      <c r="C37" s="131" t="str">
        <f ca="1">Codes!M21</f>
        <v/>
      </c>
      <c r="D37" s="136" t="str">
        <f ca="1">Codes!U21</f>
        <v/>
      </c>
      <c r="E37" s="132" t="str">
        <f ca="1">Codes!AC21</f>
        <v/>
      </c>
      <c r="F37" s="133" t="str">
        <f ca="1">IF(E37="","",Calculator!$D$42+F36)</f>
        <v/>
      </c>
      <c r="G37" s="86"/>
    </row>
    <row r="38" spans="1:7" ht="19.5" customHeight="1" x14ac:dyDescent="0.25">
      <c r="A38" s="141">
        <f t="shared" ca="1" si="0"/>
        <v>0</v>
      </c>
      <c r="B38" s="85"/>
      <c r="C38" s="131" t="str">
        <f ca="1">Codes!M22</f>
        <v/>
      </c>
      <c r="D38" s="136" t="str">
        <f ca="1">Codes!U22</f>
        <v/>
      </c>
      <c r="E38" s="132" t="str">
        <f ca="1">Codes!AC22</f>
        <v/>
      </c>
      <c r="F38" s="133" t="str">
        <f ca="1">IF(E38="","",Calculator!$D$42+F37)</f>
        <v/>
      </c>
      <c r="G38" s="86"/>
    </row>
    <row r="39" spans="1:7" ht="19.5" customHeight="1" x14ac:dyDescent="0.25">
      <c r="A39" s="141">
        <f t="shared" ca="1" si="0"/>
        <v>0</v>
      </c>
      <c r="B39" s="85"/>
      <c r="C39" s="131" t="str">
        <f ca="1">Codes!M23</f>
        <v/>
      </c>
      <c r="D39" s="136" t="str">
        <f ca="1">Codes!U23</f>
        <v/>
      </c>
      <c r="E39" s="132" t="str">
        <f ca="1">Codes!AC23</f>
        <v/>
      </c>
      <c r="F39" s="133" t="str">
        <f ca="1">IF(E39="","",Calculator!$D$42+F38)</f>
        <v/>
      </c>
      <c r="G39" s="86"/>
    </row>
    <row r="40" spans="1:7" ht="19.5" customHeight="1" x14ac:dyDescent="0.25">
      <c r="A40" s="141">
        <f t="shared" ca="1" si="0"/>
        <v>0</v>
      </c>
      <c r="B40" s="85"/>
      <c r="C40" s="131" t="str">
        <f ca="1">Codes!M24</f>
        <v/>
      </c>
      <c r="D40" s="136" t="str">
        <f ca="1">Codes!U24</f>
        <v/>
      </c>
      <c r="E40" s="132" t="str">
        <f ca="1">Codes!AC24</f>
        <v/>
      </c>
      <c r="F40" s="133" t="str">
        <f ca="1">IF(E40="","",Calculator!$D$42+F39)</f>
        <v/>
      </c>
      <c r="G40" s="86"/>
    </row>
    <row r="41" spans="1:7" ht="19.5" customHeight="1" x14ac:dyDescent="0.25">
      <c r="A41" s="141">
        <f t="shared" ca="1" si="0"/>
        <v>0</v>
      </c>
      <c r="B41" s="85"/>
      <c r="C41" s="131" t="str">
        <f ca="1">Codes!M25</f>
        <v/>
      </c>
      <c r="D41" s="136" t="str">
        <f ca="1">Codes!U25</f>
        <v/>
      </c>
      <c r="E41" s="132" t="str">
        <f ca="1">Codes!AC25</f>
        <v/>
      </c>
      <c r="F41" s="133" t="str">
        <f ca="1">IF(E41="","",Calculator!$D$42+F40)</f>
        <v/>
      </c>
      <c r="G41" s="86"/>
    </row>
    <row r="42" spans="1:7" ht="19.5" customHeight="1" x14ac:dyDescent="0.25">
      <c r="A42" s="141">
        <f t="shared" ca="1" si="0"/>
        <v>0</v>
      </c>
      <c r="B42" s="85"/>
      <c r="C42" s="131" t="str">
        <f ca="1">Codes!M26</f>
        <v/>
      </c>
      <c r="D42" s="136" t="str">
        <f ca="1">Codes!U26</f>
        <v/>
      </c>
      <c r="E42" s="132" t="str">
        <f ca="1">Codes!AC26</f>
        <v/>
      </c>
      <c r="F42" s="133" t="str">
        <f ca="1">IF(E42="","",Calculator!$D$42+F41)</f>
        <v/>
      </c>
      <c r="G42" s="86"/>
    </row>
    <row r="43" spans="1:7" ht="19.5" customHeight="1" x14ac:dyDescent="0.25">
      <c r="A43" s="141">
        <f t="shared" ca="1" si="0"/>
        <v>0</v>
      </c>
      <c r="B43" s="85"/>
      <c r="C43" s="131" t="str">
        <f ca="1">Codes!M27</f>
        <v/>
      </c>
      <c r="D43" s="136" t="str">
        <f ca="1">Codes!U27</f>
        <v/>
      </c>
      <c r="E43" s="132" t="str">
        <f ca="1">Codes!AC27</f>
        <v/>
      </c>
      <c r="F43" s="133" t="str">
        <f ca="1">IF(E43="","",Calculator!$D$42+F42)</f>
        <v/>
      </c>
      <c r="G43" s="86"/>
    </row>
    <row r="44" spans="1:7" ht="19.5" customHeight="1" x14ac:dyDescent="0.25">
      <c r="A44" s="141">
        <f t="shared" ca="1" si="0"/>
        <v>0</v>
      </c>
      <c r="B44" s="85"/>
      <c r="C44" s="131" t="str">
        <f ca="1">Codes!M28</f>
        <v/>
      </c>
      <c r="D44" s="136" t="str">
        <f ca="1">Codes!U28</f>
        <v/>
      </c>
      <c r="E44" s="132" t="str">
        <f ca="1">Codes!AC28</f>
        <v/>
      </c>
      <c r="F44" s="133" t="str">
        <f ca="1">IF(E44="","",Calculator!$D$42+F43)</f>
        <v/>
      </c>
      <c r="G44" s="86"/>
    </row>
    <row r="45" spans="1:7" ht="19.5" customHeight="1" x14ac:dyDescent="0.25">
      <c r="A45" s="141">
        <f t="shared" ca="1" si="0"/>
        <v>0</v>
      </c>
      <c r="B45" s="85"/>
      <c r="C45" s="131" t="str">
        <f ca="1">Codes!M29</f>
        <v/>
      </c>
      <c r="D45" s="136" t="str">
        <f ca="1">Codes!U29</f>
        <v/>
      </c>
      <c r="E45" s="132" t="str">
        <f ca="1">Codes!AC29</f>
        <v/>
      </c>
      <c r="F45" s="133" t="str">
        <f ca="1">IF(E45="","",Calculator!$D$42+F44)</f>
        <v/>
      </c>
      <c r="G45" s="86"/>
    </row>
    <row r="46" spans="1:7" ht="19.5" customHeight="1" x14ac:dyDescent="0.25">
      <c r="A46" s="141">
        <f t="shared" ca="1" si="0"/>
        <v>0</v>
      </c>
      <c r="B46" s="85"/>
      <c r="C46" s="131" t="str">
        <f ca="1">Codes!M30</f>
        <v/>
      </c>
      <c r="D46" s="136" t="str">
        <f ca="1">Codes!U30</f>
        <v/>
      </c>
      <c r="E46" s="132" t="str">
        <f ca="1">Codes!AC30</f>
        <v/>
      </c>
      <c r="F46" s="133" t="str">
        <f ca="1">IF(E46="","",Calculator!$D$42+F45)</f>
        <v/>
      </c>
      <c r="G46" s="86"/>
    </row>
    <row r="47" spans="1:7" ht="19.5" customHeight="1" x14ac:dyDescent="0.25">
      <c r="A47" s="141">
        <f t="shared" ca="1" si="0"/>
        <v>0</v>
      </c>
      <c r="B47" s="85"/>
      <c r="C47" s="131" t="str">
        <f ca="1">Codes!M31</f>
        <v/>
      </c>
      <c r="D47" s="136" t="str">
        <f ca="1">Codes!U31</f>
        <v/>
      </c>
      <c r="E47" s="132" t="str">
        <f ca="1">Codes!AC31</f>
        <v/>
      </c>
      <c r="F47" s="133" t="str">
        <f ca="1">IF(E47="","",Calculator!$D$42+F46)</f>
        <v/>
      </c>
      <c r="G47" s="86"/>
    </row>
    <row r="48" spans="1:7" ht="19.5" customHeight="1" x14ac:dyDescent="0.25">
      <c r="A48" s="141">
        <f t="shared" ca="1" si="0"/>
        <v>0</v>
      </c>
      <c r="B48" s="85"/>
      <c r="C48" s="131" t="str">
        <f ca="1">Codes!M32</f>
        <v/>
      </c>
      <c r="D48" s="136" t="str">
        <f ca="1">Codes!U32</f>
        <v/>
      </c>
      <c r="E48" s="132" t="str">
        <f ca="1">Codes!AC32</f>
        <v/>
      </c>
      <c r="F48" s="133" t="str">
        <f ca="1">IF(E48="","",Calculator!$D$42+F47)</f>
        <v/>
      </c>
      <c r="G48" s="86"/>
    </row>
    <row r="49" spans="1:7" ht="19.5" customHeight="1" x14ac:dyDescent="0.25">
      <c r="A49" s="141">
        <f t="shared" ca="1" si="0"/>
        <v>0</v>
      </c>
      <c r="B49" s="85"/>
      <c r="C49" s="131" t="str">
        <f ca="1">Codes!M33</f>
        <v/>
      </c>
      <c r="D49" s="136" t="str">
        <f ca="1">Codes!U33</f>
        <v/>
      </c>
      <c r="E49" s="132" t="str">
        <f ca="1">Codes!AC33</f>
        <v/>
      </c>
      <c r="F49" s="133" t="str">
        <f ca="1">IF(E49="","",Calculator!$D$42+F48)</f>
        <v/>
      </c>
      <c r="G49" s="86"/>
    </row>
    <row r="50" spans="1:7" ht="19.5" customHeight="1" x14ac:dyDescent="0.25">
      <c r="A50" s="141">
        <f t="shared" ca="1" si="0"/>
        <v>0</v>
      </c>
      <c r="B50" s="85"/>
      <c r="C50" s="131" t="str">
        <f ca="1">Codes!M34</f>
        <v/>
      </c>
      <c r="D50" s="136" t="str">
        <f ca="1">Codes!U34</f>
        <v/>
      </c>
      <c r="E50" s="132" t="str">
        <f ca="1">Codes!AC34</f>
        <v/>
      </c>
      <c r="F50" s="133" t="str">
        <f ca="1">IF(E50="","",Calculator!$D$42+F49)</f>
        <v/>
      </c>
      <c r="G50" s="86"/>
    </row>
    <row r="51" spans="1:7" ht="19.5" customHeight="1" x14ac:dyDescent="0.25">
      <c r="A51" s="141">
        <f t="shared" ca="1" si="0"/>
        <v>0</v>
      </c>
      <c r="B51" s="85"/>
      <c r="C51" s="131" t="str">
        <f ca="1">Codes!M35</f>
        <v/>
      </c>
      <c r="D51" s="136" t="str">
        <f ca="1">Codes!U35</f>
        <v/>
      </c>
      <c r="E51" s="132" t="str">
        <f ca="1">Codes!AC35</f>
        <v/>
      </c>
      <c r="F51" s="133" t="str">
        <f ca="1">IF(E51="","",Calculator!$D$42+F50)</f>
        <v/>
      </c>
      <c r="G51" s="86"/>
    </row>
    <row r="52" spans="1:7" ht="19.5" customHeight="1" x14ac:dyDescent="0.25">
      <c r="A52" s="141">
        <f t="shared" ca="1" si="0"/>
        <v>0</v>
      </c>
      <c r="B52" s="85"/>
      <c r="C52" s="131" t="str">
        <f ca="1">Codes!M36</f>
        <v/>
      </c>
      <c r="D52" s="136" t="str">
        <f ca="1">Codes!U36</f>
        <v/>
      </c>
      <c r="E52" s="132" t="str">
        <f ca="1">Codes!AC36</f>
        <v/>
      </c>
      <c r="F52" s="133" t="str">
        <f ca="1">IF(E52="","",Calculator!$D$42+F51)</f>
        <v/>
      </c>
      <c r="G52" s="86"/>
    </row>
    <row r="53" spans="1:7" ht="19.5" customHeight="1" x14ac:dyDescent="0.25">
      <c r="A53" s="141">
        <f t="shared" ca="1" si="0"/>
        <v>0</v>
      </c>
      <c r="B53" s="85"/>
      <c r="C53" s="131" t="str">
        <f ca="1">Codes!M37</f>
        <v/>
      </c>
      <c r="D53" s="136" t="str">
        <f ca="1">Codes!U37</f>
        <v/>
      </c>
      <c r="E53" s="132" t="str">
        <f ca="1">Codes!AC37</f>
        <v/>
      </c>
      <c r="F53" s="133" t="str">
        <f ca="1">IF(E53="","",Calculator!$D$42+F52)</f>
        <v/>
      </c>
      <c r="G53" s="86"/>
    </row>
    <row r="54" spans="1:7" ht="19.5" customHeight="1" x14ac:dyDescent="0.25">
      <c r="A54" s="141">
        <f t="shared" ca="1" si="0"/>
        <v>0</v>
      </c>
      <c r="B54" s="85"/>
      <c r="C54" s="131" t="str">
        <f ca="1">Codes!M38</f>
        <v/>
      </c>
      <c r="D54" s="136" t="str">
        <f ca="1">Codes!U38</f>
        <v/>
      </c>
      <c r="E54" s="132" t="str">
        <f ca="1">Codes!AC38</f>
        <v/>
      </c>
      <c r="F54" s="133" t="str">
        <f ca="1">IF(E54="","",Calculator!$D$42+F53)</f>
        <v/>
      </c>
      <c r="G54" s="86"/>
    </row>
    <row r="55" spans="1:7" ht="19.5" customHeight="1" x14ac:dyDescent="0.25">
      <c r="A55" s="141">
        <f t="shared" ca="1" si="0"/>
        <v>0</v>
      </c>
      <c r="B55" s="85"/>
      <c r="C55" s="131" t="str">
        <f ca="1">Codes!M39</f>
        <v/>
      </c>
      <c r="D55" s="136" t="str">
        <f ca="1">Codes!U39</f>
        <v/>
      </c>
      <c r="E55" s="132" t="str">
        <f ca="1">Codes!AC39</f>
        <v/>
      </c>
      <c r="F55" s="133" t="str">
        <f ca="1">IF(E55="","",Calculator!$D$42+F54)</f>
        <v/>
      </c>
      <c r="G55" s="86"/>
    </row>
    <row r="56" spans="1:7" ht="19.5" customHeight="1" x14ac:dyDescent="0.25">
      <c r="A56" s="141">
        <f ca="1">IF(E56&lt;&gt;"",1,0)</f>
        <v>0</v>
      </c>
      <c r="B56" s="85"/>
      <c r="C56" s="131" t="str">
        <f ca="1">Codes!M40</f>
        <v/>
      </c>
      <c r="D56" s="136" t="str">
        <f ca="1">Codes!U40</f>
        <v/>
      </c>
      <c r="E56" s="132" t="str">
        <f ca="1">Codes!AC40</f>
        <v/>
      </c>
      <c r="F56" s="133" t="str">
        <f ca="1">IF(E56="","",Calculator!$D$42+F55)</f>
        <v/>
      </c>
      <c r="G56" s="86"/>
    </row>
    <row r="57" spans="1:7" ht="19.5" customHeight="1" x14ac:dyDescent="0.25">
      <c r="A57" s="141">
        <f t="shared" ca="1" si="0"/>
        <v>0</v>
      </c>
      <c r="B57" s="85"/>
      <c r="C57" s="131" t="str">
        <f ca="1">Codes!M41</f>
        <v/>
      </c>
      <c r="D57" s="136" t="str">
        <f ca="1">Codes!U41</f>
        <v/>
      </c>
      <c r="E57" s="132" t="str">
        <f ca="1">Codes!AC41</f>
        <v/>
      </c>
      <c r="F57" s="133" t="str">
        <f ca="1">IF(E57="","",Calculator!$D$42+F56)</f>
        <v/>
      </c>
      <c r="G57" s="86"/>
    </row>
    <row r="58" spans="1:7" ht="19.5" customHeight="1" x14ac:dyDescent="0.25">
      <c r="A58" s="141">
        <f t="shared" ca="1" si="0"/>
        <v>0</v>
      </c>
      <c r="B58" s="85"/>
      <c r="C58" s="131" t="str">
        <f ca="1">Codes!M42</f>
        <v/>
      </c>
      <c r="D58" s="136" t="str">
        <f ca="1">Codes!U42</f>
        <v/>
      </c>
      <c r="E58" s="132" t="str">
        <f ca="1">Codes!AC42</f>
        <v/>
      </c>
      <c r="F58" s="133" t="str">
        <f ca="1">IF(E58="","",Calculator!$D$42+F57)</f>
        <v/>
      </c>
      <c r="G58" s="86"/>
    </row>
    <row r="59" spans="1:7" ht="19.5" customHeight="1" x14ac:dyDescent="0.25">
      <c r="A59" s="141">
        <f t="shared" ca="1" si="0"/>
        <v>0</v>
      </c>
      <c r="B59" s="85"/>
      <c r="C59" s="131" t="str">
        <f ca="1">Codes!M43</f>
        <v/>
      </c>
      <c r="D59" s="136" t="str">
        <f ca="1">Codes!U43</f>
        <v/>
      </c>
      <c r="E59" s="132" t="str">
        <f ca="1">Codes!AC43</f>
        <v/>
      </c>
      <c r="F59" s="133" t="str">
        <f ca="1">IF(E59="","",Calculator!$D$42+F58)</f>
        <v/>
      </c>
      <c r="G59" s="86"/>
    </row>
    <row r="60" spans="1:7" ht="19.5" customHeight="1" x14ac:dyDescent="0.25">
      <c r="A60" s="141">
        <f t="shared" ca="1" si="0"/>
        <v>0</v>
      </c>
      <c r="B60" s="85"/>
      <c r="C60" s="131" t="str">
        <f ca="1">Codes!M44</f>
        <v/>
      </c>
      <c r="D60" s="136" t="str">
        <f ca="1">Codes!U44</f>
        <v/>
      </c>
      <c r="E60" s="132" t="str">
        <f ca="1">Codes!AC44</f>
        <v/>
      </c>
      <c r="F60" s="133" t="str">
        <f ca="1">IF(E60="","",Calculator!$D$42+F59)</f>
        <v/>
      </c>
      <c r="G60" s="86"/>
    </row>
    <row r="61" spans="1:7" ht="19.5" customHeight="1" x14ac:dyDescent="0.25">
      <c r="A61" s="141">
        <f t="shared" ca="1" si="0"/>
        <v>0</v>
      </c>
      <c r="B61" s="85"/>
      <c r="C61" s="131" t="str">
        <f ca="1">Codes!M45</f>
        <v/>
      </c>
      <c r="D61" s="136" t="str">
        <f ca="1">Codes!U45</f>
        <v/>
      </c>
      <c r="E61" s="132" t="str">
        <f ca="1">Codes!AC45</f>
        <v/>
      </c>
      <c r="F61" s="133" t="str">
        <f ca="1">IF(E61="","",Calculator!$D$42+F60)</f>
        <v/>
      </c>
      <c r="G61" s="86"/>
    </row>
    <row r="62" spans="1:7" ht="32.25" customHeight="1" x14ac:dyDescent="0.25">
      <c r="B62" s="85"/>
      <c r="C62" s="358" t="s">
        <v>181</v>
      </c>
      <c r="D62" s="359"/>
      <c r="E62" s="359"/>
      <c r="F62" s="52" t="str">
        <f>IF(F24="","",SUM(A24:A61)*Calculator!D42)</f>
        <v/>
      </c>
      <c r="G62" s="86"/>
    </row>
    <row r="63" spans="1:7" ht="22.5" customHeight="1" x14ac:dyDescent="0.25">
      <c r="B63" s="85"/>
      <c r="C63" s="363" t="str">
        <f>IF(F62="","",IF(F62&gt;Codes!B14,"The maximum added pension balance is currently £"&amp;Codes!B14&amp;". Please review your purchase amount or contribution period",""))</f>
        <v/>
      </c>
      <c r="D63" s="364"/>
      <c r="E63" s="364"/>
      <c r="F63" s="365"/>
      <c r="G63" s="86"/>
    </row>
    <row r="64" spans="1:7" ht="6.75" customHeight="1" thickBot="1" x14ac:dyDescent="0.3">
      <c r="B64" s="88"/>
      <c r="C64" s="89"/>
      <c r="D64" s="89"/>
      <c r="E64" s="89"/>
      <c r="F64" s="89"/>
      <c r="G64" s="90"/>
    </row>
    <row r="67" spans="3:6" ht="77.25" customHeight="1" x14ac:dyDescent="0.25">
      <c r="C67" s="349" t="s">
        <v>193</v>
      </c>
      <c r="D67" s="350"/>
      <c r="E67" s="350"/>
      <c r="F67" s="351"/>
    </row>
  </sheetData>
  <sheetProtection password="970B" sheet="1" selectLockedCells="1" selectUnlockedCells="1"/>
  <mergeCells count="19">
    <mergeCell ref="C4:E4"/>
    <mergeCell ref="E19:F19"/>
    <mergeCell ref="C12:D12"/>
    <mergeCell ref="C13:D13"/>
    <mergeCell ref="C14:D14"/>
    <mergeCell ref="C15:D15"/>
    <mergeCell ref="C16:D16"/>
    <mergeCell ref="C17:D17"/>
    <mergeCell ref="C18:D18"/>
    <mergeCell ref="C19:D19"/>
    <mergeCell ref="C67:F67"/>
    <mergeCell ref="C62:E62"/>
    <mergeCell ref="C20:D20"/>
    <mergeCell ref="C22:D22"/>
    <mergeCell ref="C6:D6"/>
    <mergeCell ref="C7:D7"/>
    <mergeCell ref="C8:D8"/>
    <mergeCell ref="C9:D9"/>
    <mergeCell ref="C63:F63"/>
  </mergeCells>
  <pageMargins left="0.7" right="0.7" top="0.75" bottom="0.75" header="0.3" footer="0.3"/>
  <pageSetup paperSize="9" scale="63" orientation="portrait" horizontalDpi="1200" verticalDpi="1200" r:id="rId1"/>
  <headerFooter>
    <oddHeader>&amp;L&amp;G&amp;RFire APBAPP</oddHeader>
  </headerFooter>
  <rowBreaks count="1" manualBreakCount="1">
    <brk id="20" min="2" max="5"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6"/>
  <sheetViews>
    <sheetView showGridLines="0" topLeftCell="A18" zoomScale="85" zoomScaleNormal="85" zoomScaleSheetLayoutView="130" workbookViewId="0">
      <selection activeCell="G47" sqref="G47:O47"/>
    </sheetView>
  </sheetViews>
  <sheetFormatPr defaultColWidth="0" defaultRowHeight="19.649999999999999" customHeight="1" zeroHeight="1" x14ac:dyDescent="0.25"/>
  <cols>
    <col min="1" max="1" width="9.109375" style="275" customWidth="1"/>
    <col min="2" max="2" width="14.44140625" style="275" customWidth="1"/>
    <col min="3" max="3" width="17.6640625" style="275" customWidth="1"/>
    <col min="4" max="4" width="4.33203125" style="275" customWidth="1"/>
    <col min="5" max="5" width="5.109375" style="275" customWidth="1"/>
    <col min="6" max="6" width="8.6640625" style="275" customWidth="1"/>
    <col min="7" max="7" width="11.5546875" style="275" customWidth="1"/>
    <col min="8" max="9" width="4.33203125" style="275" customWidth="1"/>
    <col min="10" max="10" width="1.5546875" style="275" customWidth="1"/>
    <col min="11" max="11" width="4.33203125" style="275" customWidth="1"/>
    <col min="12" max="12" width="4.109375" style="275" customWidth="1"/>
    <col min="13" max="13" width="1.44140625" style="275" customWidth="1"/>
    <col min="14" max="15" width="4.33203125" style="275" customWidth="1"/>
    <col min="16" max="16" width="9.44140625" style="275" customWidth="1"/>
    <col min="17" max="17" width="9.109375" style="275" customWidth="1"/>
    <col min="18" max="16384" width="0" style="275" hidden="1"/>
  </cols>
  <sheetData>
    <row r="1" spans="1:17" s="248" customFormat="1" ht="60" customHeight="1" x14ac:dyDescent="0.25">
      <c r="A1" s="275"/>
      <c r="B1" s="275"/>
      <c r="C1" s="275"/>
      <c r="D1" s="275"/>
      <c r="E1" s="275"/>
      <c r="F1" s="275"/>
      <c r="G1" s="275"/>
      <c r="H1" s="275"/>
      <c r="I1" s="275"/>
      <c r="J1" s="275"/>
      <c r="K1" s="275"/>
      <c r="L1" s="275"/>
      <c r="M1" s="275"/>
      <c r="N1" s="275"/>
      <c r="O1" s="275"/>
      <c r="P1" s="275"/>
      <c r="Q1" s="275"/>
    </row>
    <row r="2" spans="1:17" s="248" customFormat="1" ht="19.649999999999999" customHeight="1" x14ac:dyDescent="0.3">
      <c r="A2" s="275"/>
      <c r="B2" s="371" t="s">
        <v>177</v>
      </c>
      <c r="C2" s="371"/>
      <c r="D2" s="371"/>
      <c r="E2" s="371"/>
      <c r="F2" s="371"/>
      <c r="G2" s="371"/>
      <c r="H2" s="371"/>
      <c r="I2" s="371"/>
      <c r="J2" s="371"/>
      <c r="K2" s="371"/>
      <c r="L2" s="371"/>
      <c r="M2" s="371"/>
      <c r="N2" s="371"/>
      <c r="O2" s="371"/>
      <c r="P2" s="371"/>
      <c r="Q2" s="275"/>
    </row>
    <row r="3" spans="1:17" s="248" customFormat="1" ht="19.649999999999999" customHeight="1" x14ac:dyDescent="0.3">
      <c r="A3" s="275"/>
      <c r="B3" s="264"/>
      <c r="C3" s="264"/>
      <c r="D3" s="264"/>
      <c r="E3" s="264"/>
      <c r="F3" s="264"/>
      <c r="G3" s="264"/>
      <c r="H3" s="264"/>
      <c r="I3" s="264"/>
      <c r="J3" s="264"/>
      <c r="K3" s="264"/>
      <c r="L3" s="264"/>
      <c r="M3" s="264"/>
      <c r="N3" s="264"/>
      <c r="O3" s="264"/>
      <c r="P3" s="264"/>
      <c r="Q3" s="275"/>
    </row>
    <row r="4" spans="1:17" s="248" customFormat="1" ht="19.649999999999999" customHeight="1" x14ac:dyDescent="0.25">
      <c r="A4" s="275"/>
      <c r="B4" s="266" t="s">
        <v>150</v>
      </c>
      <c r="C4" s="255"/>
      <c r="D4" s="255"/>
      <c r="E4" s="255"/>
      <c r="F4" s="255"/>
      <c r="G4" s="255"/>
      <c r="H4" s="255"/>
      <c r="I4" s="255"/>
      <c r="J4" s="255"/>
      <c r="Q4" s="275"/>
    </row>
    <row r="5" spans="1:17" s="248" customFormat="1" ht="19.649999999999999" customHeight="1" x14ac:dyDescent="0.25">
      <c r="A5" s="275"/>
      <c r="B5" s="372" t="s">
        <v>151</v>
      </c>
      <c r="C5" s="373"/>
      <c r="D5" s="368" t="str">
        <f>IF(Calculator!D14="","",Calculator!D14)</f>
        <v/>
      </c>
      <c r="E5" s="369"/>
      <c r="F5" s="369"/>
      <c r="G5" s="369"/>
      <c r="H5" s="370"/>
      <c r="Q5" s="275"/>
    </row>
    <row r="6" spans="1:17" s="248" customFormat="1" ht="19.649999999999999" customHeight="1" x14ac:dyDescent="0.25">
      <c r="A6" s="275"/>
      <c r="B6" s="248" t="s">
        <v>139</v>
      </c>
      <c r="G6" s="248" t="s">
        <v>142</v>
      </c>
      <c r="Q6" s="275"/>
    </row>
    <row r="7" spans="1:17" s="248" customFormat="1" ht="19.649999999999999" customHeight="1" x14ac:dyDescent="0.25">
      <c r="A7" s="275"/>
      <c r="B7" s="368" t="str">
        <f>IF(Calculator!D4="","",Calculator!D4)</f>
        <v/>
      </c>
      <c r="C7" s="369"/>
      <c r="D7" s="369"/>
      <c r="E7" s="370"/>
      <c r="F7" s="252"/>
      <c r="G7" s="368" t="str">
        <f>IF(Calculator!D7="","",Calculator!D7)</f>
        <v/>
      </c>
      <c r="H7" s="369"/>
      <c r="I7" s="369"/>
      <c r="J7" s="369"/>
      <c r="K7" s="369"/>
      <c r="L7" s="369"/>
      <c r="M7" s="369"/>
      <c r="N7" s="369"/>
      <c r="O7" s="370"/>
      <c r="Q7" s="275"/>
    </row>
    <row r="8" spans="1:17" s="248" customFormat="1" ht="19.649999999999999" customHeight="1" x14ac:dyDescent="0.25">
      <c r="A8" s="275"/>
      <c r="B8" s="248" t="s">
        <v>152</v>
      </c>
      <c r="D8" s="249"/>
      <c r="E8" s="249"/>
      <c r="F8" s="252"/>
      <c r="G8" s="368" t="str">
        <f>IF(Calculator!D8="","",Calculator!D8)</f>
        <v/>
      </c>
      <c r="H8" s="369"/>
      <c r="I8" s="369"/>
      <c r="J8" s="369"/>
      <c r="K8" s="369"/>
      <c r="L8" s="369"/>
      <c r="M8" s="369"/>
      <c r="N8" s="369"/>
      <c r="O8" s="370"/>
      <c r="Q8" s="275"/>
    </row>
    <row r="9" spans="1:17" s="248" customFormat="1" ht="19.649999999999999" customHeight="1" x14ac:dyDescent="0.25">
      <c r="A9" s="275"/>
      <c r="B9" s="368" t="str">
        <f>IF(Calculator!D5="","N/A",Calculator!D5)</f>
        <v>N/A</v>
      </c>
      <c r="C9" s="369"/>
      <c r="D9" s="369"/>
      <c r="E9" s="370"/>
      <c r="F9" s="252"/>
      <c r="G9" s="368" t="str">
        <f>IF(Calculator!D9="","",Calculator!D9)</f>
        <v/>
      </c>
      <c r="H9" s="369"/>
      <c r="I9" s="369"/>
      <c r="J9" s="369"/>
      <c r="K9" s="369"/>
      <c r="L9" s="369"/>
      <c r="M9" s="369"/>
      <c r="N9" s="369"/>
      <c r="O9" s="370"/>
      <c r="Q9" s="275"/>
    </row>
    <row r="10" spans="1:17" s="248" customFormat="1" ht="19.649999999999999" customHeight="1" x14ac:dyDescent="0.25">
      <c r="A10" s="275"/>
      <c r="B10" s="248" t="s">
        <v>141</v>
      </c>
      <c r="D10" s="249"/>
      <c r="E10" s="249"/>
      <c r="F10" s="249"/>
      <c r="G10" s="249" t="s">
        <v>143</v>
      </c>
      <c r="H10" s="368" t="str">
        <f>IF(Calculator!D10="","",Calculator!D10)</f>
        <v/>
      </c>
      <c r="I10" s="369"/>
      <c r="J10" s="369"/>
      <c r="K10" s="369"/>
      <c r="L10" s="369"/>
      <c r="M10" s="369"/>
      <c r="N10" s="369"/>
      <c r="O10" s="370"/>
      <c r="Q10" s="275"/>
    </row>
    <row r="11" spans="1:17" s="248" customFormat="1" ht="19.649999999999999" customHeight="1" x14ac:dyDescent="0.25">
      <c r="A11" s="275"/>
      <c r="B11" s="368" t="str">
        <f>IF(Calculator!D6="","",Calculator!D6)</f>
        <v/>
      </c>
      <c r="C11" s="369"/>
      <c r="D11" s="369"/>
      <c r="E11" s="370"/>
      <c r="F11" s="249"/>
      <c r="G11" s="249" t="s">
        <v>155</v>
      </c>
      <c r="H11" s="252"/>
      <c r="I11" s="252"/>
      <c r="J11" s="249"/>
      <c r="K11" s="249"/>
      <c r="Q11" s="275"/>
    </row>
    <row r="12" spans="1:17" s="248" customFormat="1" ht="19.649999999999999" customHeight="1" x14ac:dyDescent="0.25">
      <c r="A12" s="275"/>
      <c r="B12" s="248" t="s">
        <v>153</v>
      </c>
      <c r="D12" s="249"/>
      <c r="E12" s="249"/>
      <c r="F12" s="252"/>
      <c r="G12" s="384" t="str">
        <f>IF(Calculator!D11="","",Calculator!D11)</f>
        <v/>
      </c>
      <c r="H12" s="385"/>
      <c r="I12" s="385"/>
      <c r="J12" s="385"/>
      <c r="K12" s="385"/>
      <c r="L12" s="385"/>
      <c r="M12" s="385"/>
      <c r="N12" s="385"/>
      <c r="O12" s="386"/>
      <c r="Q12" s="275"/>
    </row>
    <row r="13" spans="1:17" s="248" customFormat="1" ht="19.649999999999999" customHeight="1" x14ac:dyDescent="0.25">
      <c r="A13" s="275"/>
      <c r="B13" s="287" t="str">
        <f>IF(Calculator!G4="","",Calculator!G4)</f>
        <v/>
      </c>
      <c r="D13" s="249"/>
      <c r="E13" s="249"/>
      <c r="F13" s="249"/>
      <c r="G13" s="249" t="s">
        <v>145</v>
      </c>
      <c r="H13" s="252"/>
      <c r="I13" s="253"/>
      <c r="J13" s="249"/>
      <c r="K13" s="249"/>
      <c r="Q13" s="275"/>
    </row>
    <row r="14" spans="1:17" s="248" customFormat="1" ht="19.649999999999999" customHeight="1" x14ac:dyDescent="0.25">
      <c r="A14" s="275"/>
      <c r="B14" s="248" t="s">
        <v>154</v>
      </c>
      <c r="D14" s="252"/>
      <c r="E14" s="252"/>
      <c r="F14" s="260"/>
      <c r="G14" s="378" t="str">
        <f>IF(Calculator!D12="","",Calculator!D12)</f>
        <v/>
      </c>
      <c r="H14" s="387"/>
      <c r="I14" s="387"/>
      <c r="J14" s="387"/>
      <c r="K14" s="387"/>
      <c r="L14" s="387"/>
      <c r="M14" s="387"/>
      <c r="N14" s="387"/>
      <c r="O14" s="379"/>
      <c r="Q14" s="275"/>
    </row>
    <row r="15" spans="1:17" s="248" customFormat="1" ht="19.649999999999999" customHeight="1" x14ac:dyDescent="0.25">
      <c r="A15" s="275"/>
      <c r="B15" s="368" t="str">
        <f>IF(Calculator!G4&lt;&gt;"Other","N/A",IF(Calculator!H6="","",Calculator!H6))</f>
        <v>N/A</v>
      </c>
      <c r="C15" s="370"/>
      <c r="D15" s="252"/>
      <c r="E15" s="252"/>
      <c r="F15" s="262"/>
      <c r="G15" s="262" t="s">
        <v>146</v>
      </c>
      <c r="H15" s="252"/>
      <c r="I15" s="249"/>
      <c r="J15" s="249"/>
      <c r="K15" s="249"/>
      <c r="Q15" s="275"/>
    </row>
    <row r="16" spans="1:17" s="248" customFormat="1" ht="19.649999999999999" customHeight="1" x14ac:dyDescent="0.25">
      <c r="A16" s="275"/>
      <c r="B16" s="248" t="s">
        <v>85</v>
      </c>
      <c r="D16" s="252"/>
      <c r="E16" s="252"/>
      <c r="F16" s="252"/>
      <c r="G16" s="368" t="str">
        <f>IF(Calculator!D13="","",Calculator!D13)</f>
        <v/>
      </c>
      <c r="H16" s="369"/>
      <c r="I16" s="369"/>
      <c r="J16" s="369"/>
      <c r="K16" s="369"/>
      <c r="L16" s="369"/>
      <c r="M16" s="369"/>
      <c r="N16" s="369"/>
      <c r="O16" s="370"/>
      <c r="Q16" s="275"/>
    </row>
    <row r="17" spans="1:17" s="248" customFormat="1" ht="19.649999999999999" customHeight="1" x14ac:dyDescent="0.25">
      <c r="A17" s="275"/>
      <c r="B17" s="378" t="str">
        <f>IF(Calculator!D15="","",Calculator!D15)</f>
        <v/>
      </c>
      <c r="C17" s="391"/>
      <c r="D17" s="252"/>
      <c r="E17" s="252"/>
      <c r="F17" s="262"/>
      <c r="G17" s="262" t="s">
        <v>149</v>
      </c>
      <c r="H17" s="252"/>
      <c r="I17" s="249"/>
      <c r="J17" s="249"/>
      <c r="K17" s="249"/>
      <c r="Q17" s="275"/>
    </row>
    <row r="18" spans="1:17" s="248" customFormat="1" ht="19.649999999999999" customHeight="1" x14ac:dyDescent="0.25">
      <c r="A18" s="275"/>
      <c r="B18" s="248" t="s">
        <v>148</v>
      </c>
      <c r="D18" s="252"/>
      <c r="E18" s="252"/>
      <c r="F18" s="252"/>
      <c r="G18" s="368" t="str">
        <f>IF(Calculator!D17="","",Calculator!D17)</f>
        <v/>
      </c>
      <c r="H18" s="369"/>
      <c r="I18" s="369"/>
      <c r="J18" s="369"/>
      <c r="K18" s="369"/>
      <c r="L18" s="369"/>
      <c r="M18" s="369"/>
      <c r="N18" s="369"/>
      <c r="O18" s="370"/>
      <c r="Q18" s="275"/>
    </row>
    <row r="19" spans="1:17" s="248" customFormat="1" ht="19.649999999999999" customHeight="1" x14ac:dyDescent="0.25">
      <c r="A19" s="275"/>
      <c r="B19" s="368" t="str">
        <f>IF(Calculator!D16="","",Calculator!D16)</f>
        <v/>
      </c>
      <c r="C19" s="370"/>
      <c r="D19" s="249"/>
      <c r="E19" s="249"/>
      <c r="F19" s="249"/>
      <c r="G19" s="253"/>
      <c r="H19" s="253"/>
      <c r="I19" s="249"/>
      <c r="Q19" s="275"/>
    </row>
    <row r="20" spans="1:17" s="248" customFormat="1" ht="19.649999999999999" customHeight="1" x14ac:dyDescent="0.3">
      <c r="A20" s="275"/>
      <c r="B20" s="257"/>
      <c r="D20" s="253"/>
      <c r="E20" s="253"/>
      <c r="F20" s="249"/>
      <c r="G20" s="261"/>
      <c r="H20" s="261"/>
      <c r="I20" s="249"/>
      <c r="Q20" s="275"/>
    </row>
    <row r="21" spans="1:17" s="248" customFormat="1" ht="19.649999999999999" customHeight="1" x14ac:dyDescent="0.3">
      <c r="A21" s="275"/>
      <c r="B21" s="267"/>
      <c r="C21" s="268"/>
      <c r="D21" s="269"/>
      <c r="E21" s="269"/>
      <c r="F21" s="268"/>
      <c r="G21" s="270"/>
      <c r="H21" s="270"/>
      <c r="I21" s="268"/>
      <c r="J21" s="268"/>
      <c r="K21" s="268"/>
      <c r="L21" s="268"/>
      <c r="M21" s="268"/>
      <c r="N21" s="268"/>
      <c r="O21" s="268"/>
      <c r="P21" s="268"/>
      <c r="Q21" s="275"/>
    </row>
    <row r="22" spans="1:17" s="248" customFormat="1" ht="19.649999999999999" customHeight="1" x14ac:dyDescent="0.3">
      <c r="A22" s="275"/>
      <c r="B22" s="256" t="s">
        <v>156</v>
      </c>
      <c r="D22" s="253"/>
      <c r="E22" s="253"/>
      <c r="F22" s="249"/>
      <c r="G22" s="252"/>
      <c r="H22" s="252"/>
      <c r="I22" s="249"/>
      <c r="Q22" s="275"/>
    </row>
    <row r="23" spans="1:17" s="248" customFormat="1" ht="19.649999999999999" customHeight="1" x14ac:dyDescent="0.25">
      <c r="A23" s="275"/>
      <c r="B23" s="272" t="str">
        <f>"Maximum limit £"&amp;Codes!B14&amp;" added pension for tax year 2015/2016"</f>
        <v>Maximum limit £6500 added pension for tax year 2015/2016</v>
      </c>
      <c r="D23" s="253"/>
      <c r="E23" s="253"/>
      <c r="F23" s="249"/>
      <c r="G23" s="252"/>
      <c r="H23" s="252"/>
      <c r="I23" s="249"/>
      <c r="Q23" s="275"/>
    </row>
    <row r="24" spans="1:17" s="248" customFormat="1" ht="19.649999999999999" customHeight="1" x14ac:dyDescent="0.25">
      <c r="A24" s="275"/>
      <c r="B24" s="258" t="s">
        <v>174</v>
      </c>
      <c r="D24" s="253"/>
      <c r="E24" s="253"/>
      <c r="F24" s="249"/>
      <c r="G24" s="253"/>
      <c r="H24" s="249"/>
      <c r="I24" s="249"/>
      <c r="Q24" s="275"/>
    </row>
    <row r="25" spans="1:17" s="248" customFormat="1" ht="15" x14ac:dyDescent="0.25">
      <c r="A25" s="275"/>
      <c r="B25" s="390" t="s">
        <v>173</v>
      </c>
      <c r="C25" s="390"/>
      <c r="D25" s="390"/>
      <c r="E25" s="390"/>
      <c r="F25" s="390"/>
      <c r="G25" s="390"/>
      <c r="H25" s="390"/>
      <c r="I25" s="390"/>
      <c r="J25" s="390"/>
      <c r="K25" s="390"/>
      <c r="L25" s="390"/>
      <c r="M25" s="390"/>
      <c r="N25" s="390"/>
      <c r="O25" s="390"/>
      <c r="P25" s="390"/>
      <c r="Q25" s="275"/>
    </row>
    <row r="26" spans="1:17" s="248" customFormat="1" ht="19.649999999999999" customHeight="1" x14ac:dyDescent="0.25">
      <c r="A26" s="275"/>
      <c r="B26" s="265"/>
      <c r="D26" s="253"/>
      <c r="E26" s="253"/>
      <c r="F26" s="249"/>
      <c r="G26" s="253"/>
      <c r="H26" s="249"/>
      <c r="I26" s="249"/>
      <c r="Q26" s="275"/>
    </row>
    <row r="27" spans="1:17" s="248" customFormat="1" ht="19.649999999999999" customHeight="1" x14ac:dyDescent="0.25">
      <c r="A27" s="275"/>
      <c r="B27" s="248" t="s">
        <v>176</v>
      </c>
      <c r="D27" s="254"/>
      <c r="E27" s="254"/>
      <c r="F27" s="388" t="str">
        <f ca="1">IF(Calculator!J18="Regular Contributions","N/A",IF(Calculator!D27="",Calculator!D25,Calculator!D27))</f>
        <v/>
      </c>
      <c r="G27" s="389"/>
      <c r="H27" s="249"/>
      <c r="I27" s="249"/>
      <c r="Q27" s="275"/>
    </row>
    <row r="28" spans="1:17" s="248" customFormat="1" ht="19.649999999999999" customHeight="1" x14ac:dyDescent="0.25">
      <c r="A28" s="275"/>
      <c r="B28" s="248" t="s">
        <v>157</v>
      </c>
      <c r="D28" s="253"/>
      <c r="E28" s="253"/>
      <c r="F28" s="388">
        <f>IF(Calculator!J18="Regular Contributions","N/A",IF(Calculator!D27&lt;&gt;"",Calculator!D29,Calculator!D23))</f>
        <v>0</v>
      </c>
      <c r="G28" s="389"/>
      <c r="H28" s="261"/>
      <c r="I28" s="249"/>
      <c r="Q28" s="275"/>
    </row>
    <row r="29" spans="1:17" s="248" customFormat="1" ht="19.649999999999999" customHeight="1" x14ac:dyDescent="0.25">
      <c r="A29" s="275"/>
      <c r="B29" s="248" t="s">
        <v>209</v>
      </c>
      <c r="D29" s="253"/>
      <c r="E29" s="253"/>
      <c r="F29" s="378">
        <f ca="1">IF(Calculator!J18="Regular Contributions","N/A",Codes!G14)</f>
        <v>43810</v>
      </c>
      <c r="G29" s="391"/>
      <c r="H29" s="261"/>
      <c r="I29" s="249"/>
      <c r="Q29" s="275"/>
    </row>
    <row r="30" spans="1:17" s="248" customFormat="1" ht="12.75" customHeight="1" x14ac:dyDescent="0.25">
      <c r="A30" s="275"/>
      <c r="D30" s="253"/>
      <c r="E30" s="253"/>
      <c r="F30" s="312"/>
      <c r="G30" s="313"/>
      <c r="H30" s="261"/>
      <c r="I30" s="249"/>
      <c r="Q30" s="275"/>
    </row>
    <row r="31" spans="1:17" s="248" customFormat="1" ht="28.5" customHeight="1" x14ac:dyDescent="0.25">
      <c r="A31" s="275"/>
      <c r="B31" s="392" t="s">
        <v>210</v>
      </c>
      <c r="C31" s="392"/>
      <c r="D31" s="392"/>
      <c r="E31" s="392"/>
      <c r="F31" s="392"/>
      <c r="G31" s="392"/>
      <c r="H31" s="392"/>
      <c r="I31" s="392"/>
      <c r="J31" s="392"/>
      <c r="K31" s="392"/>
      <c r="L31" s="392"/>
      <c r="M31" s="392"/>
      <c r="N31" s="392"/>
      <c r="O31" s="392"/>
      <c r="P31" s="392"/>
      <c r="Q31" s="275"/>
    </row>
    <row r="32" spans="1:17" s="248" customFormat="1" ht="13.5" customHeight="1" x14ac:dyDescent="0.25">
      <c r="A32" s="275"/>
      <c r="D32" s="253"/>
      <c r="E32" s="253"/>
      <c r="F32" s="249"/>
      <c r="G32" s="261"/>
      <c r="H32" s="261"/>
      <c r="I32" s="249"/>
      <c r="Q32" s="275"/>
    </row>
    <row r="33" spans="1:17" s="248" customFormat="1" ht="71.25" customHeight="1" x14ac:dyDescent="0.25">
      <c r="A33" s="275"/>
      <c r="B33" s="393" t="s">
        <v>222</v>
      </c>
      <c r="C33" s="394"/>
      <c r="D33" s="394"/>
      <c r="E33" s="394"/>
      <c r="F33" s="394"/>
      <c r="G33" s="394"/>
      <c r="H33" s="394"/>
      <c r="I33" s="394"/>
      <c r="J33" s="394"/>
      <c r="K33" s="394"/>
      <c r="L33" s="394"/>
      <c r="M33" s="394"/>
      <c r="N33" s="394"/>
      <c r="O33" s="394"/>
      <c r="P33" s="395"/>
      <c r="Q33" s="275"/>
    </row>
    <row r="34" spans="1:17" s="248" customFormat="1" ht="19.649999999999999" customHeight="1" x14ac:dyDescent="0.25">
      <c r="A34" s="275"/>
      <c r="D34" s="253"/>
      <c r="E34" s="253"/>
      <c r="F34" s="249"/>
      <c r="G34" s="261"/>
      <c r="H34" s="261"/>
      <c r="I34" s="249"/>
      <c r="Q34" s="275"/>
    </row>
    <row r="35" spans="1:17" s="248" customFormat="1" ht="19.649999999999999" customHeight="1" x14ac:dyDescent="0.25">
      <c r="A35" s="275"/>
      <c r="D35" s="253"/>
      <c r="E35" s="253"/>
      <c r="F35" s="249"/>
      <c r="G35" s="261"/>
      <c r="H35" s="261"/>
      <c r="I35" s="249"/>
      <c r="Q35" s="275"/>
    </row>
    <row r="36" spans="1:17" s="248" customFormat="1" ht="19.649999999999999" customHeight="1" x14ac:dyDescent="0.25">
      <c r="A36" s="275"/>
      <c r="D36" s="253"/>
      <c r="E36" s="253"/>
      <c r="F36" s="249"/>
      <c r="G36" s="261"/>
      <c r="H36" s="261"/>
      <c r="I36" s="249"/>
      <c r="Q36" s="275"/>
    </row>
    <row r="37" spans="1:17" s="248" customFormat="1" ht="19.649999999999999" customHeight="1" x14ac:dyDescent="0.25">
      <c r="A37" s="275"/>
      <c r="B37" s="263" t="s">
        <v>187</v>
      </c>
      <c r="C37" s="249"/>
      <c r="D37" s="253"/>
      <c r="E37" s="253"/>
      <c r="F37" s="249"/>
      <c r="G37" s="261"/>
      <c r="H37" s="261"/>
      <c r="I37" s="249"/>
      <c r="J37" s="249"/>
      <c r="K37" s="249"/>
      <c r="L37" s="249"/>
      <c r="Q37" s="275"/>
    </row>
    <row r="38" spans="1:17" s="248" customFormat="1" ht="69.75" customHeight="1" x14ac:dyDescent="0.3">
      <c r="A38" s="275"/>
      <c r="B38" s="396" t="s">
        <v>223</v>
      </c>
      <c r="C38" s="397"/>
      <c r="D38" s="397"/>
      <c r="E38" s="397"/>
      <c r="F38" s="397"/>
      <c r="G38" s="397"/>
      <c r="H38" s="397"/>
      <c r="I38" s="397"/>
      <c r="J38" s="397"/>
      <c r="K38" s="397"/>
      <c r="L38" s="397"/>
      <c r="M38" s="397"/>
      <c r="N38" s="397"/>
      <c r="O38" s="397"/>
      <c r="P38" s="397"/>
      <c r="Q38" s="275"/>
    </row>
    <row r="39" spans="1:17" s="248" customFormat="1" ht="21" customHeight="1" x14ac:dyDescent="0.25">
      <c r="A39" s="275"/>
      <c r="B39" s="377" t="s">
        <v>175</v>
      </c>
      <c r="C39" s="377"/>
      <c r="D39" s="377"/>
      <c r="E39" s="377"/>
      <c r="F39" s="377"/>
      <c r="G39" s="377"/>
      <c r="H39" s="377"/>
      <c r="I39" s="377"/>
      <c r="J39" s="377"/>
      <c r="K39" s="377"/>
      <c r="L39" s="377"/>
      <c r="M39" s="377"/>
      <c r="N39" s="377"/>
      <c r="O39" s="377"/>
      <c r="P39" s="377"/>
      <c r="Q39" s="275"/>
    </row>
    <row r="40" spans="1:17" s="248" customFormat="1" ht="19.649999999999999" customHeight="1" x14ac:dyDescent="0.25">
      <c r="A40" s="275"/>
      <c r="B40" s="263"/>
      <c r="C40" s="249"/>
      <c r="D40" s="253"/>
      <c r="E40" s="253"/>
      <c r="F40" s="249"/>
      <c r="G40" s="261"/>
      <c r="H40" s="261"/>
      <c r="I40" s="249"/>
      <c r="J40" s="249"/>
      <c r="K40" s="249"/>
      <c r="L40" s="249"/>
      <c r="Q40" s="275"/>
    </row>
    <row r="41" spans="1:17" s="248" customFormat="1" ht="19.649999999999999" customHeight="1" x14ac:dyDescent="0.25">
      <c r="A41" s="275"/>
      <c r="B41" s="249" t="s">
        <v>224</v>
      </c>
      <c r="C41" s="249"/>
      <c r="D41" s="249"/>
      <c r="E41" s="282"/>
      <c r="F41" s="282"/>
      <c r="G41" s="282"/>
      <c r="H41" s="249"/>
      <c r="I41" s="249"/>
      <c r="J41" s="249"/>
      <c r="K41" s="249"/>
      <c r="L41" s="249"/>
      <c r="Q41" s="275"/>
    </row>
    <row r="42" spans="1:17" s="248" customFormat="1" ht="19.649999999999999" customHeight="1" x14ac:dyDescent="0.25">
      <c r="A42" s="275"/>
      <c r="B42" s="250" t="s">
        <v>225</v>
      </c>
      <c r="C42" s="249"/>
      <c r="D42" s="249"/>
      <c r="E42" s="282"/>
      <c r="F42" s="282"/>
      <c r="G42" s="282"/>
      <c r="H42" s="249"/>
      <c r="I42" s="249"/>
      <c r="J42" s="249"/>
      <c r="K42" s="249"/>
      <c r="L42" s="249"/>
      <c r="Q42" s="275"/>
    </row>
    <row r="43" spans="1:17" s="248" customFormat="1" ht="21.75" customHeight="1" x14ac:dyDescent="0.25">
      <c r="A43" s="275"/>
      <c r="B43" s="320" t="s">
        <v>226</v>
      </c>
      <c r="C43" s="249"/>
      <c r="D43" s="249"/>
      <c r="E43" s="274"/>
      <c r="F43" s="274"/>
      <c r="G43" s="253"/>
      <c r="H43" s="249"/>
      <c r="I43" s="249"/>
      <c r="J43" s="249"/>
      <c r="K43" s="249"/>
      <c r="L43" s="249"/>
      <c r="Q43" s="275"/>
    </row>
    <row r="44" spans="1:17" s="248" customFormat="1" ht="25.5" customHeight="1" x14ac:dyDescent="0.25">
      <c r="A44" s="275"/>
      <c r="B44" s="249" t="s">
        <v>158</v>
      </c>
      <c r="C44" s="273" t="str">
        <f>IF(Calculator!J18="Lump Sum","",Codes!K15)</f>
        <v/>
      </c>
      <c r="D44" s="249" t="s">
        <v>159</v>
      </c>
      <c r="E44" s="378" t="str">
        <f>IF(Calculator!J18="Lump Sum","",Codes!K19)</f>
        <v/>
      </c>
      <c r="F44" s="379"/>
      <c r="G44" s="253"/>
      <c r="H44" s="249"/>
      <c r="I44" s="249"/>
      <c r="J44" s="249"/>
      <c r="K44" s="249"/>
      <c r="L44" s="249"/>
      <c r="Q44" s="275"/>
    </row>
    <row r="45" spans="1:17" s="248" customFormat="1" ht="12" customHeight="1" x14ac:dyDescent="0.3">
      <c r="A45" s="275"/>
      <c r="B45" s="251"/>
      <c r="C45" s="249"/>
      <c r="D45" s="249"/>
      <c r="E45" s="249"/>
      <c r="F45" s="249"/>
      <c r="G45" s="253"/>
      <c r="H45" s="249"/>
      <c r="I45" s="249"/>
      <c r="J45" s="249"/>
      <c r="K45" s="249"/>
      <c r="L45" s="249"/>
      <c r="Q45" s="275"/>
    </row>
    <row r="46" spans="1:17" s="248" customFormat="1" ht="19.649999999999999" customHeight="1" x14ac:dyDescent="0.25">
      <c r="A46" s="275"/>
      <c r="B46" s="249" t="s">
        <v>160</v>
      </c>
      <c r="C46" s="249"/>
      <c r="D46" s="249"/>
      <c r="E46" s="249"/>
      <c r="G46" s="249" t="s">
        <v>142</v>
      </c>
      <c r="H46" s="253"/>
      <c r="I46" s="249"/>
      <c r="J46" s="249"/>
      <c r="K46" s="249"/>
      <c r="L46" s="249"/>
      <c r="Q46" s="275"/>
    </row>
    <row r="47" spans="1:17" s="248" customFormat="1" ht="19.649999999999999" customHeight="1" x14ac:dyDescent="0.25">
      <c r="A47" s="275"/>
      <c r="B47" s="368" t="str">
        <f>IF(OR(Calculator!J18="Lump Sum",Calculator!D17=""),"",Calculator!D17)</f>
        <v/>
      </c>
      <c r="C47" s="369"/>
      <c r="D47" s="369"/>
      <c r="E47" s="370"/>
      <c r="G47" s="374"/>
      <c r="H47" s="375"/>
      <c r="I47" s="375"/>
      <c r="J47" s="375"/>
      <c r="K47" s="375"/>
      <c r="L47" s="375"/>
      <c r="M47" s="375"/>
      <c r="N47" s="375"/>
      <c r="O47" s="376"/>
      <c r="Q47" s="275"/>
    </row>
    <row r="48" spans="1:17" s="248" customFormat="1" ht="19.649999999999999" customHeight="1" x14ac:dyDescent="0.25">
      <c r="A48" s="275"/>
      <c r="B48" s="249" t="s">
        <v>161</v>
      </c>
      <c r="C48" s="249"/>
      <c r="D48" s="249"/>
      <c r="E48" s="249"/>
      <c r="G48" s="374"/>
      <c r="H48" s="375"/>
      <c r="I48" s="375"/>
      <c r="J48" s="375"/>
      <c r="K48" s="375"/>
      <c r="L48" s="375"/>
      <c r="M48" s="375"/>
      <c r="N48" s="375"/>
      <c r="O48" s="376"/>
      <c r="Q48" s="275"/>
    </row>
    <row r="49" spans="1:17" s="248" customFormat="1" ht="19.649999999999999" customHeight="1" x14ac:dyDescent="0.25">
      <c r="A49" s="275"/>
      <c r="B49" s="381"/>
      <c r="C49" s="382"/>
      <c r="D49" s="382"/>
      <c r="E49" s="383"/>
      <c r="G49" s="374"/>
      <c r="H49" s="375"/>
      <c r="I49" s="375"/>
      <c r="J49" s="375"/>
      <c r="K49" s="375"/>
      <c r="L49" s="375"/>
      <c r="M49" s="375"/>
      <c r="N49" s="375"/>
      <c r="O49" s="376"/>
      <c r="Q49" s="275"/>
    </row>
    <row r="50" spans="1:17" s="248" customFormat="1" ht="19.649999999999999" customHeight="1" x14ac:dyDescent="0.25">
      <c r="A50" s="275"/>
      <c r="B50" s="249"/>
      <c r="C50" s="249"/>
      <c r="D50" s="249"/>
      <c r="E50" s="249"/>
      <c r="G50" s="374"/>
      <c r="H50" s="375"/>
      <c r="I50" s="375"/>
      <c r="J50" s="375"/>
      <c r="K50" s="375"/>
      <c r="L50" s="375"/>
      <c r="M50" s="375"/>
      <c r="N50" s="375"/>
      <c r="O50" s="376"/>
      <c r="Q50" s="275"/>
    </row>
    <row r="51" spans="1:17" s="248" customFormat="1" ht="19.649999999999999" customHeight="1" x14ac:dyDescent="0.25">
      <c r="A51" s="275"/>
      <c r="B51" s="249"/>
      <c r="C51" s="249"/>
      <c r="D51" s="249"/>
      <c r="E51" s="249"/>
      <c r="G51" s="249" t="s">
        <v>143</v>
      </c>
      <c r="H51" s="374"/>
      <c r="I51" s="375"/>
      <c r="J51" s="375"/>
      <c r="K51" s="375"/>
      <c r="L51" s="375"/>
      <c r="M51" s="375"/>
      <c r="N51" s="375"/>
      <c r="O51" s="376"/>
      <c r="Q51" s="275"/>
    </row>
    <row r="52" spans="1:17" s="248" customFormat="1" ht="12.75" customHeight="1" x14ac:dyDescent="0.25">
      <c r="A52" s="275"/>
      <c r="B52" s="249"/>
      <c r="C52" s="249"/>
      <c r="D52" s="249"/>
      <c r="E52" s="249"/>
      <c r="F52" s="249"/>
      <c r="G52" s="249"/>
      <c r="H52" s="249"/>
      <c r="I52" s="249"/>
      <c r="J52" s="249"/>
      <c r="K52" s="249"/>
      <c r="L52" s="249"/>
      <c r="Q52" s="275"/>
    </row>
    <row r="53" spans="1:17" s="248" customFormat="1" ht="10.5" customHeight="1" x14ac:dyDescent="0.25">
      <c r="A53" s="275"/>
      <c r="B53" s="268"/>
      <c r="C53" s="268"/>
      <c r="D53" s="268"/>
      <c r="E53" s="268"/>
      <c r="F53" s="268"/>
      <c r="G53" s="268"/>
      <c r="H53" s="268"/>
      <c r="I53" s="268"/>
      <c r="J53" s="268"/>
      <c r="K53" s="268"/>
      <c r="L53" s="268"/>
      <c r="M53" s="268"/>
      <c r="N53" s="268"/>
      <c r="O53" s="268"/>
      <c r="P53" s="268"/>
      <c r="Q53" s="275"/>
    </row>
    <row r="54" spans="1:17" s="248" customFormat="1" ht="19.649999999999999" customHeight="1" x14ac:dyDescent="0.3">
      <c r="A54" s="275"/>
      <c r="B54" s="256" t="s">
        <v>162</v>
      </c>
      <c r="C54" s="249"/>
      <c r="D54" s="249"/>
      <c r="E54" s="249"/>
      <c r="F54" s="249"/>
      <c r="G54" s="249"/>
      <c r="H54" s="249"/>
      <c r="I54" s="249"/>
      <c r="J54" s="249"/>
      <c r="K54" s="249"/>
      <c r="L54" s="249"/>
      <c r="Q54" s="275"/>
    </row>
    <row r="55" spans="1:17" s="248" customFormat="1" ht="19.649999999999999" customHeight="1" x14ac:dyDescent="0.25">
      <c r="A55" s="275"/>
      <c r="B55" s="250"/>
      <c r="C55" s="250"/>
      <c r="D55" s="252"/>
      <c r="E55" s="252"/>
      <c r="F55" s="252"/>
      <c r="G55" s="252"/>
      <c r="H55" s="252"/>
      <c r="I55" s="252"/>
      <c r="J55" s="252"/>
      <c r="K55" s="252"/>
      <c r="L55" s="249"/>
      <c r="Q55" s="275"/>
    </row>
    <row r="56" spans="1:17" s="248" customFormat="1" ht="19.649999999999999" customHeight="1" x14ac:dyDescent="0.25">
      <c r="A56" s="275"/>
      <c r="B56" s="254" t="s">
        <v>137</v>
      </c>
      <c r="C56" s="384"/>
      <c r="D56" s="385"/>
      <c r="E56" s="386"/>
      <c r="F56" s="249"/>
      <c r="G56" s="249" t="s">
        <v>138</v>
      </c>
      <c r="H56" s="276"/>
      <c r="I56" s="276"/>
      <c r="J56" s="250" t="s">
        <v>163</v>
      </c>
      <c r="K56" s="276"/>
      <c r="L56" s="276"/>
      <c r="M56" s="249" t="s">
        <v>163</v>
      </c>
      <c r="N56" s="276"/>
      <c r="O56" s="276"/>
      <c r="Q56" s="275"/>
    </row>
    <row r="57" spans="1:17" s="248" customFormat="1" ht="9.75" customHeight="1" x14ac:dyDescent="0.3">
      <c r="A57" s="275"/>
      <c r="B57" s="251"/>
      <c r="C57" s="249"/>
      <c r="D57" s="249"/>
      <c r="E57" s="249"/>
      <c r="F57" s="249"/>
      <c r="G57" s="249"/>
      <c r="H57" s="249"/>
      <c r="I57" s="249"/>
      <c r="J57" s="249"/>
      <c r="K57" s="249"/>
      <c r="L57" s="249"/>
      <c r="Q57" s="275"/>
    </row>
    <row r="58" spans="1:17" s="248" customFormat="1" ht="9.75" customHeight="1" x14ac:dyDescent="0.25">
      <c r="A58" s="275"/>
      <c r="B58" s="259"/>
      <c r="C58" s="259"/>
      <c r="D58" s="259"/>
      <c r="E58" s="259"/>
      <c r="F58" s="259"/>
      <c r="G58" s="259"/>
      <c r="H58" s="259"/>
      <c r="I58" s="259"/>
      <c r="J58" s="259"/>
      <c r="K58" s="259"/>
      <c r="L58" s="259"/>
      <c r="M58" s="259"/>
      <c r="N58" s="259"/>
      <c r="O58" s="259"/>
      <c r="P58" s="259"/>
      <c r="Q58" s="275"/>
    </row>
    <row r="59" spans="1:17" s="248" customFormat="1" ht="7.5" customHeight="1" x14ac:dyDescent="0.25">
      <c r="A59" s="275"/>
      <c r="B59" s="271"/>
      <c r="C59" s="271"/>
      <c r="D59" s="271"/>
      <c r="E59" s="271"/>
      <c r="F59" s="271"/>
      <c r="G59" s="271"/>
      <c r="H59" s="271"/>
      <c r="I59" s="271"/>
      <c r="J59" s="271"/>
      <c r="K59" s="271"/>
      <c r="L59" s="271"/>
      <c r="M59" s="271"/>
      <c r="N59" s="271"/>
      <c r="O59" s="271"/>
      <c r="P59" s="271"/>
      <c r="Q59" s="275"/>
    </row>
    <row r="60" spans="1:17" s="248" customFormat="1" ht="19.649999999999999" customHeight="1" x14ac:dyDescent="0.25">
      <c r="A60" s="275"/>
      <c r="B60" s="250"/>
      <c r="C60" s="250"/>
      <c r="D60" s="380"/>
      <c r="E60" s="380"/>
      <c r="F60" s="380"/>
      <c r="G60" s="380"/>
      <c r="H60" s="380"/>
      <c r="I60" s="380"/>
      <c r="J60" s="380"/>
      <c r="K60" s="380"/>
      <c r="L60" s="249"/>
      <c r="M60" s="249"/>
      <c r="Q60" s="275"/>
    </row>
    <row r="61" spans="1:17" ht="19.649999999999999" customHeight="1" x14ac:dyDescent="0.25"/>
    <row r="62" spans="1:17" ht="19.649999999999999" hidden="1" customHeight="1" x14ac:dyDescent="0.25"/>
    <row r="63" spans="1:17" ht="19.649999999999999" hidden="1" customHeight="1" x14ac:dyDescent="0.25"/>
    <row r="64" spans="1:17" ht="19.649999999999999" hidden="1" customHeight="1" x14ac:dyDescent="0.25"/>
    <row r="65" ht="19.649999999999999" hidden="1" customHeight="1" x14ac:dyDescent="0.25"/>
    <row r="66" ht="19.649999999999999" hidden="1" customHeight="1" x14ac:dyDescent="0.25"/>
    <row r="67" ht="19.649999999999999" customHeight="1" x14ac:dyDescent="0.25"/>
    <row r="68" ht="19.649999999999999" customHeight="1" x14ac:dyDescent="0.25"/>
    <row r="69" ht="19.649999999999999" customHeight="1" x14ac:dyDescent="0.25"/>
    <row r="70" ht="19.649999999999999" customHeight="1" x14ac:dyDescent="0.25"/>
    <row r="71" ht="19.649999999999999" customHeight="1" x14ac:dyDescent="0.25"/>
    <row r="72" ht="19.649999999999999" customHeight="1" x14ac:dyDescent="0.25"/>
    <row r="73" ht="19.649999999999999" customHeight="1" x14ac:dyDescent="0.25"/>
    <row r="74" ht="19.649999999999999" customHeight="1" x14ac:dyDescent="0.25"/>
    <row r="75" ht="19.649999999999999" customHeight="1" x14ac:dyDescent="0.25"/>
    <row r="76" ht="19.649999999999999" customHeight="1" x14ac:dyDescent="0.25"/>
  </sheetData>
  <sheetProtection algorithmName="SHA-512" hashValue="q5xmVCoB+xfTw5OtvNXTBKsK9KYT5oFVKWOAKLbMyrE7LIDwnsZJJKdIJmCfeYo1XD1hY+zOtaZxctSO9oIcgw==" saltValue="5z0knlgy/rVSxq/lPnkvsQ==" spinCount="100000" sheet="1" selectLockedCells="1"/>
  <mergeCells count="35">
    <mergeCell ref="G12:O12"/>
    <mergeCell ref="G14:O14"/>
    <mergeCell ref="G16:O16"/>
    <mergeCell ref="G47:O47"/>
    <mergeCell ref="G48:O48"/>
    <mergeCell ref="F27:G27"/>
    <mergeCell ref="B25:P25"/>
    <mergeCell ref="F28:G28"/>
    <mergeCell ref="B15:C15"/>
    <mergeCell ref="B17:C17"/>
    <mergeCell ref="G18:O18"/>
    <mergeCell ref="B19:C19"/>
    <mergeCell ref="F29:G29"/>
    <mergeCell ref="B31:P31"/>
    <mergeCell ref="B33:P33"/>
    <mergeCell ref="B38:P38"/>
    <mergeCell ref="G49:O49"/>
    <mergeCell ref="B39:P39"/>
    <mergeCell ref="G50:O50"/>
    <mergeCell ref="E44:F44"/>
    <mergeCell ref="D60:K60"/>
    <mergeCell ref="B47:E47"/>
    <mergeCell ref="B49:E49"/>
    <mergeCell ref="C56:E56"/>
    <mergeCell ref="H51:O51"/>
    <mergeCell ref="B7:E7"/>
    <mergeCell ref="B9:E9"/>
    <mergeCell ref="B11:E11"/>
    <mergeCell ref="B2:P2"/>
    <mergeCell ref="D5:H5"/>
    <mergeCell ref="B5:C5"/>
    <mergeCell ref="G7:O7"/>
    <mergeCell ref="G8:O8"/>
    <mergeCell ref="G9:O9"/>
    <mergeCell ref="H10:O10"/>
  </mergeCells>
  <pageMargins left="0.25" right="0.25" top="1.0729166666666667" bottom="0.84375" header="0.3" footer="0.3"/>
  <pageSetup paperSize="9" orientation="portrait" r:id="rId1"/>
  <headerFooter>
    <oddHeader>&amp;L&amp;G&amp;R&amp;"Arial,Bold"Fire APBAPP</oddHeader>
    <oddFooter>&amp;L&amp;G&amp;R&amp;G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V43"/>
  <sheetViews>
    <sheetView showRowColHeaders="0" topLeftCell="A7" zoomScale="115" zoomScaleNormal="115" workbookViewId="0">
      <selection activeCell="B6" sqref="B6"/>
    </sheetView>
  </sheetViews>
  <sheetFormatPr defaultColWidth="0" defaultRowHeight="12.75" customHeight="1" zeroHeight="1" x14ac:dyDescent="0.25"/>
  <cols>
    <col min="1" max="1" width="9.109375" style="76" customWidth="1"/>
    <col min="2" max="2" width="100.5546875" style="1" customWidth="1"/>
    <col min="3" max="3" width="9.109375" style="1" customWidth="1"/>
    <col min="4" max="16384" width="9.109375" style="1" hidden="1"/>
  </cols>
  <sheetData>
    <row r="1" spans="1:256" ht="13.8" thickBot="1" x14ac:dyDescent="0.3">
      <c r="B1" s="76"/>
      <c r="C1" s="76"/>
    </row>
    <row r="2" spans="1:256" ht="23.25" customHeight="1" thickTop="1" x14ac:dyDescent="0.25">
      <c r="B2" s="77" t="s">
        <v>185</v>
      </c>
      <c r="C2" s="76"/>
    </row>
    <row r="3" spans="1:256" ht="84" customHeight="1" x14ac:dyDescent="0.25">
      <c r="A3" s="78"/>
      <c r="B3" s="79" t="s">
        <v>188</v>
      </c>
      <c r="C3" s="76"/>
      <c r="D3" s="7"/>
      <c r="E3" s="7"/>
      <c r="F3" s="7"/>
    </row>
    <row r="4" spans="1:256" ht="113.25" customHeight="1" x14ac:dyDescent="0.25">
      <c r="B4" s="109" t="s">
        <v>229</v>
      </c>
      <c r="C4" s="76"/>
    </row>
    <row r="5" spans="1:256" ht="63.75" customHeight="1" x14ac:dyDescent="0.25">
      <c r="B5" s="146" t="s">
        <v>219</v>
      </c>
      <c r="C5" s="76"/>
    </row>
    <row r="6" spans="1:256" ht="107.25" customHeight="1" x14ac:dyDescent="0.25">
      <c r="B6" s="146" t="s">
        <v>227</v>
      </c>
      <c r="C6" s="76"/>
    </row>
    <row r="7" spans="1:256" ht="193.5" customHeight="1" x14ac:dyDescent="0.25">
      <c r="B7" s="110" t="s">
        <v>228</v>
      </c>
      <c r="C7" s="76"/>
    </row>
    <row r="8" spans="1:256" s="203" customFormat="1" ht="52.5" customHeight="1" x14ac:dyDescent="0.25">
      <c r="A8" s="76"/>
      <c r="B8" s="146" t="s">
        <v>230</v>
      </c>
      <c r="C8" s="76"/>
    </row>
    <row r="9" spans="1:256" ht="58.5" customHeight="1" thickBot="1" x14ac:dyDescent="0.3">
      <c r="B9" s="80"/>
      <c r="C9" s="76"/>
    </row>
    <row r="10" spans="1:256" ht="18.75" customHeight="1" thickTop="1" x14ac:dyDescent="0.25">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c r="IR10" s="76"/>
      <c r="IS10" s="76"/>
      <c r="IT10" s="76"/>
      <c r="IU10" s="76"/>
      <c r="IV10" s="76"/>
    </row>
    <row r="11" spans="1:256" ht="13.2" hidden="1" x14ac:dyDescent="0.25"/>
    <row r="12" spans="1:256" ht="13.2" hidden="1" x14ac:dyDescent="0.25"/>
    <row r="13" spans="1:256" ht="13.2" hidden="1" x14ac:dyDescent="0.25"/>
    <row r="14" spans="1:256" ht="13.2" hidden="1" x14ac:dyDescent="0.25"/>
    <row r="15" spans="1:256" ht="13.2" hidden="1" x14ac:dyDescent="0.25"/>
    <row r="16" spans="1:256" ht="13.2" hidden="1" x14ac:dyDescent="0.25"/>
    <row r="17" ht="13.2" hidden="1" x14ac:dyDescent="0.25"/>
    <row r="18" ht="13.2" hidden="1" x14ac:dyDescent="0.25"/>
    <row r="19" ht="13.2" hidden="1" x14ac:dyDescent="0.25"/>
    <row r="20" ht="13.2" hidden="1" x14ac:dyDescent="0.25"/>
    <row r="21" ht="13.2" hidden="1" x14ac:dyDescent="0.25"/>
    <row r="22" ht="13.2" hidden="1" x14ac:dyDescent="0.25"/>
    <row r="23" ht="13.2" hidden="1" x14ac:dyDescent="0.25"/>
    <row r="24" ht="13.2" hidden="1" x14ac:dyDescent="0.25"/>
    <row r="25" ht="13.2" hidden="1" x14ac:dyDescent="0.25"/>
    <row r="26" ht="13.2" hidden="1" x14ac:dyDescent="0.25"/>
    <row r="27" ht="13.2" hidden="1" x14ac:dyDescent="0.25"/>
    <row r="28" ht="13.2" hidden="1" x14ac:dyDescent="0.25"/>
    <row r="29" ht="13.2" hidden="1" x14ac:dyDescent="0.25"/>
    <row r="30" ht="13.2" hidden="1" x14ac:dyDescent="0.25"/>
    <row r="31" ht="13.2" hidden="1" x14ac:dyDescent="0.25"/>
    <row r="32" ht="13.2" hidden="1" x14ac:dyDescent="0.25"/>
    <row r="33" spans="6:6" ht="13.2" hidden="1" x14ac:dyDescent="0.25"/>
    <row r="34" spans="6:6" ht="13.2" hidden="1" x14ac:dyDescent="0.25"/>
    <row r="35" spans="6:6" ht="13.2" hidden="1" x14ac:dyDescent="0.25"/>
    <row r="36" spans="6:6" ht="13.2" hidden="1" x14ac:dyDescent="0.25"/>
    <row r="37" spans="6:6" ht="13.2" hidden="1" x14ac:dyDescent="0.25"/>
    <row r="38" spans="6:6" ht="13.2" hidden="1" x14ac:dyDescent="0.25"/>
    <row r="39" spans="6:6" ht="13.2" hidden="1" x14ac:dyDescent="0.25"/>
    <row r="40" spans="6:6" ht="13.2" hidden="1" x14ac:dyDescent="0.25"/>
    <row r="41" spans="6:6" ht="13.2" hidden="1" x14ac:dyDescent="0.25"/>
    <row r="42" spans="6:6" ht="13.2" hidden="1" x14ac:dyDescent="0.25"/>
    <row r="43" spans="6:6" ht="13.2" hidden="1" x14ac:dyDescent="0.25">
      <c r="F43" s="1" t="s">
        <v>64</v>
      </c>
    </row>
  </sheetData>
  <sheetProtection algorithmName="SHA-512" hashValue="qfz+lQZCihQlt/NI7TOnxy09bbBbijIcaxdiU4IIjOkn/LH8UQSL6847CCKhmehC5Zww1BmvFrqhMIqsUm2gsQ==" saltValue="jFQaToROJBBsizFfZwBMYQ==" spinCount="100000" sheet="1" selectLockedCells="1" selectUnlockedCell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Calculator</vt:lpstr>
      <vt:lpstr>Codes</vt:lpstr>
      <vt:lpstr>Factors</vt:lpstr>
      <vt:lpstr>LumpSumPrint1</vt:lpstr>
      <vt:lpstr>LumpSumPrint2</vt:lpstr>
      <vt:lpstr>RegularContsPrint1</vt:lpstr>
      <vt:lpstr>RegularContsPrint2</vt:lpstr>
      <vt:lpstr>Application</vt:lpstr>
      <vt:lpstr>GuidanceNotes</vt:lpstr>
      <vt:lpstr>Application!Print_Area</vt:lpstr>
      <vt:lpstr>Calculator!Print_Area</vt:lpstr>
      <vt:lpstr>GuidanceNotes!Print_Area</vt:lpstr>
      <vt:lpstr>LumpSumPrint1!Print_Area</vt:lpstr>
      <vt:lpstr>LumpSumPrint2!Print_Area</vt:lpstr>
      <vt:lpstr>RegularContsPrint1!Print_Area</vt:lpstr>
      <vt:lpstr>RegularContsPrint2!Print_Area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u418778</dc:creator>
  <cp:lastModifiedBy>Jason Grainger</cp:lastModifiedBy>
  <cp:lastPrinted>2019-02-18T10:47:26Z</cp:lastPrinted>
  <dcterms:created xsi:type="dcterms:W3CDTF">2015-07-14T10:04:17Z</dcterms:created>
  <dcterms:modified xsi:type="dcterms:W3CDTF">2019-12-11T16:08:02Z</dcterms:modified>
</cp:coreProperties>
</file>